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2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3.xml" ContentType="application/vnd.openxmlformats-officedocument.drawing+xml"/>
  <Override PartName="/xl/charts/chart5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5.xml" ContentType="application/vnd.openxmlformats-officedocument.drawingml.chart+xml"/>
  <Override PartName="/xl/drawings/drawing4.xml" ContentType="application/vnd.openxmlformats-officedocument.drawing+xml"/>
  <Override PartName="/xl/charts/chart7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never"/>
  <mc:AlternateContent xmlns:mc="http://schemas.openxmlformats.org/markup-compatibility/2006">
    <mc:Choice Requires="x15">
      <x15ac:absPath xmlns:x15ac="http://schemas.microsoft.com/office/spreadsheetml/2010/11/ac" url="P:\Research\SB - Research\4. Lotteries\3. Market Data\3. Australian Traditional\"/>
    </mc:Choice>
  </mc:AlternateContent>
  <xr:revisionPtr revIDLastSave="0" documentId="13_ncr:1_{90DAC115-07E5-4015-B369-8388CFFA0906}" xr6:coauthVersionLast="47" xr6:coauthVersionMax="47" xr10:uidLastSave="{00000000-0000-0000-0000-000000000000}"/>
  <bookViews>
    <workbookView xWindow="-120" yWindow="-120" windowWidth="29040" windowHeight="15720" activeTab="1" xr2:uid="{C065B3C9-B3FA-446C-A3A8-74F8FD9DC3D0}"/>
  </bookViews>
  <sheets>
    <sheet name="Powerball Regression" sheetId="1" r:id="rId1"/>
    <sheet name="Powerball Regression (2)" sheetId="4" r:id="rId2"/>
    <sheet name="Oz Lotto Regression" sheetId="2" r:id="rId3"/>
    <sheet name="Backtesting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AMO_UniqueIdentifier" hidden="1">"'2995e12c-7f92-4103-a2d1-a1d598d57c6f'"</definedName>
    <definedName name="_xlnm._FilterDatabase" localSheetId="3" hidden="1">Backtesting!$M$4:$Y$4</definedName>
    <definedName name="_xlnm._FilterDatabase" localSheetId="2" hidden="1">'Oz Lotto Regression'!$BP$3:$BP$39</definedName>
    <definedName name="_xlnm._FilterDatabase" localSheetId="0" hidden="1">'Powerball Regression'!$V$4:$Y$4</definedName>
    <definedName name="Begin_Date_Input">'[1]Base Code'!$D$7</definedName>
    <definedName name="BLPH100" hidden="1">[2]inflation!$F$7</definedName>
    <definedName name="BLPH101" hidden="1">[2]inflation!#REF!</definedName>
    <definedName name="BLPH102" hidden="1">[2]inflation!#REF!</definedName>
    <definedName name="BLPH103" hidden="1">[2]inflation!#REF!</definedName>
    <definedName name="BLPH104" hidden="1">[2]consumption!#REF!</definedName>
    <definedName name="BLPH105" hidden="1">[2]consumption!#REF!</definedName>
    <definedName name="BLPH106" hidden="1">[2]surveys!$L$7</definedName>
    <definedName name="BLPH107" hidden="1">[2]exports!$C$7</definedName>
    <definedName name="BLPH108" hidden="1">[2]surveys!#REF!</definedName>
    <definedName name="BLPH109" hidden="1">[2]surveys!$AJ$7</definedName>
    <definedName name="BLPH110" hidden="1">[3]Production!#REF!</definedName>
    <definedName name="BLPH111" hidden="1">[2]surveys!$DW$7</definedName>
    <definedName name="BLPH112" hidden="1">[2]exports!$J$7</definedName>
    <definedName name="BLPH113" hidden="1">[2]exports!$S$7</definedName>
    <definedName name="BLPH114" localSheetId="3" hidden="1">#REF!</definedName>
    <definedName name="BLPH114" hidden="1">#REF!</definedName>
    <definedName name="BLPH115" localSheetId="3" hidden="1">#REF!</definedName>
    <definedName name="BLPH115" hidden="1">#REF!</definedName>
    <definedName name="BLPH116" localSheetId="3" hidden="1">#REF!</definedName>
    <definedName name="BLPH116" hidden="1">#REF!</definedName>
    <definedName name="BLPH117" localSheetId="3" hidden="1">#REF!</definedName>
    <definedName name="BLPH117" hidden="1">#REF!</definedName>
    <definedName name="BLPH118" localSheetId="3" hidden="1">#REF!</definedName>
    <definedName name="BLPH118" hidden="1">#REF!</definedName>
    <definedName name="BLPH119" localSheetId="3" hidden="1">#REF!</definedName>
    <definedName name="BLPH119" hidden="1">#REF!</definedName>
    <definedName name="BLPH120" localSheetId="3" hidden="1">#REF!</definedName>
    <definedName name="BLPH120" hidden="1">#REF!</definedName>
    <definedName name="BLPH121" localSheetId="3" hidden="1">#REF!</definedName>
    <definedName name="BLPH121" hidden="1">#REF!</definedName>
    <definedName name="BLPH122" localSheetId="3" hidden="1">#REF!</definedName>
    <definedName name="BLPH122" hidden="1">#REF!</definedName>
    <definedName name="BLPH154" hidden="1">[2]labour!$AS$9</definedName>
    <definedName name="BLPH155" localSheetId="3" hidden="1">#REF!</definedName>
    <definedName name="BLPH155" hidden="1">#REF!</definedName>
    <definedName name="BLPH156" hidden="1">[2]consumption!#REF!</definedName>
    <definedName name="BLPH157" hidden="1">[3]Production!#REF!</definedName>
    <definedName name="BLPH158" hidden="1">[2]weekly!$K$6</definedName>
    <definedName name="BLPH159" hidden="1">[2]inflation!#REF!</definedName>
    <definedName name="BLPH171" hidden="1">[2]weekly!$N$95</definedName>
    <definedName name="BLPH172" hidden="1">[2]weekly!$U$95</definedName>
    <definedName name="BLPH173" hidden="1">[2]weekly!$E$6</definedName>
    <definedName name="BLPH174" hidden="1">[2]weekly!$H$6</definedName>
    <definedName name="BLPH175" hidden="1">[2]consumption!#REF!</definedName>
    <definedName name="BLPH176" hidden="1">[3]Production!#REF!</definedName>
    <definedName name="BLPH177" hidden="1">[3]Production!#REF!</definedName>
    <definedName name="BLPH178" hidden="1">[3]Production!#REF!</definedName>
    <definedName name="BLPH179" hidden="1">[3]Production!$AM$8</definedName>
    <definedName name="BLPH180" hidden="1">[3]Production!$AI$8</definedName>
    <definedName name="BLPH181" localSheetId="3" hidden="1">#REF!</definedName>
    <definedName name="BLPH181" hidden="1">#REF!</definedName>
    <definedName name="BLPH182" localSheetId="3" hidden="1">#REF!</definedName>
    <definedName name="BLPH182" hidden="1">#REF!</definedName>
    <definedName name="BLPH183" localSheetId="3" hidden="1">#REF!</definedName>
    <definedName name="BLPH183" hidden="1">#REF!</definedName>
    <definedName name="BLPH184" localSheetId="3" hidden="1">#REF!</definedName>
    <definedName name="BLPH184" hidden="1">#REF!</definedName>
    <definedName name="BLPH185" hidden="1">[2]exports!$G$7</definedName>
    <definedName name="BLPH186" hidden="1">[2]exports!$P$7</definedName>
    <definedName name="BLPH187" hidden="1">[3]Production!$DF$8</definedName>
    <definedName name="BLPH188" hidden="1">[3]Production!#REF!</definedName>
    <definedName name="BLPH189" hidden="1">[3]Production!#REF!</definedName>
    <definedName name="BLPH190" localSheetId="3" hidden="1">#REF!</definedName>
    <definedName name="BLPH190" hidden="1">#REF!</definedName>
    <definedName name="BLPH191" localSheetId="3" hidden="1">#REF!</definedName>
    <definedName name="BLPH191" hidden="1">#REF!</definedName>
    <definedName name="BLPH192" hidden="1">[3]Production!$DI$8</definedName>
    <definedName name="BLPH193" hidden="1">[3]Production!$BX$8</definedName>
    <definedName name="BLPH194" hidden="1">[3]Production!#REF!</definedName>
    <definedName name="BLPH195" hidden="1">[3]Production!$CF$8</definedName>
    <definedName name="BLPH196" hidden="1">[3]Production!$CN$8</definedName>
    <definedName name="BLPH197" hidden="1">[2]consumption!#REF!</definedName>
    <definedName name="BLPH198" localSheetId="3" hidden="1">#REF!</definedName>
    <definedName name="BLPH198" hidden="1">#REF!</definedName>
    <definedName name="BLPH199" hidden="1">[3]Production!$B$8</definedName>
    <definedName name="BLPH200" localSheetId="3" hidden="1">#REF!</definedName>
    <definedName name="BLPH200" hidden="1">#REF!</definedName>
    <definedName name="BLPH201" hidden="1">[2]consumption!$Z$7</definedName>
    <definedName name="BLPH202" hidden="1">[2]exports!$AC$7</definedName>
    <definedName name="BLPH203" hidden="1">[2]exports!$AM$7</definedName>
    <definedName name="BLPH204" hidden="1">[2]exports!$AQ$7</definedName>
    <definedName name="BLPH205" hidden="1">[2]exports!$Y$7</definedName>
    <definedName name="BLPH206" hidden="1">[2]exports!$BE$7</definedName>
    <definedName name="BLPH207" hidden="1">[2]exports!$BJ$7</definedName>
    <definedName name="BLPH208" hidden="1">[2]exports!$BT$7</definedName>
    <definedName name="BLPH209" hidden="1">[2]exports!$BX$7</definedName>
    <definedName name="BLPH210" hidden="1">[2]exports!$AG$7</definedName>
    <definedName name="BLPH211" hidden="1">[2]exports!$BN$7</definedName>
    <definedName name="BLPH212" localSheetId="3" hidden="1">#REF!</definedName>
    <definedName name="BLPH212" hidden="1">#REF!</definedName>
    <definedName name="BLPH213" localSheetId="3" hidden="1">#REF!</definedName>
    <definedName name="BLPH213" hidden="1">#REF!</definedName>
    <definedName name="BLPH214" localSheetId="3" hidden="1">#REF!</definedName>
    <definedName name="BLPH214" hidden="1">#REF!</definedName>
    <definedName name="BLPH215" localSheetId="3" hidden="1">#REF!</definedName>
    <definedName name="BLPH215" hidden="1">#REF!</definedName>
    <definedName name="BLPH216" hidden="1">[3]Production!$AQ$8</definedName>
    <definedName name="BLPH217" hidden="1">[3]Production!$AY$8</definedName>
    <definedName name="BLPH218" hidden="1">[3]Production!$BB$8</definedName>
    <definedName name="BLPH219" hidden="1">[3]Production!$CU$8</definedName>
    <definedName name="BLPH220" hidden="1">[2]consumption!$B$7</definedName>
    <definedName name="BLPH221" hidden="1">[2]consumption!$J$7</definedName>
    <definedName name="BLPH222" hidden="1">[2]consumption!#REF!</definedName>
    <definedName name="BLPH223" hidden="1">[2]consumption!$AM$7</definedName>
    <definedName name="BLPH224" hidden="1">[2]consumption!#REF!</definedName>
    <definedName name="BLPH225" hidden="1">[2]consumption!$AP$7</definedName>
    <definedName name="BLPH226" hidden="1">[2]inflation!$R$7</definedName>
    <definedName name="BLPH227" hidden="1">[2]inflation!$X$7</definedName>
    <definedName name="BLPH228" hidden="1">[2]inflation!$B$7</definedName>
    <definedName name="BLPH229" hidden="1">[2]inflation!$H$7</definedName>
    <definedName name="BLPH230" hidden="1">[3]Production!$DC$8</definedName>
    <definedName name="BLPH231" hidden="1">[3]Production!$BH$8</definedName>
    <definedName name="BLPH232" hidden="1">[2]consumption!$BG$7</definedName>
    <definedName name="BLPH233" hidden="1">[2]inflation!$AP$7</definedName>
    <definedName name="BLPH234" hidden="1">[2]inflation!$AV$7</definedName>
    <definedName name="BLPH235" localSheetId="3" hidden="1">#REF!</definedName>
    <definedName name="BLPH235" hidden="1">#REF!</definedName>
    <definedName name="BLPH236" localSheetId="3" hidden="1">#REF!</definedName>
    <definedName name="BLPH236" hidden="1">#REF!</definedName>
    <definedName name="BLPH237" localSheetId="3" hidden="1">#REF!</definedName>
    <definedName name="BLPH237" hidden="1">#REF!</definedName>
    <definedName name="BLPH238" localSheetId="3" hidden="1">#REF!</definedName>
    <definedName name="BLPH238" hidden="1">#REF!</definedName>
    <definedName name="BLPH239" localSheetId="3" hidden="1">#REF!</definedName>
    <definedName name="BLPH239" hidden="1">#REF!</definedName>
    <definedName name="BLPH240" localSheetId="3" hidden="1">#REF!</definedName>
    <definedName name="BLPH240" hidden="1">#REF!</definedName>
    <definedName name="BLPH241" hidden="1">[2]labour!$T$9</definedName>
    <definedName name="BLPH242" hidden="1">[2]labour!$M$9</definedName>
    <definedName name="BLPH243" localSheetId="3" hidden="1">#REF!</definedName>
    <definedName name="BLPH243" hidden="1">#REF!</definedName>
    <definedName name="BLPH244" hidden="1">[2]inflation!$AJ$7</definedName>
    <definedName name="BLPH253" hidden="1">[2]inflation!$BB$7</definedName>
    <definedName name="BLPH254" hidden="1">[2]inflation!$BH$7</definedName>
    <definedName name="BLPH255" hidden="1">[3]Production!$BP$8</definedName>
    <definedName name="BLPH256" hidden="1">[2]surveys!$X$7</definedName>
    <definedName name="BLPH257" hidden="1">[2]inflation!$BN$7</definedName>
    <definedName name="BLPH258" localSheetId="3" hidden="1">#REF!</definedName>
    <definedName name="BLPH258" hidden="1">#REF!</definedName>
    <definedName name="BLPH259" hidden="1">[2]consumption!#REF!</definedName>
    <definedName name="BLPH260" hidden="1">[2]consumption!#REF!</definedName>
    <definedName name="BLPH261" hidden="1">[2]weekly!$Q$95</definedName>
    <definedName name="BLPH262" hidden="1">'[2]Housing &amp; Construction'!$C$7</definedName>
    <definedName name="BLPH263" hidden="1">'[2]Housing &amp; Construction'!$N$7</definedName>
    <definedName name="BLPH264" hidden="1">'[2]Housing &amp; Construction'!#REF!</definedName>
    <definedName name="BLPH265" hidden="1">'[2]Housing &amp; Construction'!$AB$7</definedName>
    <definedName name="BLPH266" hidden="1">'[2]Housing &amp; Construction'!$X$7</definedName>
    <definedName name="BLPH267" hidden="1">'[2]Housing &amp; Construction'!$AM$7</definedName>
    <definedName name="BLPH268" hidden="1">'[2]Housing &amp; Construction'!$AP$7</definedName>
    <definedName name="BLPH269" hidden="1">'[2]Housing &amp; Construction'!#REF!</definedName>
    <definedName name="BLPH294" hidden="1">'[4]Data by Country'!$BO$29</definedName>
    <definedName name="BLPH60" hidden="1">[2]consumption!#REF!</definedName>
    <definedName name="BLPH61" hidden="1">[2]consumption!#REF!</definedName>
    <definedName name="BLPH67" hidden="1">[2]surveys!$H$7</definedName>
    <definedName name="BLPH68" hidden="1">[2]consumption!#REF!</definedName>
    <definedName name="BLPH69" hidden="1">[2]consumption!$AF$7</definedName>
    <definedName name="BLPH70" hidden="1">[2]consumption!$T$7</definedName>
    <definedName name="BLPH71" hidden="1">[2]surveys!#REF!</definedName>
    <definedName name="BLPH72" hidden="1">[2]surveys!$C$7</definedName>
    <definedName name="BLPH73" hidden="1">[2]surveys!$P$7</definedName>
    <definedName name="BLPH74" hidden="1">[3]Production!#REF!</definedName>
    <definedName name="BLPH75" hidden="1">[2]surveys!$T$7</definedName>
    <definedName name="BLPH76" hidden="1">[2]surveys!$AB$7</definedName>
    <definedName name="BLPH77" localSheetId="3" hidden="1">#REF!</definedName>
    <definedName name="BLPH77" hidden="1">#REF!</definedName>
    <definedName name="BLPH78" localSheetId="3" hidden="1">#REF!</definedName>
    <definedName name="BLPH78" hidden="1">#REF!</definedName>
    <definedName name="BLPH79" hidden="1">[2]weekly!$A$6</definedName>
    <definedName name="BLPH80" hidden="1">[2]labour!$B$9</definedName>
    <definedName name="BLPH81" hidden="1">[2]consumption!$BA$7</definedName>
    <definedName name="BLPH82" hidden="1">[3]Production!#REF!</definedName>
    <definedName name="BLPH83" hidden="1">[2]labour!$AG$10</definedName>
    <definedName name="BLPH84" hidden="1">[2]labour!$AK$9</definedName>
    <definedName name="BLPH85" hidden="1">[2]labour!$AO$9</definedName>
    <definedName name="BLPH86" hidden="1">[2]surveys!$AF$37</definedName>
    <definedName name="BLPH87" hidden="1">[2]consumption!$AS$7</definedName>
    <definedName name="BLPH88" hidden="1">[2]inflation!$AD$7</definedName>
    <definedName name="BLPH89" hidden="1">[3]Production!$P$56</definedName>
    <definedName name="BLPH90" localSheetId="3" hidden="1">#REF!</definedName>
    <definedName name="BLPH90" hidden="1">#REF!</definedName>
    <definedName name="BLPH91" hidden="1">[3]Production!$V$8</definedName>
    <definedName name="BLPH92" hidden="1">[3]Production!$M$12</definedName>
    <definedName name="BLPH93" hidden="1">[2]inflation!#REF!</definedName>
    <definedName name="BLPH94" hidden="1">[2]inflation!#REF!</definedName>
    <definedName name="BLPH95" hidden="1">[2]inflation!#REF!</definedName>
    <definedName name="BLPH96" hidden="1">[3]Production!$M$8</definedName>
    <definedName name="BLPH97" hidden="1">[2]inflation!#REF!</definedName>
    <definedName name="BLPH98" hidden="1">[2]inflation!#REF!</definedName>
    <definedName name="BLPH99" hidden="1">[2]inflation!#REF!</definedName>
    <definedName name="End_Date_Input">'[1]Base Code'!$D$8</definedName>
    <definedName name="End_Date_Period_One_Input">'[5]Base Code'!$C$17</definedName>
    <definedName name="End_Date_Period_Two_Input">'[5]Base Code'!$C$46</definedName>
    <definedName name="Historical_or_Polynomial_Entrants_Amounts_Array_Input">'[6]Base Code'!$G$27:$G$47</definedName>
    <definedName name="Jackpot_Amounts_Array_Input">'[6]Base Code'!$F$27:$F$47</definedName>
    <definedName name="Jackpot_Array_Inputs">'[1]Base Code'!$G$7:$G$16</definedName>
    <definedName name="Number_Entrants_Array_Inputs_Period_One">'[6]Base Code'!#REF!</definedName>
    <definedName name="Number_Of_Simulations_Input" localSheetId="3">'[6]Base Code'!$C$7</definedName>
    <definedName name="Number_Of_Simulations_Input" localSheetId="2">'[1]Base Code'!$AD$2</definedName>
    <definedName name="Number_Of_Simulations_Input">'[5]Base Code'!$C$7</definedName>
    <definedName name="Powerball_Combinations_Input">'[1]Base Code'!$D$13</definedName>
    <definedName name="Powerball_Combinations_Input_Period_One" localSheetId="3">'[6]Base Code'!$C$23</definedName>
    <definedName name="Powerball_Combinations_Input_Period_One">'[5]Base Code'!$C$20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4" l="1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8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1" i="4"/>
  <c r="I11" i="4"/>
  <c r="J10" i="4"/>
  <c r="I10" i="4"/>
  <c r="J9" i="4"/>
  <c r="I9" i="4"/>
  <c r="J8" i="4"/>
  <c r="I8" i="4"/>
  <c r="J12" i="4"/>
  <c r="I12" i="4"/>
  <c r="F59" i="4"/>
  <c r="G59" i="4"/>
  <c r="H59" i="4"/>
  <c r="F60" i="4"/>
  <c r="G60" i="4"/>
  <c r="H60" i="4"/>
  <c r="F61" i="4"/>
  <c r="G61" i="4"/>
  <c r="H61" i="4"/>
  <c r="F62" i="4"/>
  <c r="G62" i="4"/>
  <c r="H62" i="4"/>
  <c r="F63" i="4"/>
  <c r="G63" i="4"/>
  <c r="H63" i="4"/>
  <c r="F64" i="4"/>
  <c r="G64" i="4"/>
  <c r="H64" i="4"/>
  <c r="F65" i="4"/>
  <c r="G65" i="4"/>
  <c r="H65" i="4"/>
  <c r="F66" i="4"/>
  <c r="G66" i="4"/>
  <c r="H66" i="4"/>
  <c r="F67" i="4"/>
  <c r="G67" i="4"/>
  <c r="H67" i="4"/>
  <c r="F68" i="4"/>
  <c r="G68" i="4"/>
  <c r="H68" i="4"/>
  <c r="F69" i="4"/>
  <c r="G69" i="4"/>
  <c r="H69" i="4"/>
  <c r="F70" i="4"/>
  <c r="G70" i="4"/>
  <c r="H70" i="4"/>
  <c r="F71" i="4"/>
  <c r="G71" i="4"/>
  <c r="H71" i="4"/>
  <c r="F72" i="4"/>
  <c r="G72" i="4"/>
  <c r="H72" i="4"/>
  <c r="F73" i="4"/>
  <c r="G73" i="4"/>
  <c r="H73" i="4"/>
  <c r="F74" i="4"/>
  <c r="G74" i="4"/>
  <c r="H74" i="4"/>
  <c r="F75" i="4"/>
  <c r="G75" i="4"/>
  <c r="H75" i="4"/>
  <c r="F76" i="4"/>
  <c r="G76" i="4"/>
  <c r="H76" i="4"/>
  <c r="F77" i="4"/>
  <c r="G77" i="4"/>
  <c r="H77" i="4"/>
  <c r="F78" i="4"/>
  <c r="G78" i="4"/>
  <c r="H78" i="4"/>
  <c r="F79" i="4"/>
  <c r="G79" i="4"/>
  <c r="H79" i="4"/>
  <c r="F80" i="4"/>
  <c r="G80" i="4"/>
  <c r="H80" i="4"/>
  <c r="F81" i="4"/>
  <c r="G81" i="4"/>
  <c r="H81" i="4"/>
  <c r="F82" i="4"/>
  <c r="G82" i="4"/>
  <c r="H82" i="4"/>
  <c r="F83" i="4"/>
  <c r="G83" i="4"/>
  <c r="H83" i="4"/>
  <c r="F84" i="4"/>
  <c r="G84" i="4"/>
  <c r="H84" i="4"/>
  <c r="F85" i="4"/>
  <c r="G85" i="4"/>
  <c r="H85" i="4"/>
  <c r="F86" i="4"/>
  <c r="G86" i="4"/>
  <c r="H86" i="4"/>
  <c r="F87" i="4"/>
  <c r="G87" i="4"/>
  <c r="H87" i="4"/>
  <c r="F88" i="4"/>
  <c r="G88" i="4"/>
  <c r="H88" i="4"/>
  <c r="F89" i="4"/>
  <c r="G89" i="4"/>
  <c r="H89" i="4"/>
  <c r="F90" i="4"/>
  <c r="G90" i="4"/>
  <c r="H90" i="4"/>
  <c r="F91" i="4"/>
  <c r="G91" i="4"/>
  <c r="H91" i="4"/>
  <c r="F92" i="4"/>
  <c r="G92" i="4"/>
  <c r="H92" i="4"/>
  <c r="F93" i="4"/>
  <c r="G93" i="4"/>
  <c r="H93" i="4"/>
  <c r="F94" i="4"/>
  <c r="G94" i="4"/>
  <c r="H94" i="4"/>
  <c r="F95" i="4"/>
  <c r="G95" i="4"/>
  <c r="H95" i="4"/>
  <c r="F96" i="4"/>
  <c r="G96" i="4"/>
  <c r="H96" i="4"/>
  <c r="F97" i="4"/>
  <c r="G97" i="4"/>
  <c r="H97" i="4"/>
  <c r="F98" i="4"/>
  <c r="G98" i="4"/>
  <c r="H98" i="4"/>
  <c r="F99" i="4"/>
  <c r="G99" i="4"/>
  <c r="H99" i="4"/>
  <c r="F100" i="4"/>
  <c r="G100" i="4"/>
  <c r="H100" i="4"/>
  <c r="F101" i="4"/>
  <c r="G101" i="4"/>
  <c r="H101" i="4"/>
  <c r="F102" i="4"/>
  <c r="G102" i="4"/>
  <c r="H102" i="4"/>
  <c r="F103" i="4"/>
  <c r="G103" i="4"/>
  <c r="H103" i="4"/>
  <c r="F104" i="4"/>
  <c r="G104" i="4"/>
  <c r="H104" i="4"/>
  <c r="F105" i="4"/>
  <c r="G105" i="4"/>
  <c r="H105" i="4"/>
  <c r="F106" i="4"/>
  <c r="G106" i="4"/>
  <c r="H106" i="4"/>
  <c r="F107" i="4"/>
  <c r="G107" i="4"/>
  <c r="H107" i="4"/>
  <c r="F108" i="4"/>
  <c r="G108" i="4"/>
  <c r="H108" i="4"/>
  <c r="F109" i="4"/>
  <c r="G109" i="4"/>
  <c r="H109" i="4"/>
  <c r="F110" i="4"/>
  <c r="G110" i="4"/>
  <c r="H110" i="4"/>
  <c r="F111" i="4"/>
  <c r="G111" i="4"/>
  <c r="H111" i="4"/>
  <c r="F112" i="4"/>
  <c r="G112" i="4"/>
  <c r="H112" i="4"/>
  <c r="F113" i="4"/>
  <c r="G113" i="4"/>
  <c r="H113" i="4"/>
  <c r="F114" i="4"/>
  <c r="G114" i="4"/>
  <c r="H114" i="4"/>
  <c r="F115" i="4"/>
  <c r="G115" i="4"/>
  <c r="H115" i="4"/>
  <c r="F116" i="4"/>
  <c r="G116" i="4"/>
  <c r="H116" i="4"/>
  <c r="F117" i="4"/>
  <c r="G117" i="4"/>
  <c r="H117" i="4"/>
  <c r="F118" i="4"/>
  <c r="G118" i="4"/>
  <c r="H118" i="4"/>
  <c r="F119" i="4"/>
  <c r="G119" i="4"/>
  <c r="H119" i="4"/>
  <c r="F120" i="4"/>
  <c r="G120" i="4"/>
  <c r="H120" i="4"/>
  <c r="F121" i="4"/>
  <c r="G121" i="4"/>
  <c r="H121" i="4"/>
  <c r="F122" i="4"/>
  <c r="G122" i="4"/>
  <c r="H122" i="4"/>
  <c r="F123" i="4"/>
  <c r="G123" i="4"/>
  <c r="H123" i="4"/>
  <c r="F124" i="4"/>
  <c r="G124" i="4"/>
  <c r="H124" i="4"/>
  <c r="F125" i="4"/>
  <c r="G125" i="4"/>
  <c r="H125" i="4"/>
  <c r="F126" i="4"/>
  <c r="G126" i="4"/>
  <c r="H126" i="4"/>
  <c r="F127" i="4"/>
  <c r="G127" i="4"/>
  <c r="H127" i="4"/>
  <c r="F128" i="4"/>
  <c r="G128" i="4"/>
  <c r="H128" i="4"/>
  <c r="F129" i="4"/>
  <c r="G129" i="4"/>
  <c r="H129" i="4"/>
  <c r="H58" i="4"/>
  <c r="G58" i="4"/>
  <c r="F58" i="4"/>
  <c r="H57" i="4"/>
  <c r="G57" i="4"/>
  <c r="F57" i="4"/>
  <c r="H56" i="4"/>
  <c r="G56" i="4"/>
  <c r="F56" i="4"/>
  <c r="H55" i="4"/>
  <c r="G55" i="4"/>
  <c r="F55" i="4"/>
  <c r="H54" i="4"/>
  <c r="G54" i="4"/>
  <c r="F54" i="4"/>
  <c r="H53" i="4"/>
  <c r="G53" i="4"/>
  <c r="F53" i="4"/>
  <c r="H52" i="4"/>
  <c r="G52" i="4"/>
  <c r="F52" i="4"/>
  <c r="H51" i="4"/>
  <c r="G51" i="4"/>
  <c r="F51" i="4"/>
  <c r="H50" i="4"/>
  <c r="G50" i="4"/>
  <c r="F50" i="4"/>
  <c r="H49" i="4"/>
  <c r="G49" i="4"/>
  <c r="F49" i="4"/>
  <c r="H48" i="4"/>
  <c r="G48" i="4"/>
  <c r="F48" i="4"/>
  <c r="H47" i="4"/>
  <c r="G47" i="4"/>
  <c r="F47" i="4"/>
  <c r="H46" i="4"/>
  <c r="G46" i="4"/>
  <c r="F46" i="4"/>
  <c r="H45" i="4"/>
  <c r="G45" i="4"/>
  <c r="F45" i="4"/>
  <c r="H44" i="4"/>
  <c r="G44" i="4"/>
  <c r="F44" i="4"/>
  <c r="H43" i="4"/>
  <c r="G43" i="4"/>
  <c r="F43" i="4"/>
  <c r="H42" i="4"/>
  <c r="G42" i="4"/>
  <c r="F42" i="4"/>
  <c r="H41" i="4"/>
  <c r="G41" i="4"/>
  <c r="F41" i="4"/>
  <c r="H40" i="4"/>
  <c r="G40" i="4"/>
  <c r="F40" i="4"/>
  <c r="H39" i="4"/>
  <c r="G39" i="4"/>
  <c r="F39" i="4"/>
  <c r="H38" i="4"/>
  <c r="G38" i="4"/>
  <c r="F38" i="4"/>
  <c r="H37" i="4"/>
  <c r="G37" i="4"/>
  <c r="F37" i="4"/>
  <c r="H36" i="4"/>
  <c r="G36" i="4"/>
  <c r="F36" i="4"/>
  <c r="H35" i="4"/>
  <c r="G35" i="4"/>
  <c r="F35" i="4"/>
  <c r="H34" i="4"/>
  <c r="G34" i="4"/>
  <c r="F34" i="4"/>
  <c r="H33" i="4"/>
  <c r="G33" i="4"/>
  <c r="F33" i="4"/>
  <c r="H32" i="4"/>
  <c r="G32" i="4"/>
  <c r="F32" i="4"/>
  <c r="H31" i="4"/>
  <c r="G31" i="4"/>
  <c r="F31" i="4"/>
  <c r="H30" i="4"/>
  <c r="G30" i="4"/>
  <c r="F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9" i="2" l="1"/>
  <c r="DB93" i="2"/>
  <c r="DB94" i="2"/>
  <c r="DB95" i="2"/>
  <c r="DB96" i="2"/>
  <c r="DB97" i="2"/>
  <c r="DB98" i="2"/>
  <c r="DB99" i="2"/>
  <c r="DB100" i="2"/>
  <c r="DB101" i="2"/>
  <c r="DB102" i="2"/>
  <c r="DB103" i="2"/>
  <c r="DB104" i="2"/>
  <c r="DB105" i="2"/>
  <c r="DB106" i="2"/>
  <c r="DB107" i="2"/>
  <c r="DB108" i="2"/>
  <c r="DB109" i="2"/>
  <c r="DB110" i="2"/>
  <c r="DB111" i="2"/>
  <c r="DB112" i="2"/>
  <c r="DB113" i="2"/>
  <c r="DB114" i="2"/>
  <c r="DB115" i="2"/>
  <c r="DB116" i="2"/>
  <c r="DB117" i="2"/>
  <c r="DB118" i="2"/>
  <c r="DB119" i="2"/>
  <c r="DB120" i="2"/>
  <c r="DB121" i="2"/>
  <c r="DB122" i="2"/>
  <c r="DB123" i="2"/>
  <c r="DB124" i="2"/>
  <c r="DB125" i="2"/>
  <c r="DB126" i="2"/>
  <c r="DB127" i="2"/>
  <c r="DB128" i="2"/>
  <c r="DB129" i="2"/>
  <c r="DB130" i="2"/>
  <c r="DB131" i="2"/>
  <c r="DB132" i="2"/>
  <c r="DB133" i="2"/>
  <c r="DB134" i="2"/>
  <c r="DB135" i="2"/>
  <c r="DB136" i="2"/>
  <c r="DB137" i="2"/>
  <c r="DB138" i="2"/>
  <c r="DB139" i="2"/>
  <c r="DB140" i="2"/>
  <c r="DB141" i="2"/>
  <c r="DB142" i="2"/>
  <c r="DB143" i="2"/>
  <c r="DB144" i="2"/>
  <c r="DA94" i="2"/>
  <c r="DA95" i="2"/>
  <c r="DA96" i="2"/>
  <c r="DA97" i="2"/>
  <c r="DA98" i="2"/>
  <c r="DA99" i="2"/>
  <c r="DA100" i="2"/>
  <c r="DA101" i="2"/>
  <c r="DA102" i="2"/>
  <c r="DA103" i="2"/>
  <c r="DA104" i="2"/>
  <c r="DA105" i="2"/>
  <c r="DA106" i="2"/>
  <c r="DA107" i="2"/>
  <c r="DA108" i="2"/>
  <c r="DA109" i="2"/>
  <c r="DA110" i="2"/>
  <c r="DA111" i="2"/>
  <c r="DA112" i="2"/>
  <c r="DA113" i="2"/>
  <c r="DA114" i="2"/>
  <c r="DA115" i="2"/>
  <c r="DA116" i="2"/>
  <c r="DA117" i="2"/>
  <c r="DA118" i="2"/>
  <c r="DA119" i="2"/>
  <c r="DA120" i="2"/>
  <c r="DA121" i="2"/>
  <c r="DA122" i="2"/>
  <c r="DA123" i="2"/>
  <c r="DA124" i="2"/>
  <c r="DA125" i="2"/>
  <c r="DA126" i="2"/>
  <c r="DA127" i="2"/>
  <c r="DA128" i="2"/>
  <c r="DA129" i="2"/>
  <c r="DA130" i="2"/>
  <c r="DA131" i="2"/>
  <c r="DA132" i="2"/>
  <c r="DA133" i="2"/>
  <c r="DA134" i="2"/>
  <c r="DA135" i="2"/>
  <c r="DA136" i="2"/>
  <c r="DA137" i="2"/>
  <c r="DA138" i="2"/>
  <c r="DA139" i="2"/>
  <c r="DA140" i="2"/>
  <c r="DA141" i="2"/>
  <c r="DA142" i="2"/>
  <c r="DA143" i="2"/>
  <c r="DA144" i="2"/>
  <c r="DA93" i="2"/>
  <c r="CZ144" i="2"/>
  <c r="CY144" i="2"/>
  <c r="CZ143" i="2"/>
  <c r="CY143" i="2"/>
  <c r="CZ142" i="2"/>
  <c r="CY142" i="2"/>
  <c r="CZ141" i="2"/>
  <c r="CY141" i="2"/>
  <c r="CZ140" i="2"/>
  <c r="CY140" i="2"/>
  <c r="CZ139" i="2"/>
  <c r="CY139" i="2"/>
  <c r="CZ138" i="2"/>
  <c r="CY138" i="2"/>
  <c r="CZ137" i="2"/>
  <c r="CY137" i="2"/>
  <c r="CZ136" i="2"/>
  <c r="CY136" i="2"/>
  <c r="CZ135" i="2"/>
  <c r="CY135" i="2"/>
  <c r="CZ134" i="2"/>
  <c r="CY134" i="2"/>
  <c r="CZ133" i="2"/>
  <c r="CY133" i="2"/>
  <c r="CZ132" i="2"/>
  <c r="CY132" i="2"/>
  <c r="CZ131" i="2"/>
  <c r="CY131" i="2"/>
  <c r="CZ130" i="2"/>
  <c r="CY130" i="2"/>
  <c r="CZ129" i="2"/>
  <c r="CY129" i="2"/>
  <c r="CZ128" i="2"/>
  <c r="CY128" i="2"/>
  <c r="CZ127" i="2"/>
  <c r="CY127" i="2"/>
  <c r="CZ126" i="2"/>
  <c r="CY126" i="2"/>
  <c r="CZ125" i="2"/>
  <c r="CY125" i="2"/>
  <c r="CZ124" i="2"/>
  <c r="CY124" i="2"/>
  <c r="CZ123" i="2"/>
  <c r="CY123" i="2"/>
  <c r="CZ122" i="2"/>
  <c r="CY122" i="2"/>
  <c r="CZ121" i="2"/>
  <c r="CY121" i="2"/>
  <c r="CZ120" i="2"/>
  <c r="CY120" i="2"/>
  <c r="CZ119" i="2"/>
  <c r="CY119" i="2"/>
  <c r="CZ118" i="2"/>
  <c r="CY118" i="2"/>
  <c r="CZ117" i="2"/>
  <c r="CY117" i="2"/>
  <c r="CZ116" i="2"/>
  <c r="CY116" i="2"/>
  <c r="CZ115" i="2"/>
  <c r="CY115" i="2"/>
  <c r="CZ114" i="2"/>
  <c r="CY114" i="2"/>
  <c r="CZ113" i="2"/>
  <c r="CY113" i="2"/>
  <c r="CZ112" i="2"/>
  <c r="CY112" i="2"/>
  <c r="CZ111" i="2"/>
  <c r="CY111" i="2"/>
  <c r="CZ110" i="2"/>
  <c r="CY110" i="2"/>
  <c r="CZ109" i="2"/>
  <c r="CY109" i="2"/>
  <c r="CZ108" i="2"/>
  <c r="CY108" i="2"/>
  <c r="CZ107" i="2"/>
  <c r="CY107" i="2"/>
  <c r="CZ106" i="2"/>
  <c r="CY106" i="2"/>
  <c r="CZ105" i="2"/>
  <c r="CY105" i="2"/>
  <c r="CZ104" i="2"/>
  <c r="CY104" i="2"/>
  <c r="CZ103" i="2"/>
  <c r="CY103" i="2"/>
  <c r="CZ102" i="2"/>
  <c r="CY102" i="2"/>
  <c r="CZ101" i="2"/>
  <c r="CY101" i="2"/>
  <c r="CZ100" i="2"/>
  <c r="CY100" i="2"/>
  <c r="CZ99" i="2"/>
  <c r="CY99" i="2"/>
  <c r="CZ98" i="2"/>
  <c r="CY98" i="2"/>
  <c r="CZ97" i="2"/>
  <c r="CY97" i="2"/>
  <c r="CZ96" i="2"/>
  <c r="CY96" i="2"/>
  <c r="CZ95" i="2"/>
  <c r="CY95" i="2"/>
  <c r="CZ94" i="2"/>
  <c r="CY94" i="2"/>
  <c r="CZ93" i="2"/>
  <c r="CY93" i="2"/>
  <c r="DB87" i="2"/>
  <c r="CZ87" i="2"/>
  <c r="DB86" i="2"/>
  <c r="CZ86" i="2"/>
  <c r="DB85" i="2"/>
  <c r="CZ85" i="2"/>
  <c r="DB84" i="2"/>
  <c r="CZ84" i="2"/>
  <c r="DB83" i="2"/>
  <c r="CZ83" i="2"/>
  <c r="DB82" i="2"/>
  <c r="CZ82" i="2"/>
  <c r="DB81" i="2"/>
  <c r="CZ81" i="2"/>
  <c r="DB80" i="2"/>
  <c r="CZ80" i="2"/>
  <c r="DB79" i="2"/>
  <c r="CZ79" i="2"/>
  <c r="DB78" i="2"/>
  <c r="CZ78" i="2"/>
  <c r="DB77" i="2"/>
  <c r="CZ77" i="2"/>
  <c r="DB76" i="2"/>
  <c r="CZ76" i="2"/>
  <c r="DB75" i="2"/>
  <c r="CZ75" i="2"/>
  <c r="DB74" i="2"/>
  <c r="CZ74" i="2"/>
  <c r="DB73" i="2"/>
  <c r="CZ73" i="2"/>
  <c r="DB67" i="2"/>
  <c r="CZ67" i="2"/>
  <c r="DB66" i="2"/>
  <c r="CZ66" i="2"/>
  <c r="DB65" i="2"/>
  <c r="CZ65" i="2"/>
  <c r="DB64" i="2"/>
  <c r="CZ64" i="2"/>
  <c r="DB63" i="2"/>
  <c r="CZ63" i="2"/>
  <c r="DB62" i="2"/>
  <c r="CZ62" i="2"/>
  <c r="DB61" i="2"/>
  <c r="CZ61" i="2"/>
  <c r="DB60" i="2"/>
  <c r="CZ60" i="2"/>
  <c r="DB59" i="2"/>
  <c r="CZ59" i="2"/>
  <c r="DB58" i="2"/>
  <c r="CZ58" i="2"/>
  <c r="DB57" i="2"/>
  <c r="CZ57" i="2"/>
  <c r="DB56" i="2"/>
  <c r="CZ56" i="2"/>
  <c r="DB55" i="2"/>
  <c r="CZ55" i="2"/>
  <c r="DB54" i="2"/>
  <c r="CZ54" i="2"/>
  <c r="DB53" i="2"/>
  <c r="CZ53" i="2"/>
  <c r="CW8" i="2"/>
  <c r="CW7" i="2"/>
  <c r="CW6" i="2"/>
  <c r="CW5" i="2"/>
  <c r="CW4" i="2"/>
  <c r="CW3" i="2"/>
  <c r="JQ40" i="1"/>
  <c r="JQ39" i="1"/>
  <c r="JQ38" i="1"/>
  <c r="JQ37" i="1"/>
  <c r="JQ36" i="1"/>
  <c r="JQ35" i="1"/>
  <c r="JQ34" i="1"/>
  <c r="JQ33" i="1"/>
  <c r="JQ32" i="1"/>
  <c r="JQ31" i="1"/>
  <c r="JQ30" i="1"/>
  <c r="JQ29" i="1"/>
  <c r="JQ28" i="1"/>
  <c r="JQ27" i="1"/>
  <c r="JQ26" i="1"/>
  <c r="JQ25" i="1"/>
  <c r="JQ24" i="1"/>
  <c r="JQ23" i="1"/>
  <c r="JQ22" i="1"/>
  <c r="JQ21" i="1"/>
  <c r="JQ20" i="1"/>
  <c r="JQ19" i="1"/>
  <c r="JQ18" i="1"/>
  <c r="JQ17" i="1"/>
  <c r="JQ16" i="1"/>
  <c r="JQ15" i="1"/>
  <c r="JQ14" i="1"/>
  <c r="JQ13" i="1"/>
  <c r="JQ12" i="1"/>
  <c r="JQ11" i="1"/>
  <c r="CW9" i="2" l="1"/>
  <c r="JG15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72" i="1" l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IU26" i="1" l="1"/>
  <c r="IU27" i="1"/>
  <c r="IU28" i="1"/>
  <c r="IU29" i="1"/>
  <c r="IU30" i="1"/>
  <c r="IU31" i="1"/>
  <c r="IU32" i="1"/>
  <c r="IU33" i="1"/>
  <c r="IU34" i="1"/>
  <c r="IU35" i="1"/>
  <c r="IU36" i="1"/>
  <c r="IU37" i="1"/>
  <c r="IU38" i="1"/>
  <c r="IU39" i="1"/>
  <c r="IU40" i="1"/>
  <c r="JQ86" i="1" l="1"/>
  <c r="JR86" i="1"/>
  <c r="JS86" i="1"/>
  <c r="JQ87" i="1"/>
  <c r="JR87" i="1"/>
  <c r="JS87" i="1"/>
  <c r="JQ88" i="1"/>
  <c r="JR88" i="1"/>
  <c r="JS88" i="1"/>
  <c r="JQ89" i="1"/>
  <c r="JR89" i="1"/>
  <c r="JS89" i="1"/>
  <c r="JQ90" i="1"/>
  <c r="JR90" i="1"/>
  <c r="JS90" i="1"/>
  <c r="JQ91" i="1"/>
  <c r="JR91" i="1"/>
  <c r="JS91" i="1"/>
  <c r="JQ92" i="1"/>
  <c r="JR92" i="1"/>
  <c r="JS92" i="1"/>
  <c r="JQ93" i="1"/>
  <c r="JR93" i="1"/>
  <c r="JS93" i="1"/>
  <c r="JQ94" i="1"/>
  <c r="JR94" i="1"/>
  <c r="JS94" i="1"/>
  <c r="JQ95" i="1"/>
  <c r="JR95" i="1"/>
  <c r="JS95" i="1"/>
  <c r="JQ96" i="1"/>
  <c r="JR96" i="1"/>
  <c r="JS96" i="1"/>
  <c r="JQ97" i="1"/>
  <c r="JR97" i="1"/>
  <c r="JS97" i="1"/>
  <c r="JQ98" i="1"/>
  <c r="JR98" i="1"/>
  <c r="JS98" i="1"/>
  <c r="JQ99" i="1"/>
  <c r="JR99" i="1"/>
  <c r="JS99" i="1"/>
  <c r="JQ100" i="1"/>
  <c r="JR100" i="1"/>
  <c r="JS100" i="1"/>
  <c r="JQ101" i="1"/>
  <c r="JR101" i="1"/>
  <c r="JS101" i="1"/>
  <c r="JQ102" i="1"/>
  <c r="JR102" i="1"/>
  <c r="JS102" i="1"/>
  <c r="JQ103" i="1"/>
  <c r="JR103" i="1"/>
  <c r="JS103" i="1"/>
  <c r="JQ104" i="1"/>
  <c r="JR104" i="1"/>
  <c r="JS104" i="1"/>
  <c r="JQ105" i="1"/>
  <c r="JR105" i="1"/>
  <c r="JS105" i="1"/>
  <c r="JQ106" i="1"/>
  <c r="JR106" i="1"/>
  <c r="JS106" i="1"/>
  <c r="JQ107" i="1"/>
  <c r="JR107" i="1"/>
  <c r="JS107" i="1"/>
  <c r="JQ108" i="1"/>
  <c r="JR108" i="1"/>
  <c r="JS108" i="1"/>
  <c r="JQ109" i="1"/>
  <c r="JR109" i="1"/>
  <c r="JS109" i="1"/>
  <c r="JQ110" i="1"/>
  <c r="JR110" i="1"/>
  <c r="JS110" i="1"/>
  <c r="JQ111" i="1"/>
  <c r="JR111" i="1"/>
  <c r="JS111" i="1"/>
  <c r="JQ112" i="1"/>
  <c r="JR112" i="1"/>
  <c r="JS112" i="1"/>
  <c r="JQ113" i="1"/>
  <c r="JR113" i="1"/>
  <c r="JS113" i="1"/>
  <c r="JQ114" i="1"/>
  <c r="JR114" i="1"/>
  <c r="JS114" i="1"/>
  <c r="JQ115" i="1"/>
  <c r="JR115" i="1"/>
  <c r="JS115" i="1"/>
  <c r="JQ116" i="1"/>
  <c r="JR116" i="1"/>
  <c r="JS116" i="1"/>
  <c r="JQ117" i="1"/>
  <c r="JR117" i="1"/>
  <c r="JS117" i="1"/>
  <c r="JQ118" i="1"/>
  <c r="JR118" i="1"/>
  <c r="JS118" i="1"/>
  <c r="JQ119" i="1"/>
  <c r="JR119" i="1"/>
  <c r="JS119" i="1"/>
  <c r="JQ120" i="1"/>
  <c r="JR120" i="1"/>
  <c r="JS120" i="1"/>
  <c r="JQ121" i="1"/>
  <c r="JR121" i="1"/>
  <c r="JS121" i="1"/>
  <c r="JQ122" i="1"/>
  <c r="JR122" i="1"/>
  <c r="JS122" i="1"/>
  <c r="JQ123" i="1"/>
  <c r="JR123" i="1"/>
  <c r="JS123" i="1"/>
  <c r="JQ124" i="1"/>
  <c r="JR124" i="1"/>
  <c r="JS124" i="1"/>
  <c r="JQ125" i="1"/>
  <c r="JR125" i="1"/>
  <c r="JS125" i="1"/>
  <c r="JQ126" i="1"/>
  <c r="JR126" i="1"/>
  <c r="JS126" i="1"/>
  <c r="JQ127" i="1"/>
  <c r="JR127" i="1"/>
  <c r="JS127" i="1"/>
  <c r="JQ128" i="1"/>
  <c r="JR128" i="1"/>
  <c r="JS128" i="1"/>
  <c r="JQ129" i="1"/>
  <c r="JR129" i="1"/>
  <c r="JS129" i="1"/>
  <c r="JQ130" i="1"/>
  <c r="JR130" i="1"/>
  <c r="JS130" i="1"/>
  <c r="JQ131" i="1"/>
  <c r="JR131" i="1"/>
  <c r="JS131" i="1"/>
  <c r="JQ132" i="1"/>
  <c r="JR132" i="1"/>
  <c r="JS132" i="1"/>
  <c r="JQ133" i="1"/>
  <c r="JR133" i="1"/>
  <c r="JS133" i="1"/>
  <c r="JQ134" i="1"/>
  <c r="JR134" i="1"/>
  <c r="JS134" i="1"/>
  <c r="JQ135" i="1"/>
  <c r="JR135" i="1"/>
  <c r="JS135" i="1"/>
  <c r="JQ136" i="1"/>
  <c r="JR136" i="1"/>
  <c r="JS136" i="1"/>
  <c r="JQ137" i="1"/>
  <c r="JR137" i="1"/>
  <c r="JS137" i="1"/>
  <c r="JS85" i="1"/>
  <c r="JR85" i="1"/>
  <c r="JQ85" i="1"/>
  <c r="JG6" i="1"/>
  <c r="JG7" i="1"/>
  <c r="JG8" i="1"/>
  <c r="JG9" i="1"/>
  <c r="JG10" i="1"/>
  <c r="JG11" i="1"/>
  <c r="JG12" i="1"/>
  <c r="JG13" i="1"/>
  <c r="JG14" i="1"/>
  <c r="JG5" i="1"/>
  <c r="JP137" i="1"/>
  <c r="JP136" i="1"/>
  <c r="JP135" i="1"/>
  <c r="JL119" i="1"/>
  <c r="JK119" i="1"/>
  <c r="JJ119" i="1"/>
  <c r="JI119" i="1"/>
  <c r="JP134" i="1"/>
  <c r="JL118" i="1"/>
  <c r="JK118" i="1"/>
  <c r="JJ118" i="1"/>
  <c r="JI118" i="1"/>
  <c r="JP133" i="1"/>
  <c r="JL117" i="1"/>
  <c r="JK117" i="1"/>
  <c r="JJ117" i="1"/>
  <c r="JI117" i="1"/>
  <c r="JP132" i="1"/>
  <c r="JL116" i="1"/>
  <c r="JK116" i="1"/>
  <c r="JJ116" i="1"/>
  <c r="JI116" i="1"/>
  <c r="JP131" i="1"/>
  <c r="JL115" i="1"/>
  <c r="JK115" i="1"/>
  <c r="JJ115" i="1"/>
  <c r="JI115" i="1"/>
  <c r="JP130" i="1"/>
  <c r="JL114" i="1"/>
  <c r="JK114" i="1"/>
  <c r="JJ114" i="1"/>
  <c r="JI114" i="1"/>
  <c r="JP129" i="1"/>
  <c r="JL113" i="1"/>
  <c r="JK113" i="1"/>
  <c r="JJ113" i="1"/>
  <c r="JI113" i="1"/>
  <c r="JP128" i="1"/>
  <c r="JL112" i="1"/>
  <c r="JK112" i="1"/>
  <c r="JJ112" i="1"/>
  <c r="JI112" i="1"/>
  <c r="JP127" i="1"/>
  <c r="JL111" i="1"/>
  <c r="JK111" i="1"/>
  <c r="JJ111" i="1"/>
  <c r="JI111" i="1"/>
  <c r="JP126" i="1"/>
  <c r="JL110" i="1"/>
  <c r="JK110" i="1"/>
  <c r="JJ110" i="1"/>
  <c r="JI110" i="1"/>
  <c r="JP125" i="1"/>
  <c r="JL109" i="1"/>
  <c r="JK109" i="1"/>
  <c r="JJ109" i="1"/>
  <c r="JI109" i="1"/>
  <c r="JP124" i="1"/>
  <c r="JL108" i="1"/>
  <c r="JK108" i="1"/>
  <c r="JJ108" i="1"/>
  <c r="JI108" i="1"/>
  <c r="JP123" i="1"/>
  <c r="JL107" i="1"/>
  <c r="JK107" i="1"/>
  <c r="JJ107" i="1"/>
  <c r="JI107" i="1"/>
  <c r="JP122" i="1"/>
  <c r="JL106" i="1"/>
  <c r="JK106" i="1"/>
  <c r="JJ106" i="1"/>
  <c r="JI106" i="1"/>
  <c r="JP121" i="1"/>
  <c r="JL105" i="1"/>
  <c r="JK105" i="1"/>
  <c r="JJ105" i="1"/>
  <c r="JI105" i="1"/>
  <c r="JP120" i="1"/>
  <c r="JL104" i="1"/>
  <c r="JK104" i="1"/>
  <c r="JJ104" i="1"/>
  <c r="JI104" i="1"/>
  <c r="JP119" i="1"/>
  <c r="JL103" i="1"/>
  <c r="JK103" i="1"/>
  <c r="JJ103" i="1"/>
  <c r="JI103" i="1"/>
  <c r="JP118" i="1"/>
  <c r="JL102" i="1"/>
  <c r="JK102" i="1"/>
  <c r="JJ102" i="1"/>
  <c r="JI102" i="1"/>
  <c r="JP117" i="1"/>
  <c r="JL101" i="1"/>
  <c r="JK101" i="1"/>
  <c r="JJ101" i="1"/>
  <c r="JI101" i="1"/>
  <c r="JP116" i="1"/>
  <c r="JL100" i="1"/>
  <c r="JK100" i="1"/>
  <c r="JJ100" i="1"/>
  <c r="JI100" i="1"/>
  <c r="JP115" i="1"/>
  <c r="JL99" i="1"/>
  <c r="JK99" i="1"/>
  <c r="JJ99" i="1"/>
  <c r="JI99" i="1"/>
  <c r="JP114" i="1"/>
  <c r="JL98" i="1"/>
  <c r="JK98" i="1"/>
  <c r="JJ98" i="1"/>
  <c r="JI98" i="1"/>
  <c r="JP113" i="1"/>
  <c r="JL97" i="1"/>
  <c r="JK97" i="1"/>
  <c r="JJ97" i="1"/>
  <c r="JI97" i="1"/>
  <c r="JP112" i="1"/>
  <c r="JL96" i="1"/>
  <c r="JK96" i="1"/>
  <c r="JJ96" i="1"/>
  <c r="JI96" i="1"/>
  <c r="JP111" i="1"/>
  <c r="JL95" i="1"/>
  <c r="JK95" i="1"/>
  <c r="JJ95" i="1"/>
  <c r="JI95" i="1"/>
  <c r="JP110" i="1"/>
  <c r="JL94" i="1"/>
  <c r="JK94" i="1"/>
  <c r="JJ94" i="1"/>
  <c r="JI94" i="1"/>
  <c r="JP109" i="1"/>
  <c r="JL93" i="1"/>
  <c r="JK93" i="1"/>
  <c r="JJ93" i="1"/>
  <c r="JI93" i="1"/>
  <c r="JP108" i="1"/>
  <c r="JL92" i="1"/>
  <c r="JK92" i="1"/>
  <c r="JJ92" i="1"/>
  <c r="JI92" i="1"/>
  <c r="JP107" i="1"/>
  <c r="JL91" i="1"/>
  <c r="JK91" i="1"/>
  <c r="JJ91" i="1"/>
  <c r="JI91" i="1"/>
  <c r="JP106" i="1"/>
  <c r="JL90" i="1"/>
  <c r="JK90" i="1"/>
  <c r="JJ90" i="1"/>
  <c r="JI90" i="1"/>
  <c r="JP105" i="1"/>
  <c r="JL89" i="1"/>
  <c r="JK89" i="1"/>
  <c r="JJ89" i="1"/>
  <c r="JI89" i="1"/>
  <c r="JP104" i="1"/>
  <c r="JL88" i="1"/>
  <c r="JK88" i="1"/>
  <c r="JJ88" i="1"/>
  <c r="JI88" i="1"/>
  <c r="JP103" i="1"/>
  <c r="JL87" i="1"/>
  <c r="JK87" i="1"/>
  <c r="JJ87" i="1"/>
  <c r="JI87" i="1"/>
  <c r="JP102" i="1"/>
  <c r="JL86" i="1"/>
  <c r="JK86" i="1"/>
  <c r="JJ86" i="1"/>
  <c r="JI86" i="1"/>
  <c r="JP101" i="1"/>
  <c r="JL85" i="1"/>
  <c r="JK85" i="1"/>
  <c r="JJ85" i="1"/>
  <c r="JI85" i="1"/>
  <c r="JP100" i="1"/>
  <c r="JL84" i="1"/>
  <c r="JK84" i="1"/>
  <c r="JJ84" i="1"/>
  <c r="JI84" i="1"/>
  <c r="JP99" i="1"/>
  <c r="JL83" i="1"/>
  <c r="JK83" i="1"/>
  <c r="JJ83" i="1"/>
  <c r="JI83" i="1"/>
  <c r="JP98" i="1"/>
  <c r="JL82" i="1"/>
  <c r="JK82" i="1"/>
  <c r="JJ82" i="1"/>
  <c r="JI82" i="1"/>
  <c r="JP97" i="1"/>
  <c r="JL81" i="1"/>
  <c r="JK81" i="1"/>
  <c r="JJ81" i="1"/>
  <c r="JI81" i="1"/>
  <c r="JP96" i="1"/>
  <c r="JL80" i="1"/>
  <c r="JK80" i="1"/>
  <c r="JJ80" i="1"/>
  <c r="JI80" i="1"/>
  <c r="JP95" i="1"/>
  <c r="JL79" i="1"/>
  <c r="JK79" i="1"/>
  <c r="JJ79" i="1"/>
  <c r="JI79" i="1"/>
  <c r="JP94" i="1"/>
  <c r="JL78" i="1"/>
  <c r="JK78" i="1"/>
  <c r="JJ78" i="1"/>
  <c r="JI78" i="1"/>
  <c r="JP93" i="1"/>
  <c r="JL77" i="1"/>
  <c r="JK77" i="1"/>
  <c r="JJ77" i="1"/>
  <c r="JI77" i="1"/>
  <c r="JP92" i="1"/>
  <c r="JL76" i="1"/>
  <c r="JK76" i="1"/>
  <c r="JJ76" i="1"/>
  <c r="JI76" i="1"/>
  <c r="JP91" i="1"/>
  <c r="JL75" i="1"/>
  <c r="JK75" i="1"/>
  <c r="JJ75" i="1"/>
  <c r="JI75" i="1"/>
  <c r="JP90" i="1"/>
  <c r="JL74" i="1"/>
  <c r="JK74" i="1"/>
  <c r="JJ74" i="1"/>
  <c r="JI74" i="1"/>
  <c r="JP89" i="1"/>
  <c r="JL73" i="1"/>
  <c r="JK73" i="1"/>
  <c r="JJ73" i="1"/>
  <c r="JI73" i="1"/>
  <c r="JP88" i="1"/>
  <c r="JL72" i="1"/>
  <c r="JK72" i="1"/>
  <c r="JJ72" i="1"/>
  <c r="JI72" i="1"/>
  <c r="JP87" i="1"/>
  <c r="JL71" i="1"/>
  <c r="JK71" i="1"/>
  <c r="JJ71" i="1"/>
  <c r="JI71" i="1"/>
  <c r="JP86" i="1"/>
  <c r="JL70" i="1"/>
  <c r="JK70" i="1"/>
  <c r="JJ70" i="1"/>
  <c r="JI70" i="1"/>
  <c r="JP85" i="1"/>
  <c r="JL69" i="1"/>
  <c r="JK69" i="1"/>
  <c r="JJ69" i="1"/>
  <c r="JI69" i="1"/>
  <c r="JL68" i="1"/>
  <c r="JK68" i="1"/>
  <c r="JJ68" i="1"/>
  <c r="JI68" i="1"/>
  <c r="JL67" i="1"/>
  <c r="JK67" i="1"/>
  <c r="JJ67" i="1"/>
  <c r="JI67" i="1"/>
  <c r="JS80" i="1"/>
  <c r="JQ80" i="1"/>
  <c r="JL64" i="1"/>
  <c r="JJ64" i="1"/>
  <c r="JS79" i="1"/>
  <c r="JQ79" i="1"/>
  <c r="JL63" i="1"/>
  <c r="JJ63" i="1"/>
  <c r="JS78" i="1"/>
  <c r="JQ78" i="1"/>
  <c r="JL62" i="1"/>
  <c r="JJ62" i="1"/>
  <c r="JS77" i="1"/>
  <c r="JQ77" i="1"/>
  <c r="JL61" i="1"/>
  <c r="JJ61" i="1"/>
  <c r="JS76" i="1"/>
  <c r="JQ76" i="1"/>
  <c r="JL60" i="1"/>
  <c r="JJ60" i="1"/>
  <c r="JS75" i="1"/>
  <c r="JQ75" i="1"/>
  <c r="JL59" i="1"/>
  <c r="JJ59" i="1"/>
  <c r="JS74" i="1"/>
  <c r="JQ74" i="1"/>
  <c r="JL58" i="1"/>
  <c r="JJ58" i="1"/>
  <c r="JS73" i="1"/>
  <c r="JQ73" i="1"/>
  <c r="JL57" i="1"/>
  <c r="JJ57" i="1"/>
  <c r="JS72" i="1"/>
  <c r="JQ72" i="1"/>
  <c r="JL56" i="1"/>
  <c r="JJ56" i="1"/>
  <c r="JS71" i="1"/>
  <c r="JQ71" i="1"/>
  <c r="JL55" i="1"/>
  <c r="JJ55" i="1"/>
  <c r="JS70" i="1"/>
  <c r="JQ70" i="1"/>
  <c r="JL54" i="1"/>
  <c r="JJ54" i="1"/>
  <c r="JS69" i="1"/>
  <c r="JQ69" i="1"/>
  <c r="JL53" i="1"/>
  <c r="JJ53" i="1"/>
  <c r="JS68" i="1"/>
  <c r="JQ68" i="1"/>
  <c r="JL52" i="1"/>
  <c r="JJ52" i="1"/>
  <c r="JS67" i="1"/>
  <c r="JQ67" i="1"/>
  <c r="JL51" i="1"/>
  <c r="JJ51" i="1"/>
  <c r="JS66" i="1"/>
  <c r="JQ66" i="1"/>
  <c r="JL50" i="1"/>
  <c r="JJ50" i="1"/>
  <c r="JS60" i="1"/>
  <c r="JQ60" i="1"/>
  <c r="JL44" i="1"/>
  <c r="JJ44" i="1"/>
  <c r="JS59" i="1"/>
  <c r="JQ59" i="1"/>
  <c r="JL43" i="1"/>
  <c r="JJ43" i="1"/>
  <c r="JS58" i="1"/>
  <c r="JQ58" i="1"/>
  <c r="JL42" i="1"/>
  <c r="JJ42" i="1"/>
  <c r="JS57" i="1"/>
  <c r="JQ57" i="1"/>
  <c r="JL41" i="1"/>
  <c r="JJ41" i="1"/>
  <c r="JS56" i="1"/>
  <c r="JQ56" i="1"/>
  <c r="JL40" i="1"/>
  <c r="JJ40" i="1"/>
  <c r="JS55" i="1"/>
  <c r="JQ55" i="1"/>
  <c r="JL39" i="1"/>
  <c r="JJ39" i="1"/>
  <c r="JS54" i="1"/>
  <c r="JQ54" i="1"/>
  <c r="JL38" i="1"/>
  <c r="JJ38" i="1"/>
  <c r="JS53" i="1"/>
  <c r="JQ53" i="1"/>
  <c r="JL37" i="1"/>
  <c r="JJ37" i="1"/>
  <c r="JS52" i="1"/>
  <c r="JQ52" i="1"/>
  <c r="JL36" i="1"/>
  <c r="JJ36" i="1"/>
  <c r="JS51" i="1"/>
  <c r="JQ51" i="1"/>
  <c r="JL35" i="1"/>
  <c r="JJ35" i="1"/>
  <c r="JS50" i="1"/>
  <c r="JQ50" i="1"/>
  <c r="JL34" i="1"/>
  <c r="JJ34" i="1"/>
  <c r="JS49" i="1"/>
  <c r="JQ49" i="1"/>
  <c r="JL33" i="1"/>
  <c r="JJ33" i="1"/>
  <c r="JS48" i="1"/>
  <c r="JQ48" i="1"/>
  <c r="JL32" i="1"/>
  <c r="JJ32" i="1"/>
  <c r="JS47" i="1"/>
  <c r="JQ47" i="1"/>
  <c r="JL31" i="1"/>
  <c r="JJ31" i="1"/>
  <c r="JS46" i="1"/>
  <c r="JQ46" i="1"/>
  <c r="JL30" i="1"/>
  <c r="JJ30" i="1"/>
  <c r="JL25" i="1"/>
  <c r="JJ25" i="1"/>
  <c r="JL24" i="1"/>
  <c r="JJ24" i="1"/>
  <c r="JL23" i="1"/>
  <c r="JJ23" i="1"/>
  <c r="JL22" i="1"/>
  <c r="JJ22" i="1"/>
  <c r="JL21" i="1"/>
  <c r="JJ21" i="1"/>
  <c r="JL20" i="1"/>
  <c r="JJ20" i="1"/>
  <c r="JL19" i="1"/>
  <c r="JJ19" i="1"/>
  <c r="JL18" i="1"/>
  <c r="JJ18" i="1"/>
  <c r="JL17" i="1"/>
  <c r="JJ17" i="1"/>
  <c r="JL16" i="1"/>
  <c r="JJ16" i="1"/>
  <c r="JL15" i="1"/>
  <c r="JJ15" i="1"/>
  <c r="JL14" i="1"/>
  <c r="JJ14" i="1"/>
  <c r="JL13" i="1"/>
  <c r="JJ13" i="1"/>
  <c r="JL12" i="1"/>
  <c r="JJ12" i="1"/>
  <c r="JL11" i="1"/>
  <c r="JJ11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BQ79" i="1"/>
  <c r="BR79" i="1" s="1"/>
  <c r="BQ78" i="1"/>
  <c r="BR78" i="1" s="1"/>
  <c r="BQ77" i="1"/>
  <c r="BR77" i="1" s="1"/>
  <c r="BQ76" i="1"/>
  <c r="BR76" i="1" s="1"/>
  <c r="BQ75" i="1"/>
  <c r="BR75" i="1" s="1"/>
  <c r="BQ74" i="1"/>
  <c r="BR74" i="1" s="1"/>
  <c r="BQ73" i="1"/>
  <c r="BR73" i="1" s="1"/>
  <c r="BQ72" i="1"/>
  <c r="BR72" i="1" s="1"/>
  <c r="BQ71" i="1"/>
  <c r="BR71" i="1" s="1"/>
  <c r="BQ70" i="1"/>
  <c r="BR70" i="1" s="1"/>
  <c r="BQ69" i="1"/>
  <c r="BR69" i="1" s="1"/>
  <c r="BQ68" i="1"/>
  <c r="BR68" i="1" s="1"/>
  <c r="BQ67" i="1"/>
  <c r="BR67" i="1" s="1"/>
  <c r="BQ66" i="1"/>
  <c r="BR66" i="1" s="1"/>
  <c r="BQ65" i="1"/>
  <c r="BR65" i="1" s="1"/>
  <c r="BQ64" i="1"/>
  <c r="BR64" i="1" s="1"/>
  <c r="BQ63" i="1"/>
  <c r="BR63" i="1" s="1"/>
  <c r="BQ62" i="1"/>
  <c r="BR62" i="1" s="1"/>
  <c r="BQ61" i="1"/>
  <c r="BR61" i="1" s="1"/>
  <c r="BQ60" i="1"/>
  <c r="BR60" i="1" s="1"/>
  <c r="BQ59" i="1"/>
  <c r="BR59" i="1" s="1"/>
  <c r="BQ58" i="1"/>
  <c r="BR58" i="1" s="1"/>
  <c r="BQ57" i="1"/>
  <c r="BR57" i="1" s="1"/>
  <c r="BQ56" i="1"/>
  <c r="BR56" i="1" s="1"/>
  <c r="BQ55" i="1"/>
  <c r="BR55" i="1" s="1"/>
  <c r="BQ54" i="1"/>
  <c r="BR54" i="1" s="1"/>
  <c r="BQ53" i="1"/>
  <c r="BR53" i="1" s="1"/>
  <c r="BQ52" i="1"/>
  <c r="BR52" i="1" s="1"/>
  <c r="BQ51" i="1"/>
  <c r="BR51" i="1" s="1"/>
  <c r="BQ50" i="1"/>
  <c r="BR50" i="1" s="1"/>
  <c r="JG16" i="1" l="1"/>
  <c r="BF63" i="1"/>
  <c r="BE63" i="1"/>
  <c r="BF62" i="1"/>
  <c r="BE62" i="1"/>
  <c r="BF61" i="1"/>
  <c r="BE61" i="1"/>
  <c r="BF60" i="1"/>
  <c r="BE60" i="1"/>
  <c r="BF59" i="1"/>
  <c r="BE59" i="1"/>
  <c r="BF58" i="1"/>
  <c r="BE58" i="1"/>
  <c r="BF57" i="1"/>
  <c r="BE57" i="1"/>
  <c r="BF56" i="1"/>
  <c r="BE56" i="1"/>
  <c r="BF55" i="1"/>
  <c r="BE55" i="1"/>
  <c r="BG55" i="1" s="1"/>
  <c r="BD55" i="1"/>
  <c r="BC55" i="1"/>
  <c r="BC56" i="1"/>
  <c r="BC57" i="1"/>
  <c r="BC58" i="1"/>
  <c r="BC59" i="1"/>
  <c r="BC60" i="1"/>
  <c r="BC61" i="1"/>
  <c r="BC62" i="1"/>
  <c r="BC63" i="1"/>
  <c r="BD63" i="1"/>
  <c r="BD62" i="1"/>
  <c r="BD61" i="1"/>
  <c r="BD60" i="1"/>
  <c r="BD59" i="1"/>
  <c r="BD58" i="1"/>
  <c r="BD57" i="1"/>
  <c r="BD56" i="1"/>
  <c r="BG59" i="1"/>
  <c r="BG60" i="1"/>
  <c r="BG61" i="1"/>
  <c r="BG62" i="1"/>
  <c r="BG57" i="1"/>
  <c r="M97" i="2"/>
  <c r="N97" i="2"/>
  <c r="O97" i="2"/>
  <c r="P97" i="2"/>
  <c r="G20" i="2"/>
  <c r="I20" i="2" s="1"/>
  <c r="G21" i="2"/>
  <c r="I21" i="2" s="1"/>
  <c r="G22" i="2"/>
  <c r="I22" i="2" s="1"/>
  <c r="G23" i="2"/>
  <c r="I23" i="2" s="1"/>
  <c r="G24" i="2"/>
  <c r="I24" i="2" s="1"/>
  <c r="G25" i="2"/>
  <c r="H25" i="2" s="1"/>
  <c r="G26" i="2"/>
  <c r="G27" i="2"/>
  <c r="H27" i="2" s="1"/>
  <c r="G28" i="2"/>
  <c r="G19" i="2"/>
  <c r="H19" i="2" s="1"/>
  <c r="I9" i="2"/>
  <c r="I10" i="2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BQ45" i="1"/>
  <c r="BQ47" i="1"/>
  <c r="BQ46" i="1"/>
  <c r="BQ44" i="1"/>
  <c r="BQ12" i="1"/>
  <c r="BQ11" i="1"/>
  <c r="BG63" i="1" l="1"/>
  <c r="BG56" i="1"/>
  <c r="K25" i="2"/>
  <c r="K24" i="2"/>
  <c r="K23" i="2"/>
  <c r="K22" i="2"/>
  <c r="K21" i="2"/>
  <c r="J19" i="2"/>
  <c r="K20" i="2"/>
  <c r="H20" i="2"/>
  <c r="I19" i="2"/>
  <c r="K19" i="2"/>
  <c r="BG58" i="1"/>
  <c r="H26" i="2"/>
  <c r="J24" i="2"/>
  <c r="H24" i="2"/>
  <c r="J23" i="2"/>
  <c r="H23" i="2"/>
  <c r="I25" i="2"/>
  <c r="J22" i="2"/>
  <c r="H28" i="2"/>
  <c r="H22" i="2"/>
  <c r="J21" i="2"/>
  <c r="J25" i="2"/>
  <c r="H21" i="2"/>
  <c r="J20" i="2"/>
  <c r="BQ118" i="1"/>
  <c r="BS118" i="1" s="1"/>
  <c r="BQ117" i="1"/>
  <c r="BS117" i="1" s="1"/>
  <c r="BQ116" i="1"/>
  <c r="BS116" i="1" s="1"/>
  <c r="BQ115" i="1"/>
  <c r="BS115" i="1" s="1"/>
  <c r="BQ114" i="1"/>
  <c r="BS114" i="1" s="1"/>
  <c r="BQ113" i="1"/>
  <c r="BS113" i="1" s="1"/>
  <c r="BQ112" i="1"/>
  <c r="BS112" i="1" s="1"/>
  <c r="BQ111" i="1"/>
  <c r="BS111" i="1" s="1"/>
  <c r="BQ110" i="1"/>
  <c r="BS110" i="1" s="1"/>
  <c r="BQ109" i="1"/>
  <c r="BS109" i="1" s="1"/>
  <c r="BQ107" i="1"/>
  <c r="BS107" i="1" s="1"/>
  <c r="BQ106" i="1"/>
  <c r="BS106" i="1" s="1"/>
  <c r="BQ105" i="1"/>
  <c r="BS105" i="1" s="1"/>
  <c r="BQ104" i="1"/>
  <c r="BS104" i="1" s="1"/>
  <c r="BQ103" i="1"/>
  <c r="BS103" i="1" s="1"/>
  <c r="BQ102" i="1"/>
  <c r="BS102" i="1" s="1"/>
  <c r="BQ101" i="1"/>
  <c r="BS101" i="1" s="1"/>
  <c r="BQ100" i="1"/>
  <c r="BS100" i="1" s="1"/>
  <c r="BQ99" i="1"/>
  <c r="BS99" i="1" s="1"/>
  <c r="BQ98" i="1"/>
  <c r="BS98" i="1" s="1"/>
  <c r="BQ96" i="1"/>
  <c r="BS96" i="1" s="1"/>
  <c r="BQ95" i="1"/>
  <c r="BS95" i="1" s="1"/>
  <c r="BQ94" i="1"/>
  <c r="BS94" i="1" s="1"/>
  <c r="BQ93" i="1"/>
  <c r="BS93" i="1" s="1"/>
  <c r="BQ92" i="1"/>
  <c r="BS92" i="1" s="1"/>
  <c r="BQ91" i="1"/>
  <c r="BS91" i="1" s="1"/>
  <c r="BQ90" i="1"/>
  <c r="BS90" i="1" s="1"/>
  <c r="BQ89" i="1"/>
  <c r="BS89" i="1" s="1"/>
  <c r="BQ88" i="1"/>
  <c r="BS88" i="1" s="1"/>
  <c r="BQ87" i="1"/>
  <c r="BS87" i="1" s="1"/>
  <c r="BQ42" i="1"/>
  <c r="BS42" i="1" s="1"/>
  <c r="BQ41" i="1"/>
  <c r="BS41" i="1" s="1"/>
  <c r="BQ40" i="1"/>
  <c r="BS40" i="1" s="1"/>
  <c r="BQ39" i="1"/>
  <c r="BS39" i="1" s="1"/>
  <c r="BQ38" i="1"/>
  <c r="BS38" i="1" s="1"/>
  <c r="BQ37" i="1"/>
  <c r="BS37" i="1" s="1"/>
  <c r="BQ36" i="1"/>
  <c r="BS36" i="1" s="1"/>
  <c r="BQ35" i="1"/>
  <c r="BS35" i="1" s="1"/>
  <c r="BQ34" i="1"/>
  <c r="BS34" i="1" s="1"/>
  <c r="BQ33" i="1"/>
  <c r="BS33" i="1" s="1"/>
  <c r="BQ31" i="1"/>
  <c r="BS31" i="1" s="1"/>
  <c r="BQ30" i="1"/>
  <c r="BS30" i="1" s="1"/>
  <c r="BQ29" i="1"/>
  <c r="BS29" i="1" s="1"/>
  <c r="BQ28" i="1"/>
  <c r="BS28" i="1" s="1"/>
  <c r="BQ27" i="1"/>
  <c r="BS27" i="1" s="1"/>
  <c r="BQ26" i="1"/>
  <c r="BS26" i="1" s="1"/>
  <c r="BQ25" i="1"/>
  <c r="BS25" i="1" s="1"/>
  <c r="BQ24" i="1"/>
  <c r="BS24" i="1" s="1"/>
  <c r="BQ23" i="1"/>
  <c r="BS23" i="1" s="1"/>
  <c r="BQ22" i="1"/>
  <c r="BS22" i="1" s="1"/>
  <c r="P355" i="1"/>
  <c r="Q355" i="1"/>
  <c r="P356" i="1"/>
  <c r="Q356" i="1"/>
  <c r="P357" i="1"/>
  <c r="Q357" i="1"/>
  <c r="JR228" i="3"/>
  <c r="JS228" i="3"/>
  <c r="JT228" i="3"/>
  <c r="JU228" i="3"/>
  <c r="JR229" i="3"/>
  <c r="JS229" i="3"/>
  <c r="JT229" i="3"/>
  <c r="JU229" i="3"/>
  <c r="JR230" i="3"/>
  <c r="JS230" i="3"/>
  <c r="JT230" i="3"/>
  <c r="JU230" i="3"/>
  <c r="JR231" i="3"/>
  <c r="JS231" i="3"/>
  <c r="JT231" i="3"/>
  <c r="JU231" i="3"/>
  <c r="JR232" i="3"/>
  <c r="JS232" i="3"/>
  <c r="JT232" i="3"/>
  <c r="JU232" i="3"/>
  <c r="JR233" i="3"/>
  <c r="JS233" i="3"/>
  <c r="JT233" i="3"/>
  <c r="JU233" i="3"/>
  <c r="JR234" i="3"/>
  <c r="JS234" i="3"/>
  <c r="JT234" i="3"/>
  <c r="JU234" i="3"/>
  <c r="JR235" i="3"/>
  <c r="JS235" i="3"/>
  <c r="JT235" i="3"/>
  <c r="JU235" i="3"/>
  <c r="JR236" i="3"/>
  <c r="JS236" i="3"/>
  <c r="JT236" i="3"/>
  <c r="JU236" i="3"/>
  <c r="JR237" i="3"/>
  <c r="JS237" i="3"/>
  <c r="JT237" i="3"/>
  <c r="JU237" i="3"/>
  <c r="JR238" i="3"/>
  <c r="JS238" i="3"/>
  <c r="JT238" i="3"/>
  <c r="JU238" i="3"/>
  <c r="JR239" i="3"/>
  <c r="JS239" i="3"/>
  <c r="JT239" i="3"/>
  <c r="JU239" i="3"/>
  <c r="JR240" i="3"/>
  <c r="JS240" i="3"/>
  <c r="JT240" i="3"/>
  <c r="JU240" i="3"/>
  <c r="JR241" i="3"/>
  <c r="JS241" i="3"/>
  <c r="JT241" i="3"/>
  <c r="JU241" i="3"/>
  <c r="JR242" i="3"/>
  <c r="JS242" i="3"/>
  <c r="JT242" i="3"/>
  <c r="JU242" i="3"/>
  <c r="JR243" i="3"/>
  <c r="JS243" i="3"/>
  <c r="JT243" i="3"/>
  <c r="JU243" i="3"/>
  <c r="JR244" i="3"/>
  <c r="JS244" i="3"/>
  <c r="JT244" i="3"/>
  <c r="JU244" i="3"/>
  <c r="JN228" i="3"/>
  <c r="JO228" i="3"/>
  <c r="JP228" i="3"/>
  <c r="JQ228" i="3"/>
  <c r="JN229" i="3"/>
  <c r="JO229" i="3"/>
  <c r="JP229" i="3"/>
  <c r="JQ229" i="3"/>
  <c r="JN230" i="3"/>
  <c r="JO230" i="3"/>
  <c r="JP230" i="3"/>
  <c r="JQ230" i="3"/>
  <c r="JN231" i="3"/>
  <c r="JO231" i="3"/>
  <c r="JP231" i="3"/>
  <c r="JQ231" i="3"/>
  <c r="JN232" i="3"/>
  <c r="JO232" i="3"/>
  <c r="JP232" i="3"/>
  <c r="JQ232" i="3"/>
  <c r="JN233" i="3"/>
  <c r="JO233" i="3"/>
  <c r="JP233" i="3"/>
  <c r="JQ233" i="3"/>
  <c r="JN234" i="3"/>
  <c r="JO234" i="3"/>
  <c r="JP234" i="3"/>
  <c r="JQ234" i="3"/>
  <c r="JN235" i="3"/>
  <c r="JO235" i="3"/>
  <c r="JP235" i="3"/>
  <c r="JQ235" i="3"/>
  <c r="JN236" i="3"/>
  <c r="JO236" i="3"/>
  <c r="JP236" i="3"/>
  <c r="JQ236" i="3"/>
  <c r="JN237" i="3"/>
  <c r="JO237" i="3"/>
  <c r="JP237" i="3"/>
  <c r="JQ237" i="3"/>
  <c r="JN238" i="3"/>
  <c r="JO238" i="3"/>
  <c r="JP238" i="3"/>
  <c r="JQ238" i="3"/>
  <c r="JN239" i="3"/>
  <c r="JO239" i="3"/>
  <c r="JP239" i="3"/>
  <c r="JQ239" i="3"/>
  <c r="JN240" i="3"/>
  <c r="JO240" i="3"/>
  <c r="JP240" i="3"/>
  <c r="JQ240" i="3"/>
  <c r="JN241" i="3"/>
  <c r="JO241" i="3"/>
  <c r="JP241" i="3"/>
  <c r="JQ241" i="3"/>
  <c r="JN242" i="3"/>
  <c r="JO242" i="3"/>
  <c r="JP242" i="3"/>
  <c r="JQ242" i="3"/>
  <c r="JN243" i="3"/>
  <c r="JO243" i="3"/>
  <c r="JP243" i="3"/>
  <c r="JQ243" i="3"/>
  <c r="JN244" i="3"/>
  <c r="JO244" i="3"/>
  <c r="JP244" i="3"/>
  <c r="JQ244" i="3"/>
  <c r="JE228" i="3"/>
  <c r="JF228" i="3"/>
  <c r="JG228" i="3"/>
  <c r="JH228" i="3"/>
  <c r="JE229" i="3"/>
  <c r="JF229" i="3"/>
  <c r="JG229" i="3"/>
  <c r="JH229" i="3"/>
  <c r="JE230" i="3"/>
  <c r="JF230" i="3"/>
  <c r="JG230" i="3"/>
  <c r="JH230" i="3"/>
  <c r="JE231" i="3"/>
  <c r="JF231" i="3"/>
  <c r="JG231" i="3"/>
  <c r="JH231" i="3"/>
  <c r="JE232" i="3"/>
  <c r="JF232" i="3"/>
  <c r="JG232" i="3"/>
  <c r="JH232" i="3"/>
  <c r="JE233" i="3"/>
  <c r="JF233" i="3"/>
  <c r="JG233" i="3"/>
  <c r="JH233" i="3"/>
  <c r="JE234" i="3"/>
  <c r="JF234" i="3"/>
  <c r="JG234" i="3"/>
  <c r="JH234" i="3"/>
  <c r="JE235" i="3"/>
  <c r="JF235" i="3"/>
  <c r="JG235" i="3"/>
  <c r="JH235" i="3"/>
  <c r="JE236" i="3"/>
  <c r="JF236" i="3"/>
  <c r="JG236" i="3"/>
  <c r="JH236" i="3"/>
  <c r="JE237" i="3"/>
  <c r="JF237" i="3"/>
  <c r="JG237" i="3"/>
  <c r="JH237" i="3"/>
  <c r="JE238" i="3"/>
  <c r="JF238" i="3"/>
  <c r="JG238" i="3"/>
  <c r="JH238" i="3"/>
  <c r="JE239" i="3"/>
  <c r="JF239" i="3"/>
  <c r="JG239" i="3"/>
  <c r="JH239" i="3"/>
  <c r="JE240" i="3"/>
  <c r="JF240" i="3"/>
  <c r="JG240" i="3"/>
  <c r="JH240" i="3"/>
  <c r="JE241" i="3"/>
  <c r="JF241" i="3"/>
  <c r="JG241" i="3"/>
  <c r="JH241" i="3"/>
  <c r="JE242" i="3"/>
  <c r="JF242" i="3"/>
  <c r="JG242" i="3"/>
  <c r="JH242" i="3"/>
  <c r="JE243" i="3"/>
  <c r="JF243" i="3"/>
  <c r="JG243" i="3"/>
  <c r="JH243" i="3"/>
  <c r="Q344" i="3"/>
  <c r="P344" i="3"/>
  <c r="Q345" i="3"/>
  <c r="P345" i="3"/>
  <c r="Q346" i="3"/>
  <c r="P346" i="3"/>
  <c r="Q347" i="3"/>
  <c r="P347" i="3"/>
  <c r="Q348" i="3"/>
  <c r="P348" i="3"/>
  <c r="Q349" i="3"/>
  <c r="P349" i="3"/>
  <c r="Q350" i="3"/>
  <c r="P350" i="3"/>
  <c r="Q351" i="3"/>
  <c r="P351" i="3"/>
  <c r="Q352" i="3"/>
  <c r="P352" i="3"/>
  <c r="Q353" i="3"/>
  <c r="P353" i="3"/>
  <c r="Q354" i="3"/>
  <c r="P354" i="3"/>
  <c r="Q355" i="3"/>
  <c r="P355" i="3"/>
  <c r="Q356" i="3"/>
  <c r="P356" i="3"/>
  <c r="Q357" i="3"/>
  <c r="P357" i="3"/>
  <c r="Q343" i="3"/>
  <c r="P343" i="3"/>
  <c r="Q342" i="3"/>
  <c r="P342" i="3"/>
  <c r="Q341" i="3"/>
  <c r="P341" i="3"/>
  <c r="Q340" i="3"/>
  <c r="P340" i="3"/>
  <c r="Q339" i="3"/>
  <c r="P339" i="3"/>
  <c r="Q338" i="3"/>
  <c r="P338" i="3"/>
  <c r="Q337" i="3"/>
  <c r="P337" i="3"/>
  <c r="Q336" i="3"/>
  <c r="P336" i="3"/>
  <c r="Q335" i="3"/>
  <c r="P335" i="3"/>
  <c r="Q334" i="3"/>
  <c r="P334" i="3"/>
  <c r="Q333" i="3"/>
  <c r="P333" i="3"/>
  <c r="Q332" i="3"/>
  <c r="P332" i="3"/>
  <c r="Q331" i="3"/>
  <c r="P331" i="3"/>
  <c r="Q330" i="3"/>
  <c r="P330" i="3"/>
  <c r="Q329" i="3"/>
  <c r="P329" i="3"/>
  <c r="Q328" i="3"/>
  <c r="P328" i="3"/>
  <c r="Q327" i="3"/>
  <c r="P327" i="3"/>
  <c r="Q326" i="3"/>
  <c r="P326" i="3"/>
  <c r="Q325" i="3"/>
  <c r="P325" i="3"/>
  <c r="Q324" i="3"/>
  <c r="P324" i="3"/>
  <c r="Q323" i="3"/>
  <c r="P323" i="3"/>
  <c r="Q322" i="3"/>
  <c r="P322" i="3"/>
  <c r="Q321" i="3"/>
  <c r="P321" i="3"/>
  <c r="Q320" i="3"/>
  <c r="P320" i="3"/>
  <c r="Q319" i="3"/>
  <c r="P319" i="3"/>
  <c r="Q318" i="3"/>
  <c r="P318" i="3"/>
  <c r="Q317" i="3"/>
  <c r="P317" i="3"/>
  <c r="Q316" i="3"/>
  <c r="P316" i="3"/>
  <c r="Q315" i="3"/>
  <c r="P315" i="3"/>
  <c r="Q314" i="3"/>
  <c r="P314" i="3"/>
  <c r="Q313" i="3"/>
  <c r="P313" i="3"/>
  <c r="Q312" i="3"/>
  <c r="P312" i="3"/>
  <c r="Q311" i="3"/>
  <c r="P311" i="3"/>
  <c r="Q310" i="3"/>
  <c r="P310" i="3"/>
  <c r="Q309" i="3"/>
  <c r="P309" i="3"/>
  <c r="Q308" i="3"/>
  <c r="P308" i="3"/>
  <c r="Q307" i="3"/>
  <c r="P307" i="3"/>
  <c r="Q306" i="3"/>
  <c r="P306" i="3"/>
  <c r="Q305" i="3"/>
  <c r="P305" i="3"/>
  <c r="Q304" i="3"/>
  <c r="P304" i="3"/>
  <c r="Q303" i="3"/>
  <c r="P303" i="3"/>
  <c r="Q302" i="3"/>
  <c r="P302" i="3"/>
  <c r="Q301" i="3"/>
  <c r="P301" i="3"/>
  <c r="Q300" i="3"/>
  <c r="P300" i="3"/>
  <c r="Q299" i="3"/>
  <c r="P299" i="3"/>
  <c r="Q298" i="3"/>
  <c r="P298" i="3"/>
  <c r="Q297" i="3"/>
  <c r="P297" i="3"/>
  <c r="Q296" i="3"/>
  <c r="P296" i="3"/>
  <c r="Q295" i="3"/>
  <c r="P295" i="3"/>
  <c r="Q294" i="3"/>
  <c r="P294" i="3"/>
  <c r="Q293" i="3"/>
  <c r="P293" i="3"/>
  <c r="Q292" i="3"/>
  <c r="P292" i="3"/>
  <c r="Q291" i="3"/>
  <c r="P291" i="3"/>
  <c r="Q290" i="3"/>
  <c r="P290" i="3"/>
  <c r="Q289" i="3"/>
  <c r="P289" i="3"/>
  <c r="Q288" i="3"/>
  <c r="P288" i="3"/>
  <c r="Q287" i="3"/>
  <c r="P287" i="3"/>
  <c r="Q286" i="3"/>
  <c r="P286" i="3"/>
  <c r="Q285" i="3"/>
  <c r="P285" i="3"/>
  <c r="Q284" i="3"/>
  <c r="P284" i="3"/>
  <c r="Q283" i="3"/>
  <c r="P283" i="3"/>
  <c r="Q282" i="3"/>
  <c r="P282" i="3"/>
  <c r="Q281" i="3"/>
  <c r="P281" i="3"/>
  <c r="Q280" i="3"/>
  <c r="P280" i="3"/>
  <c r="Q279" i="3"/>
  <c r="P279" i="3"/>
  <c r="Q278" i="3"/>
  <c r="P278" i="3"/>
  <c r="Q277" i="3"/>
  <c r="P277" i="3"/>
  <c r="Q276" i="3"/>
  <c r="P276" i="3"/>
  <c r="Q275" i="3"/>
  <c r="P275" i="3"/>
  <c r="Q274" i="3"/>
  <c r="P274" i="3"/>
  <c r="Q273" i="3"/>
  <c r="P273" i="3"/>
  <c r="Q272" i="3"/>
  <c r="P272" i="3"/>
  <c r="Q271" i="3"/>
  <c r="P271" i="3"/>
  <c r="Q270" i="3"/>
  <c r="P270" i="3"/>
  <c r="Q269" i="3"/>
  <c r="P269" i="3"/>
  <c r="Q268" i="3"/>
  <c r="P268" i="3"/>
  <c r="Q267" i="3"/>
  <c r="P267" i="3"/>
  <c r="Q266" i="3"/>
  <c r="P266" i="3"/>
  <c r="Q265" i="3"/>
  <c r="P265" i="3"/>
  <c r="Q264" i="3"/>
  <c r="P264" i="3"/>
  <c r="Q263" i="3"/>
  <c r="P263" i="3"/>
  <c r="Q262" i="3"/>
  <c r="P262" i="3"/>
  <c r="Q261" i="3"/>
  <c r="P261" i="3"/>
  <c r="Q260" i="3"/>
  <c r="P260" i="3"/>
  <c r="Q259" i="3"/>
  <c r="P259" i="3"/>
  <c r="Q258" i="3"/>
  <c r="P258" i="3"/>
  <c r="Q257" i="3"/>
  <c r="P257" i="3"/>
  <c r="Q256" i="3"/>
  <c r="P256" i="3"/>
  <c r="Q255" i="3"/>
  <c r="P255" i="3"/>
  <c r="Q254" i="3"/>
  <c r="P254" i="3"/>
  <c r="Q253" i="3"/>
  <c r="P253" i="3"/>
  <c r="Q252" i="3"/>
  <c r="P252" i="3"/>
  <c r="Q251" i="3"/>
  <c r="P251" i="3"/>
  <c r="Q250" i="3"/>
  <c r="P250" i="3"/>
  <c r="Q249" i="3"/>
  <c r="P249" i="3"/>
  <c r="Q248" i="3"/>
  <c r="P248" i="3"/>
  <c r="Q247" i="3"/>
  <c r="P247" i="3"/>
  <c r="Q246" i="3"/>
  <c r="P246" i="3"/>
  <c r="Q245" i="3"/>
  <c r="P245" i="3"/>
  <c r="Q244" i="3"/>
  <c r="P244" i="3"/>
  <c r="Q243" i="3"/>
  <c r="P243" i="3"/>
  <c r="Q242" i="3"/>
  <c r="P242" i="3"/>
  <c r="Q241" i="3"/>
  <c r="P241" i="3"/>
  <c r="Q240" i="3"/>
  <c r="P240" i="3"/>
  <c r="Q239" i="3"/>
  <c r="P239" i="3"/>
  <c r="Q238" i="3"/>
  <c r="P238" i="3"/>
  <c r="Q237" i="3"/>
  <c r="P237" i="3"/>
  <c r="Q236" i="3"/>
  <c r="P236" i="3"/>
  <c r="Q235" i="3"/>
  <c r="P235" i="3"/>
  <c r="Q234" i="3"/>
  <c r="P234" i="3"/>
  <c r="Q233" i="3"/>
  <c r="P233" i="3"/>
  <c r="Q232" i="3"/>
  <c r="P232" i="3"/>
  <c r="Q231" i="3"/>
  <c r="P231" i="3"/>
  <c r="Q230" i="3"/>
  <c r="P230" i="3"/>
  <c r="Q229" i="3"/>
  <c r="P229" i="3"/>
  <c r="Q228" i="3"/>
  <c r="P228" i="3"/>
  <c r="JU227" i="3"/>
  <c r="JT227" i="3"/>
  <c r="JS227" i="3"/>
  <c r="JR227" i="3"/>
  <c r="JQ227" i="3"/>
  <c r="JP227" i="3"/>
  <c r="JO227" i="3"/>
  <c r="JN227" i="3"/>
  <c r="JH227" i="3"/>
  <c r="JG227" i="3"/>
  <c r="JF227" i="3"/>
  <c r="JE227" i="3"/>
  <c r="Q227" i="3"/>
  <c r="P227" i="3"/>
  <c r="JU226" i="3"/>
  <c r="JT226" i="3"/>
  <c r="JS226" i="3"/>
  <c r="JR226" i="3"/>
  <c r="JQ226" i="3"/>
  <c r="JP226" i="3"/>
  <c r="JO226" i="3"/>
  <c r="JN226" i="3"/>
  <c r="JH226" i="3"/>
  <c r="JG226" i="3"/>
  <c r="JF226" i="3"/>
  <c r="JE226" i="3"/>
  <c r="Q226" i="3"/>
  <c r="P226" i="3"/>
  <c r="JU225" i="3"/>
  <c r="JT225" i="3"/>
  <c r="JS225" i="3"/>
  <c r="JR225" i="3"/>
  <c r="JQ225" i="3"/>
  <c r="JP225" i="3"/>
  <c r="JO225" i="3"/>
  <c r="JN225" i="3"/>
  <c r="JH225" i="3"/>
  <c r="JG225" i="3"/>
  <c r="JF225" i="3"/>
  <c r="JE225" i="3"/>
  <c r="Q225" i="3"/>
  <c r="P225" i="3"/>
  <c r="JU224" i="3"/>
  <c r="JT224" i="3"/>
  <c r="JS224" i="3"/>
  <c r="JR224" i="3"/>
  <c r="JQ224" i="3"/>
  <c r="JP224" i="3"/>
  <c r="JO224" i="3"/>
  <c r="JN224" i="3"/>
  <c r="JH224" i="3"/>
  <c r="JG224" i="3"/>
  <c r="JF224" i="3"/>
  <c r="JE224" i="3"/>
  <c r="Q224" i="3"/>
  <c r="P224" i="3"/>
  <c r="JU223" i="3"/>
  <c r="JT223" i="3"/>
  <c r="JS223" i="3"/>
  <c r="JR223" i="3"/>
  <c r="JQ223" i="3"/>
  <c r="JP223" i="3"/>
  <c r="JO223" i="3"/>
  <c r="JN223" i="3"/>
  <c r="JH223" i="3"/>
  <c r="JG223" i="3"/>
  <c r="JF223" i="3"/>
  <c r="JE223" i="3"/>
  <c r="Q223" i="3"/>
  <c r="P223" i="3"/>
  <c r="JU222" i="3"/>
  <c r="JT222" i="3"/>
  <c r="JS222" i="3"/>
  <c r="JR222" i="3"/>
  <c r="JQ222" i="3"/>
  <c r="JP222" i="3"/>
  <c r="JO222" i="3"/>
  <c r="JN222" i="3"/>
  <c r="JH222" i="3"/>
  <c r="JG222" i="3"/>
  <c r="JF222" i="3"/>
  <c r="JE222" i="3"/>
  <c r="Q222" i="3"/>
  <c r="P222" i="3"/>
  <c r="JU221" i="3"/>
  <c r="JT221" i="3"/>
  <c r="JS221" i="3"/>
  <c r="JR221" i="3"/>
  <c r="JQ221" i="3"/>
  <c r="JP221" i="3"/>
  <c r="JO221" i="3"/>
  <c r="JN221" i="3"/>
  <c r="JH221" i="3"/>
  <c r="JG221" i="3"/>
  <c r="JF221" i="3"/>
  <c r="JE221" i="3"/>
  <c r="Q221" i="3"/>
  <c r="P221" i="3"/>
  <c r="JU220" i="3"/>
  <c r="JT220" i="3"/>
  <c r="JS220" i="3"/>
  <c r="JR220" i="3"/>
  <c r="JQ220" i="3"/>
  <c r="JP220" i="3"/>
  <c r="JO220" i="3"/>
  <c r="JN220" i="3"/>
  <c r="JH220" i="3"/>
  <c r="JG220" i="3"/>
  <c r="JF220" i="3"/>
  <c r="JE220" i="3"/>
  <c r="Q220" i="3"/>
  <c r="P220" i="3"/>
  <c r="JU219" i="3"/>
  <c r="JT219" i="3"/>
  <c r="JS219" i="3"/>
  <c r="JR219" i="3"/>
  <c r="JQ219" i="3"/>
  <c r="JP219" i="3"/>
  <c r="JO219" i="3"/>
  <c r="JN219" i="3"/>
  <c r="JH219" i="3"/>
  <c r="JG219" i="3"/>
  <c r="JF219" i="3"/>
  <c r="JE219" i="3"/>
  <c r="Q219" i="3"/>
  <c r="P219" i="3"/>
  <c r="JU218" i="3"/>
  <c r="JT218" i="3"/>
  <c r="JS218" i="3"/>
  <c r="JR218" i="3"/>
  <c r="JQ218" i="3"/>
  <c r="JP218" i="3"/>
  <c r="JO218" i="3"/>
  <c r="JN218" i="3"/>
  <c r="JH218" i="3"/>
  <c r="JG218" i="3"/>
  <c r="JF218" i="3"/>
  <c r="JE218" i="3"/>
  <c r="Q218" i="3"/>
  <c r="P218" i="3"/>
  <c r="JU217" i="3"/>
  <c r="JT217" i="3"/>
  <c r="JS217" i="3"/>
  <c r="JR217" i="3"/>
  <c r="JQ217" i="3"/>
  <c r="JP217" i="3"/>
  <c r="JO217" i="3"/>
  <c r="JN217" i="3"/>
  <c r="JH217" i="3"/>
  <c r="JG217" i="3"/>
  <c r="JF217" i="3"/>
  <c r="JE217" i="3"/>
  <c r="Q217" i="3"/>
  <c r="P217" i="3"/>
  <c r="JU216" i="3"/>
  <c r="JT216" i="3"/>
  <c r="JS216" i="3"/>
  <c r="JR216" i="3"/>
  <c r="JQ216" i="3"/>
  <c r="JP216" i="3"/>
  <c r="JO216" i="3"/>
  <c r="JN216" i="3"/>
  <c r="JH216" i="3"/>
  <c r="JG216" i="3"/>
  <c r="JF216" i="3"/>
  <c r="JE216" i="3"/>
  <c r="Q216" i="3"/>
  <c r="P216" i="3"/>
  <c r="JU215" i="3"/>
  <c r="JT215" i="3"/>
  <c r="JS215" i="3"/>
  <c r="JR215" i="3"/>
  <c r="JQ215" i="3"/>
  <c r="JP215" i="3"/>
  <c r="JO215" i="3"/>
  <c r="JN215" i="3"/>
  <c r="JH215" i="3"/>
  <c r="JG215" i="3"/>
  <c r="JF215" i="3"/>
  <c r="JE215" i="3"/>
  <c r="Q215" i="3"/>
  <c r="P215" i="3"/>
  <c r="JU214" i="3"/>
  <c r="JT214" i="3"/>
  <c r="JS214" i="3"/>
  <c r="JR214" i="3"/>
  <c r="JQ214" i="3"/>
  <c r="JP214" i="3"/>
  <c r="JO214" i="3"/>
  <c r="JN214" i="3"/>
  <c r="JH214" i="3"/>
  <c r="JG214" i="3"/>
  <c r="JF214" i="3"/>
  <c r="JE214" i="3"/>
  <c r="Q214" i="3"/>
  <c r="P214" i="3"/>
  <c r="JU213" i="3"/>
  <c r="JT213" i="3"/>
  <c r="JS213" i="3"/>
  <c r="JR213" i="3"/>
  <c r="JQ213" i="3"/>
  <c r="JP213" i="3"/>
  <c r="JO213" i="3"/>
  <c r="JN213" i="3"/>
  <c r="JH213" i="3"/>
  <c r="JG213" i="3"/>
  <c r="JF213" i="3"/>
  <c r="JE213" i="3"/>
  <c r="Q213" i="3"/>
  <c r="P213" i="3"/>
  <c r="JU212" i="3"/>
  <c r="JT212" i="3"/>
  <c r="JS212" i="3"/>
  <c r="JR212" i="3"/>
  <c r="JQ212" i="3"/>
  <c r="JP212" i="3"/>
  <c r="JO212" i="3"/>
  <c r="JN212" i="3"/>
  <c r="JH212" i="3"/>
  <c r="JG212" i="3"/>
  <c r="JF212" i="3"/>
  <c r="JE212" i="3"/>
  <c r="Q212" i="3"/>
  <c r="P212" i="3"/>
  <c r="JU211" i="3"/>
  <c r="JT211" i="3"/>
  <c r="JS211" i="3"/>
  <c r="JR211" i="3"/>
  <c r="JQ211" i="3"/>
  <c r="JP211" i="3"/>
  <c r="JO211" i="3"/>
  <c r="JN211" i="3"/>
  <c r="JH211" i="3"/>
  <c r="JG211" i="3"/>
  <c r="JF211" i="3"/>
  <c r="JE211" i="3"/>
  <c r="Q211" i="3"/>
  <c r="P211" i="3"/>
  <c r="JU210" i="3"/>
  <c r="JT210" i="3"/>
  <c r="JS210" i="3"/>
  <c r="JR210" i="3"/>
  <c r="JQ210" i="3"/>
  <c r="JP210" i="3"/>
  <c r="JO210" i="3"/>
  <c r="JN210" i="3"/>
  <c r="JH210" i="3"/>
  <c r="JG210" i="3"/>
  <c r="JF210" i="3"/>
  <c r="JE210" i="3"/>
  <c r="Q210" i="3"/>
  <c r="P210" i="3"/>
  <c r="JU209" i="3"/>
  <c r="JT209" i="3"/>
  <c r="JS209" i="3"/>
  <c r="JR209" i="3"/>
  <c r="JQ209" i="3"/>
  <c r="JP209" i="3"/>
  <c r="JO209" i="3"/>
  <c r="JN209" i="3"/>
  <c r="JH209" i="3"/>
  <c r="JG209" i="3"/>
  <c r="JF209" i="3"/>
  <c r="JE209" i="3"/>
  <c r="Q209" i="3"/>
  <c r="P209" i="3"/>
  <c r="JU208" i="3"/>
  <c r="JT208" i="3"/>
  <c r="JS208" i="3"/>
  <c r="JR208" i="3"/>
  <c r="JQ208" i="3"/>
  <c r="JP208" i="3"/>
  <c r="JO208" i="3"/>
  <c r="JN208" i="3"/>
  <c r="JH208" i="3"/>
  <c r="JG208" i="3"/>
  <c r="JF208" i="3"/>
  <c r="JE208" i="3"/>
  <c r="Q208" i="3"/>
  <c r="P208" i="3"/>
  <c r="JU207" i="3"/>
  <c r="JT207" i="3"/>
  <c r="JS207" i="3"/>
  <c r="JR207" i="3"/>
  <c r="JQ207" i="3"/>
  <c r="JP207" i="3"/>
  <c r="JO207" i="3"/>
  <c r="JN207" i="3"/>
  <c r="JH207" i="3"/>
  <c r="JG207" i="3"/>
  <c r="JF207" i="3"/>
  <c r="JE207" i="3"/>
  <c r="Q207" i="3"/>
  <c r="P207" i="3"/>
  <c r="JU206" i="3"/>
  <c r="JT206" i="3"/>
  <c r="JS206" i="3"/>
  <c r="JR206" i="3"/>
  <c r="JQ206" i="3"/>
  <c r="JP206" i="3"/>
  <c r="JO206" i="3"/>
  <c r="JN206" i="3"/>
  <c r="JH206" i="3"/>
  <c r="JG206" i="3"/>
  <c r="JF206" i="3"/>
  <c r="JE206" i="3"/>
  <c r="Q206" i="3"/>
  <c r="P206" i="3"/>
  <c r="JU205" i="3"/>
  <c r="JT205" i="3"/>
  <c r="JS205" i="3"/>
  <c r="JR205" i="3"/>
  <c r="JQ205" i="3"/>
  <c r="JP205" i="3"/>
  <c r="JO205" i="3"/>
  <c r="JN205" i="3"/>
  <c r="JH205" i="3"/>
  <c r="JG205" i="3"/>
  <c r="JF205" i="3"/>
  <c r="JE205" i="3"/>
  <c r="Q205" i="3"/>
  <c r="P205" i="3"/>
  <c r="JU204" i="3"/>
  <c r="JT204" i="3"/>
  <c r="JS204" i="3"/>
  <c r="JR204" i="3"/>
  <c r="JQ204" i="3"/>
  <c r="JP204" i="3"/>
  <c r="JO204" i="3"/>
  <c r="JN204" i="3"/>
  <c r="JH204" i="3"/>
  <c r="JG204" i="3"/>
  <c r="JF204" i="3"/>
  <c r="JE204" i="3"/>
  <c r="Q204" i="3"/>
  <c r="P204" i="3"/>
  <c r="JU203" i="3"/>
  <c r="JT203" i="3"/>
  <c r="JS203" i="3"/>
  <c r="JR203" i="3"/>
  <c r="JQ203" i="3"/>
  <c r="JP203" i="3"/>
  <c r="JO203" i="3"/>
  <c r="JN203" i="3"/>
  <c r="JH203" i="3"/>
  <c r="JG203" i="3"/>
  <c r="JF203" i="3"/>
  <c r="JE203" i="3"/>
  <c r="Q203" i="3"/>
  <c r="P203" i="3"/>
  <c r="JU202" i="3"/>
  <c r="JT202" i="3"/>
  <c r="JS202" i="3"/>
  <c r="JR202" i="3"/>
  <c r="JQ202" i="3"/>
  <c r="JP202" i="3"/>
  <c r="JO202" i="3"/>
  <c r="JN202" i="3"/>
  <c r="JH202" i="3"/>
  <c r="JG202" i="3"/>
  <c r="JF202" i="3"/>
  <c r="JE202" i="3"/>
  <c r="Q202" i="3"/>
  <c r="P202" i="3"/>
  <c r="JU201" i="3"/>
  <c r="JT201" i="3"/>
  <c r="JS201" i="3"/>
  <c r="JR201" i="3"/>
  <c r="JQ201" i="3"/>
  <c r="JP201" i="3"/>
  <c r="JO201" i="3"/>
  <c r="JN201" i="3"/>
  <c r="JH201" i="3"/>
  <c r="JG201" i="3"/>
  <c r="JF201" i="3"/>
  <c r="JE201" i="3"/>
  <c r="Q201" i="3"/>
  <c r="P201" i="3"/>
  <c r="JU200" i="3"/>
  <c r="JT200" i="3"/>
  <c r="JS200" i="3"/>
  <c r="JR200" i="3"/>
  <c r="JQ200" i="3"/>
  <c r="JP200" i="3"/>
  <c r="JO200" i="3"/>
  <c r="JN200" i="3"/>
  <c r="JH200" i="3"/>
  <c r="JG200" i="3"/>
  <c r="JF200" i="3"/>
  <c r="JE200" i="3"/>
  <c r="Q200" i="3"/>
  <c r="P200" i="3"/>
  <c r="JU199" i="3"/>
  <c r="JT199" i="3"/>
  <c r="JS199" i="3"/>
  <c r="JR199" i="3"/>
  <c r="JQ199" i="3"/>
  <c r="JP199" i="3"/>
  <c r="JO199" i="3"/>
  <c r="JN199" i="3"/>
  <c r="JH199" i="3"/>
  <c r="JG199" i="3"/>
  <c r="JF199" i="3"/>
  <c r="JE199" i="3"/>
  <c r="Q199" i="3"/>
  <c r="P199" i="3"/>
  <c r="JU198" i="3"/>
  <c r="JT198" i="3"/>
  <c r="JS198" i="3"/>
  <c r="JR198" i="3"/>
  <c r="JQ198" i="3"/>
  <c r="JP198" i="3"/>
  <c r="JO198" i="3"/>
  <c r="JN198" i="3"/>
  <c r="JH198" i="3"/>
  <c r="JG198" i="3"/>
  <c r="JF198" i="3"/>
  <c r="JE198" i="3"/>
  <c r="Q198" i="3"/>
  <c r="P198" i="3"/>
  <c r="JU197" i="3"/>
  <c r="JT197" i="3"/>
  <c r="JS197" i="3"/>
  <c r="JR197" i="3"/>
  <c r="JQ197" i="3"/>
  <c r="JP197" i="3"/>
  <c r="JO197" i="3"/>
  <c r="JN197" i="3"/>
  <c r="JH197" i="3"/>
  <c r="JG197" i="3"/>
  <c r="JF197" i="3"/>
  <c r="JE197" i="3"/>
  <c r="Q197" i="3"/>
  <c r="P197" i="3"/>
  <c r="JU196" i="3"/>
  <c r="JT196" i="3"/>
  <c r="JS196" i="3"/>
  <c r="JR196" i="3"/>
  <c r="JQ196" i="3"/>
  <c r="JP196" i="3"/>
  <c r="JO196" i="3"/>
  <c r="JN196" i="3"/>
  <c r="JH196" i="3"/>
  <c r="JG196" i="3"/>
  <c r="JF196" i="3"/>
  <c r="JE196" i="3"/>
  <c r="Q196" i="3"/>
  <c r="P196" i="3"/>
  <c r="JU195" i="3"/>
  <c r="JT195" i="3"/>
  <c r="JS195" i="3"/>
  <c r="JR195" i="3"/>
  <c r="JQ195" i="3"/>
  <c r="JP195" i="3"/>
  <c r="JO195" i="3"/>
  <c r="JN195" i="3"/>
  <c r="JH195" i="3"/>
  <c r="JG195" i="3"/>
  <c r="JF195" i="3"/>
  <c r="JE195" i="3"/>
  <c r="Q195" i="3"/>
  <c r="P195" i="3"/>
  <c r="JU194" i="3"/>
  <c r="JT194" i="3"/>
  <c r="JS194" i="3"/>
  <c r="JR194" i="3"/>
  <c r="JQ194" i="3"/>
  <c r="JP194" i="3"/>
  <c r="JO194" i="3"/>
  <c r="JN194" i="3"/>
  <c r="JH194" i="3"/>
  <c r="JG194" i="3"/>
  <c r="JF194" i="3"/>
  <c r="JE194" i="3"/>
  <c r="Q194" i="3"/>
  <c r="P194" i="3"/>
  <c r="JU193" i="3"/>
  <c r="JT193" i="3"/>
  <c r="JS193" i="3"/>
  <c r="JR193" i="3"/>
  <c r="JQ193" i="3"/>
  <c r="JP193" i="3"/>
  <c r="JO193" i="3"/>
  <c r="JN193" i="3"/>
  <c r="JH193" i="3"/>
  <c r="JG193" i="3"/>
  <c r="JF193" i="3"/>
  <c r="JE193" i="3"/>
  <c r="Q193" i="3"/>
  <c r="P193" i="3"/>
  <c r="JU192" i="3"/>
  <c r="JT192" i="3"/>
  <c r="JS192" i="3"/>
  <c r="JR192" i="3"/>
  <c r="JQ192" i="3"/>
  <c r="JP192" i="3"/>
  <c r="JO192" i="3"/>
  <c r="JN192" i="3"/>
  <c r="JH192" i="3"/>
  <c r="JG192" i="3"/>
  <c r="JF192" i="3"/>
  <c r="JE192" i="3"/>
  <c r="Q192" i="3"/>
  <c r="P192" i="3"/>
  <c r="JU191" i="3"/>
  <c r="JT191" i="3"/>
  <c r="JS191" i="3"/>
  <c r="JR191" i="3"/>
  <c r="JQ191" i="3"/>
  <c r="JP191" i="3"/>
  <c r="JO191" i="3"/>
  <c r="JN191" i="3"/>
  <c r="JH191" i="3"/>
  <c r="JG191" i="3"/>
  <c r="JF191" i="3"/>
  <c r="JE191" i="3"/>
  <c r="Q191" i="3"/>
  <c r="P191" i="3"/>
  <c r="JU190" i="3"/>
  <c r="JT190" i="3"/>
  <c r="JS190" i="3"/>
  <c r="JR190" i="3"/>
  <c r="JQ190" i="3"/>
  <c r="JP190" i="3"/>
  <c r="JO190" i="3"/>
  <c r="JN190" i="3"/>
  <c r="JH190" i="3"/>
  <c r="JG190" i="3"/>
  <c r="JF190" i="3"/>
  <c r="JE190" i="3"/>
  <c r="Q190" i="3"/>
  <c r="P190" i="3"/>
  <c r="JU189" i="3"/>
  <c r="JT189" i="3"/>
  <c r="JS189" i="3"/>
  <c r="JR189" i="3"/>
  <c r="JQ189" i="3"/>
  <c r="JP189" i="3"/>
  <c r="JO189" i="3"/>
  <c r="JN189" i="3"/>
  <c r="JH189" i="3"/>
  <c r="JG189" i="3"/>
  <c r="JF189" i="3"/>
  <c r="JE189" i="3"/>
  <c r="Q189" i="3"/>
  <c r="P189" i="3"/>
  <c r="JU188" i="3"/>
  <c r="JT188" i="3"/>
  <c r="JS188" i="3"/>
  <c r="JR188" i="3"/>
  <c r="JQ188" i="3"/>
  <c r="JP188" i="3"/>
  <c r="JO188" i="3"/>
  <c r="JN188" i="3"/>
  <c r="JH188" i="3"/>
  <c r="JG188" i="3"/>
  <c r="JF188" i="3"/>
  <c r="JE188" i="3"/>
  <c r="Q188" i="3"/>
  <c r="P188" i="3"/>
  <c r="JU187" i="3"/>
  <c r="JT187" i="3"/>
  <c r="JS187" i="3"/>
  <c r="JR187" i="3"/>
  <c r="JQ187" i="3"/>
  <c r="JP187" i="3"/>
  <c r="JO187" i="3"/>
  <c r="JN187" i="3"/>
  <c r="JH187" i="3"/>
  <c r="JG187" i="3"/>
  <c r="JF187" i="3"/>
  <c r="JE187" i="3"/>
  <c r="Q187" i="3"/>
  <c r="P187" i="3"/>
  <c r="JU186" i="3"/>
  <c r="JT186" i="3"/>
  <c r="JS186" i="3"/>
  <c r="JR186" i="3"/>
  <c r="JQ186" i="3"/>
  <c r="JP186" i="3"/>
  <c r="JO186" i="3"/>
  <c r="JN186" i="3"/>
  <c r="JH186" i="3"/>
  <c r="JG186" i="3"/>
  <c r="JF186" i="3"/>
  <c r="JE186" i="3"/>
  <c r="Q186" i="3"/>
  <c r="P186" i="3"/>
  <c r="JU185" i="3"/>
  <c r="JT185" i="3"/>
  <c r="JS185" i="3"/>
  <c r="JR185" i="3"/>
  <c r="JQ185" i="3"/>
  <c r="JP185" i="3"/>
  <c r="JO185" i="3"/>
  <c r="JN185" i="3"/>
  <c r="JH185" i="3"/>
  <c r="JG185" i="3"/>
  <c r="JF185" i="3"/>
  <c r="JE185" i="3"/>
  <c r="Q185" i="3"/>
  <c r="P185" i="3"/>
  <c r="JU184" i="3"/>
  <c r="JT184" i="3"/>
  <c r="JS184" i="3"/>
  <c r="JR184" i="3"/>
  <c r="JQ184" i="3"/>
  <c r="JP184" i="3"/>
  <c r="JO184" i="3"/>
  <c r="JN184" i="3"/>
  <c r="JH184" i="3"/>
  <c r="JG184" i="3"/>
  <c r="JF184" i="3"/>
  <c r="JE184" i="3"/>
  <c r="Q184" i="3"/>
  <c r="P184" i="3"/>
  <c r="JU183" i="3"/>
  <c r="JT183" i="3"/>
  <c r="JS183" i="3"/>
  <c r="JR183" i="3"/>
  <c r="JQ183" i="3"/>
  <c r="JP183" i="3"/>
  <c r="JO183" i="3"/>
  <c r="JN183" i="3"/>
  <c r="JH183" i="3"/>
  <c r="JG183" i="3"/>
  <c r="JF183" i="3"/>
  <c r="JE183" i="3"/>
  <c r="Q183" i="3"/>
  <c r="P183" i="3"/>
  <c r="JU182" i="3"/>
  <c r="JT182" i="3"/>
  <c r="JS182" i="3"/>
  <c r="JR182" i="3"/>
  <c r="JQ182" i="3"/>
  <c r="JP182" i="3"/>
  <c r="JO182" i="3"/>
  <c r="JN182" i="3"/>
  <c r="JH182" i="3"/>
  <c r="JG182" i="3"/>
  <c r="JF182" i="3"/>
  <c r="JE182" i="3"/>
  <c r="Q182" i="3"/>
  <c r="P182" i="3"/>
  <c r="JU181" i="3"/>
  <c r="JT181" i="3"/>
  <c r="JS181" i="3"/>
  <c r="JR181" i="3"/>
  <c r="JQ181" i="3"/>
  <c r="JP181" i="3"/>
  <c r="JO181" i="3"/>
  <c r="JN181" i="3"/>
  <c r="JH181" i="3"/>
  <c r="JG181" i="3"/>
  <c r="JF181" i="3"/>
  <c r="JE181" i="3"/>
  <c r="Q181" i="3"/>
  <c r="P181" i="3"/>
  <c r="JU180" i="3"/>
  <c r="JT180" i="3"/>
  <c r="JS180" i="3"/>
  <c r="JR180" i="3"/>
  <c r="JQ180" i="3"/>
  <c r="JP180" i="3"/>
  <c r="JO180" i="3"/>
  <c r="JN180" i="3"/>
  <c r="JH180" i="3"/>
  <c r="JG180" i="3"/>
  <c r="JF180" i="3"/>
  <c r="JE180" i="3"/>
  <c r="Q180" i="3"/>
  <c r="P180" i="3"/>
  <c r="JU179" i="3"/>
  <c r="JT179" i="3"/>
  <c r="JS179" i="3"/>
  <c r="JR179" i="3"/>
  <c r="JQ179" i="3"/>
  <c r="JP179" i="3"/>
  <c r="JO179" i="3"/>
  <c r="JN179" i="3"/>
  <c r="JH179" i="3"/>
  <c r="JG179" i="3"/>
  <c r="JF179" i="3"/>
  <c r="JE179" i="3"/>
  <c r="Q179" i="3"/>
  <c r="P179" i="3"/>
  <c r="JU178" i="3"/>
  <c r="JT178" i="3"/>
  <c r="JS178" i="3"/>
  <c r="JR178" i="3"/>
  <c r="JQ178" i="3"/>
  <c r="JP178" i="3"/>
  <c r="JO178" i="3"/>
  <c r="JN178" i="3"/>
  <c r="JH178" i="3"/>
  <c r="JG178" i="3"/>
  <c r="JF178" i="3"/>
  <c r="JE178" i="3"/>
  <c r="Q178" i="3"/>
  <c r="P178" i="3"/>
  <c r="JU177" i="3"/>
  <c r="JT177" i="3"/>
  <c r="JS177" i="3"/>
  <c r="JR177" i="3"/>
  <c r="JQ177" i="3"/>
  <c r="JP177" i="3"/>
  <c r="JO177" i="3"/>
  <c r="JN177" i="3"/>
  <c r="JH177" i="3"/>
  <c r="JG177" i="3"/>
  <c r="JF177" i="3"/>
  <c r="JE177" i="3"/>
  <c r="Q177" i="3"/>
  <c r="P177" i="3"/>
  <c r="JU176" i="3"/>
  <c r="JT176" i="3"/>
  <c r="JS176" i="3"/>
  <c r="JR176" i="3"/>
  <c r="JQ176" i="3"/>
  <c r="JP176" i="3"/>
  <c r="JO176" i="3"/>
  <c r="JN176" i="3"/>
  <c r="JH176" i="3"/>
  <c r="JG176" i="3"/>
  <c r="JF176" i="3"/>
  <c r="JE176" i="3"/>
  <c r="Q176" i="3"/>
  <c r="P176" i="3"/>
  <c r="JU175" i="3"/>
  <c r="JT175" i="3"/>
  <c r="JS175" i="3"/>
  <c r="JR175" i="3"/>
  <c r="JQ175" i="3"/>
  <c r="JP175" i="3"/>
  <c r="JO175" i="3"/>
  <c r="JN175" i="3"/>
  <c r="JH175" i="3"/>
  <c r="JG175" i="3"/>
  <c r="JF175" i="3"/>
  <c r="JE175" i="3"/>
  <c r="Q175" i="3"/>
  <c r="P175" i="3"/>
  <c r="JU174" i="3"/>
  <c r="JT174" i="3"/>
  <c r="JS174" i="3"/>
  <c r="JR174" i="3"/>
  <c r="JQ174" i="3"/>
  <c r="JP174" i="3"/>
  <c r="JO174" i="3"/>
  <c r="JN174" i="3"/>
  <c r="JH174" i="3"/>
  <c r="JG174" i="3"/>
  <c r="JF174" i="3"/>
  <c r="JE174" i="3"/>
  <c r="Q174" i="3"/>
  <c r="P174" i="3"/>
  <c r="JU173" i="3"/>
  <c r="JT173" i="3"/>
  <c r="JS173" i="3"/>
  <c r="JR173" i="3"/>
  <c r="JQ173" i="3"/>
  <c r="JP173" i="3"/>
  <c r="JO173" i="3"/>
  <c r="JN173" i="3"/>
  <c r="JH173" i="3"/>
  <c r="JG173" i="3"/>
  <c r="JF173" i="3"/>
  <c r="JE173" i="3"/>
  <c r="Q173" i="3"/>
  <c r="P173" i="3"/>
  <c r="JU172" i="3"/>
  <c r="JT172" i="3"/>
  <c r="JS172" i="3"/>
  <c r="JR172" i="3"/>
  <c r="JQ172" i="3"/>
  <c r="JP172" i="3"/>
  <c r="JO172" i="3"/>
  <c r="JN172" i="3"/>
  <c r="JH172" i="3"/>
  <c r="JG172" i="3"/>
  <c r="JF172" i="3"/>
  <c r="JE172" i="3"/>
  <c r="Q172" i="3"/>
  <c r="P172" i="3"/>
  <c r="JU171" i="3"/>
  <c r="JT171" i="3"/>
  <c r="JS171" i="3"/>
  <c r="JR171" i="3"/>
  <c r="JQ171" i="3"/>
  <c r="JP171" i="3"/>
  <c r="JO171" i="3"/>
  <c r="JN171" i="3"/>
  <c r="JH171" i="3"/>
  <c r="JG171" i="3"/>
  <c r="JF171" i="3"/>
  <c r="JE171" i="3"/>
  <c r="Q171" i="3"/>
  <c r="P171" i="3"/>
  <c r="JU170" i="3"/>
  <c r="JT170" i="3"/>
  <c r="JS170" i="3"/>
  <c r="JR170" i="3"/>
  <c r="JQ170" i="3"/>
  <c r="JP170" i="3"/>
  <c r="JO170" i="3"/>
  <c r="JN170" i="3"/>
  <c r="JH170" i="3"/>
  <c r="JG170" i="3"/>
  <c r="JF170" i="3"/>
  <c r="JE170" i="3"/>
  <c r="Q170" i="3"/>
  <c r="P170" i="3"/>
  <c r="JU169" i="3"/>
  <c r="JT169" i="3"/>
  <c r="JS169" i="3"/>
  <c r="JR169" i="3"/>
  <c r="JQ169" i="3"/>
  <c r="JP169" i="3"/>
  <c r="JO169" i="3"/>
  <c r="JN169" i="3"/>
  <c r="JH169" i="3"/>
  <c r="JG169" i="3"/>
  <c r="JF169" i="3"/>
  <c r="JE169" i="3"/>
  <c r="Q169" i="3"/>
  <c r="P169" i="3"/>
  <c r="JU168" i="3"/>
  <c r="JT168" i="3"/>
  <c r="JS168" i="3"/>
  <c r="JR168" i="3"/>
  <c r="JQ168" i="3"/>
  <c r="JP168" i="3"/>
  <c r="JO168" i="3"/>
  <c r="JN168" i="3"/>
  <c r="JH168" i="3"/>
  <c r="JG168" i="3"/>
  <c r="JF168" i="3"/>
  <c r="JE168" i="3"/>
  <c r="Q168" i="3"/>
  <c r="P168" i="3"/>
  <c r="JU167" i="3"/>
  <c r="JT167" i="3"/>
  <c r="JS167" i="3"/>
  <c r="JR167" i="3"/>
  <c r="JQ167" i="3"/>
  <c r="JP167" i="3"/>
  <c r="JO167" i="3"/>
  <c r="JN167" i="3"/>
  <c r="JH167" i="3"/>
  <c r="JG167" i="3"/>
  <c r="JF167" i="3"/>
  <c r="JE167" i="3"/>
  <c r="Q167" i="3"/>
  <c r="P167" i="3"/>
  <c r="JU166" i="3"/>
  <c r="JT166" i="3"/>
  <c r="JS166" i="3"/>
  <c r="JR166" i="3"/>
  <c r="JQ166" i="3"/>
  <c r="JP166" i="3"/>
  <c r="JO166" i="3"/>
  <c r="JN166" i="3"/>
  <c r="JH166" i="3"/>
  <c r="JG166" i="3"/>
  <c r="JF166" i="3"/>
  <c r="JE166" i="3"/>
  <c r="Q166" i="3"/>
  <c r="P166" i="3"/>
  <c r="JU165" i="3"/>
  <c r="JT165" i="3"/>
  <c r="JS165" i="3"/>
  <c r="JR165" i="3"/>
  <c r="JQ165" i="3"/>
  <c r="JP165" i="3"/>
  <c r="JO165" i="3"/>
  <c r="JN165" i="3"/>
  <c r="JH165" i="3"/>
  <c r="JG165" i="3"/>
  <c r="JF165" i="3"/>
  <c r="JE165" i="3"/>
  <c r="Q165" i="3"/>
  <c r="P165" i="3"/>
  <c r="JU164" i="3"/>
  <c r="JT164" i="3"/>
  <c r="JS164" i="3"/>
  <c r="JR164" i="3"/>
  <c r="JQ164" i="3"/>
  <c r="JP164" i="3"/>
  <c r="JO164" i="3"/>
  <c r="JN164" i="3"/>
  <c r="JH164" i="3"/>
  <c r="JG164" i="3"/>
  <c r="JF164" i="3"/>
  <c r="JE164" i="3"/>
  <c r="Q164" i="3"/>
  <c r="P164" i="3"/>
  <c r="JU163" i="3"/>
  <c r="JT163" i="3"/>
  <c r="JS163" i="3"/>
  <c r="JR163" i="3"/>
  <c r="JQ163" i="3"/>
  <c r="JP163" i="3"/>
  <c r="JO163" i="3"/>
  <c r="JN163" i="3"/>
  <c r="JH163" i="3"/>
  <c r="JG163" i="3"/>
  <c r="JF163" i="3"/>
  <c r="JE163" i="3"/>
  <c r="Q163" i="3"/>
  <c r="P163" i="3"/>
  <c r="JU162" i="3"/>
  <c r="JT162" i="3"/>
  <c r="JS162" i="3"/>
  <c r="JR162" i="3"/>
  <c r="JQ162" i="3"/>
  <c r="JP162" i="3"/>
  <c r="JO162" i="3"/>
  <c r="JN162" i="3"/>
  <c r="JH162" i="3"/>
  <c r="JG162" i="3"/>
  <c r="JF162" i="3"/>
  <c r="JE162" i="3"/>
  <c r="Q162" i="3"/>
  <c r="P162" i="3"/>
  <c r="JU161" i="3"/>
  <c r="JT161" i="3"/>
  <c r="JS161" i="3"/>
  <c r="JR161" i="3"/>
  <c r="JQ161" i="3"/>
  <c r="JP161" i="3"/>
  <c r="JO161" i="3"/>
  <c r="JN161" i="3"/>
  <c r="JH161" i="3"/>
  <c r="JG161" i="3"/>
  <c r="JF161" i="3"/>
  <c r="JE161" i="3"/>
  <c r="Q161" i="3"/>
  <c r="P161" i="3"/>
  <c r="JU160" i="3"/>
  <c r="JT160" i="3"/>
  <c r="JS160" i="3"/>
  <c r="JR160" i="3"/>
  <c r="JQ160" i="3"/>
  <c r="JP160" i="3"/>
  <c r="JO160" i="3"/>
  <c r="JN160" i="3"/>
  <c r="JH160" i="3"/>
  <c r="JG160" i="3"/>
  <c r="JF160" i="3"/>
  <c r="JE160" i="3"/>
  <c r="Q160" i="3"/>
  <c r="P160" i="3"/>
  <c r="JU159" i="3"/>
  <c r="JT159" i="3"/>
  <c r="JS159" i="3"/>
  <c r="JR159" i="3"/>
  <c r="JQ159" i="3"/>
  <c r="JP159" i="3"/>
  <c r="JO159" i="3"/>
  <c r="JN159" i="3"/>
  <c r="JH159" i="3"/>
  <c r="JG159" i="3"/>
  <c r="JF159" i="3"/>
  <c r="JE159" i="3"/>
  <c r="Q159" i="3"/>
  <c r="P159" i="3"/>
  <c r="JU158" i="3"/>
  <c r="JT158" i="3"/>
  <c r="JS158" i="3"/>
  <c r="JR158" i="3"/>
  <c r="JQ158" i="3"/>
  <c r="JP158" i="3"/>
  <c r="JO158" i="3"/>
  <c r="JN158" i="3"/>
  <c r="JH158" i="3"/>
  <c r="JG158" i="3"/>
  <c r="JF158" i="3"/>
  <c r="JE158" i="3"/>
  <c r="Q158" i="3"/>
  <c r="P158" i="3"/>
  <c r="JU157" i="3"/>
  <c r="JT157" i="3"/>
  <c r="JS157" i="3"/>
  <c r="JR157" i="3"/>
  <c r="JQ157" i="3"/>
  <c r="JP157" i="3"/>
  <c r="JO157" i="3"/>
  <c r="JN157" i="3"/>
  <c r="JH157" i="3"/>
  <c r="JG157" i="3"/>
  <c r="JF157" i="3"/>
  <c r="JE157" i="3"/>
  <c r="Q157" i="3"/>
  <c r="P157" i="3"/>
  <c r="JU156" i="3"/>
  <c r="JT156" i="3"/>
  <c r="JS156" i="3"/>
  <c r="JR156" i="3"/>
  <c r="JQ156" i="3"/>
  <c r="JP156" i="3"/>
  <c r="JO156" i="3"/>
  <c r="JN156" i="3"/>
  <c r="JH156" i="3"/>
  <c r="JG156" i="3"/>
  <c r="JF156" i="3"/>
  <c r="JE156" i="3"/>
  <c r="Q156" i="3"/>
  <c r="P156" i="3"/>
  <c r="JU155" i="3"/>
  <c r="JT155" i="3"/>
  <c r="JS155" i="3"/>
  <c r="JR155" i="3"/>
  <c r="JQ155" i="3"/>
  <c r="JP155" i="3"/>
  <c r="JO155" i="3"/>
  <c r="JN155" i="3"/>
  <c r="JH155" i="3"/>
  <c r="JG155" i="3"/>
  <c r="JF155" i="3"/>
  <c r="JE155" i="3"/>
  <c r="Q155" i="3"/>
  <c r="P155" i="3"/>
  <c r="JU154" i="3"/>
  <c r="JT154" i="3"/>
  <c r="JS154" i="3"/>
  <c r="JR154" i="3"/>
  <c r="JQ154" i="3"/>
  <c r="JP154" i="3"/>
  <c r="JO154" i="3"/>
  <c r="JN154" i="3"/>
  <c r="JH154" i="3"/>
  <c r="JG154" i="3"/>
  <c r="JF154" i="3"/>
  <c r="JE154" i="3"/>
  <c r="Q154" i="3"/>
  <c r="P154" i="3"/>
  <c r="JU153" i="3"/>
  <c r="JT153" i="3"/>
  <c r="JS153" i="3"/>
  <c r="JR153" i="3"/>
  <c r="JQ153" i="3"/>
  <c r="JP153" i="3"/>
  <c r="JO153" i="3"/>
  <c r="JN153" i="3"/>
  <c r="JH153" i="3"/>
  <c r="JG153" i="3"/>
  <c r="JF153" i="3"/>
  <c r="JE153" i="3"/>
  <c r="Q153" i="3"/>
  <c r="P153" i="3"/>
  <c r="JU152" i="3"/>
  <c r="JT152" i="3"/>
  <c r="JS152" i="3"/>
  <c r="JR152" i="3"/>
  <c r="JQ152" i="3"/>
  <c r="JP152" i="3"/>
  <c r="JO152" i="3"/>
  <c r="JN152" i="3"/>
  <c r="JH152" i="3"/>
  <c r="JG152" i="3"/>
  <c r="JF152" i="3"/>
  <c r="JE152" i="3"/>
  <c r="Q152" i="3"/>
  <c r="P152" i="3"/>
  <c r="JU151" i="3"/>
  <c r="JT151" i="3"/>
  <c r="JS151" i="3"/>
  <c r="JR151" i="3"/>
  <c r="JQ151" i="3"/>
  <c r="JP151" i="3"/>
  <c r="JO151" i="3"/>
  <c r="JN151" i="3"/>
  <c r="JH151" i="3"/>
  <c r="JG151" i="3"/>
  <c r="JF151" i="3"/>
  <c r="JE151" i="3"/>
  <c r="Q151" i="3"/>
  <c r="P151" i="3"/>
  <c r="JU150" i="3"/>
  <c r="JT150" i="3"/>
  <c r="JS150" i="3"/>
  <c r="JR150" i="3"/>
  <c r="JQ150" i="3"/>
  <c r="JP150" i="3"/>
  <c r="JO150" i="3"/>
  <c r="JN150" i="3"/>
  <c r="JH150" i="3"/>
  <c r="JG150" i="3"/>
  <c r="JF150" i="3"/>
  <c r="JE150" i="3"/>
  <c r="Q150" i="3"/>
  <c r="P150" i="3"/>
  <c r="JU149" i="3"/>
  <c r="JT149" i="3"/>
  <c r="JS149" i="3"/>
  <c r="JR149" i="3"/>
  <c r="JQ149" i="3"/>
  <c r="JP149" i="3"/>
  <c r="JO149" i="3"/>
  <c r="JN149" i="3"/>
  <c r="JH149" i="3"/>
  <c r="JG149" i="3"/>
  <c r="JF149" i="3"/>
  <c r="JE149" i="3"/>
  <c r="Q149" i="3"/>
  <c r="P149" i="3"/>
  <c r="JU148" i="3"/>
  <c r="JT148" i="3"/>
  <c r="JS148" i="3"/>
  <c r="JR148" i="3"/>
  <c r="JQ148" i="3"/>
  <c r="JP148" i="3"/>
  <c r="JO148" i="3"/>
  <c r="JN148" i="3"/>
  <c r="JH148" i="3"/>
  <c r="JG148" i="3"/>
  <c r="JF148" i="3"/>
  <c r="JE148" i="3"/>
  <c r="Q148" i="3"/>
  <c r="P148" i="3"/>
  <c r="JU147" i="3"/>
  <c r="JT147" i="3"/>
  <c r="JS147" i="3"/>
  <c r="JR147" i="3"/>
  <c r="JQ147" i="3"/>
  <c r="JP147" i="3"/>
  <c r="JO147" i="3"/>
  <c r="JN147" i="3"/>
  <c r="JH147" i="3"/>
  <c r="JG147" i="3"/>
  <c r="JF147" i="3"/>
  <c r="JE147" i="3"/>
  <c r="Q147" i="3"/>
  <c r="P147" i="3"/>
  <c r="JU146" i="3"/>
  <c r="JT146" i="3"/>
  <c r="JS146" i="3"/>
  <c r="JR146" i="3"/>
  <c r="JQ146" i="3"/>
  <c r="JP146" i="3"/>
  <c r="JO146" i="3"/>
  <c r="JN146" i="3"/>
  <c r="JH146" i="3"/>
  <c r="JG146" i="3"/>
  <c r="JF146" i="3"/>
  <c r="JE146" i="3"/>
  <c r="Q146" i="3"/>
  <c r="P146" i="3"/>
  <c r="JU145" i="3"/>
  <c r="JT145" i="3"/>
  <c r="JS145" i="3"/>
  <c r="JR145" i="3"/>
  <c r="JQ145" i="3"/>
  <c r="JP145" i="3"/>
  <c r="JO145" i="3"/>
  <c r="JN145" i="3"/>
  <c r="JH145" i="3"/>
  <c r="JG145" i="3"/>
  <c r="JF145" i="3"/>
  <c r="JE145" i="3"/>
  <c r="Q145" i="3"/>
  <c r="P145" i="3"/>
  <c r="JU144" i="3"/>
  <c r="JT144" i="3"/>
  <c r="JS144" i="3"/>
  <c r="JR144" i="3"/>
  <c r="JQ144" i="3"/>
  <c r="JP144" i="3"/>
  <c r="JO144" i="3"/>
  <c r="JN144" i="3"/>
  <c r="JH144" i="3"/>
  <c r="JG144" i="3"/>
  <c r="JF144" i="3"/>
  <c r="JE144" i="3"/>
  <c r="Q144" i="3"/>
  <c r="P144" i="3"/>
  <c r="JU143" i="3"/>
  <c r="JT143" i="3"/>
  <c r="JS143" i="3"/>
  <c r="JR143" i="3"/>
  <c r="JQ143" i="3"/>
  <c r="JP143" i="3"/>
  <c r="JO143" i="3"/>
  <c r="JN143" i="3"/>
  <c r="JH143" i="3"/>
  <c r="JG143" i="3"/>
  <c r="JF143" i="3"/>
  <c r="JE143" i="3"/>
  <c r="Q143" i="3"/>
  <c r="P143" i="3"/>
  <c r="JU142" i="3"/>
  <c r="JT142" i="3"/>
  <c r="JS142" i="3"/>
  <c r="JR142" i="3"/>
  <c r="JQ142" i="3"/>
  <c r="JP142" i="3"/>
  <c r="JO142" i="3"/>
  <c r="JN142" i="3"/>
  <c r="JH142" i="3"/>
  <c r="JG142" i="3"/>
  <c r="JF142" i="3"/>
  <c r="JE142" i="3"/>
  <c r="Q142" i="3"/>
  <c r="P142" i="3"/>
  <c r="JU141" i="3"/>
  <c r="JT141" i="3"/>
  <c r="JS141" i="3"/>
  <c r="JR141" i="3"/>
  <c r="JQ141" i="3"/>
  <c r="JP141" i="3"/>
  <c r="JO141" i="3"/>
  <c r="JN141" i="3"/>
  <c r="JH141" i="3"/>
  <c r="JG141" i="3"/>
  <c r="JF141" i="3"/>
  <c r="JE141" i="3"/>
  <c r="Q141" i="3"/>
  <c r="P141" i="3"/>
  <c r="JU140" i="3"/>
  <c r="JT140" i="3"/>
  <c r="JS140" i="3"/>
  <c r="JR140" i="3"/>
  <c r="JQ140" i="3"/>
  <c r="JP140" i="3"/>
  <c r="JO140" i="3"/>
  <c r="JN140" i="3"/>
  <c r="JH140" i="3"/>
  <c r="JG140" i="3"/>
  <c r="JF140" i="3"/>
  <c r="JE140" i="3"/>
  <c r="Q140" i="3"/>
  <c r="P140" i="3"/>
  <c r="JU139" i="3"/>
  <c r="JT139" i="3"/>
  <c r="JS139" i="3"/>
  <c r="JR139" i="3"/>
  <c r="JQ139" i="3"/>
  <c r="JP139" i="3"/>
  <c r="JO139" i="3"/>
  <c r="JN139" i="3"/>
  <c r="JH139" i="3"/>
  <c r="JG139" i="3"/>
  <c r="JF139" i="3"/>
  <c r="JE139" i="3"/>
  <c r="Q139" i="3"/>
  <c r="P139" i="3"/>
  <c r="JU138" i="3"/>
  <c r="JT138" i="3"/>
  <c r="JS138" i="3"/>
  <c r="JR138" i="3"/>
  <c r="JQ138" i="3"/>
  <c r="JP138" i="3"/>
  <c r="JO138" i="3"/>
  <c r="JN138" i="3"/>
  <c r="JH138" i="3"/>
  <c r="JG138" i="3"/>
  <c r="JF138" i="3"/>
  <c r="JE138" i="3"/>
  <c r="Q138" i="3"/>
  <c r="P138" i="3"/>
  <c r="JU137" i="3"/>
  <c r="JT137" i="3"/>
  <c r="JS137" i="3"/>
  <c r="JR137" i="3"/>
  <c r="JQ137" i="3"/>
  <c r="JP137" i="3"/>
  <c r="JO137" i="3"/>
  <c r="JN137" i="3"/>
  <c r="JH137" i="3"/>
  <c r="JG137" i="3"/>
  <c r="JF137" i="3"/>
  <c r="JE137" i="3"/>
  <c r="Q137" i="3"/>
  <c r="P137" i="3"/>
  <c r="JU136" i="3"/>
  <c r="JT136" i="3"/>
  <c r="JS136" i="3"/>
  <c r="JR136" i="3"/>
  <c r="JQ136" i="3"/>
  <c r="JP136" i="3"/>
  <c r="JO136" i="3"/>
  <c r="JN136" i="3"/>
  <c r="JH136" i="3"/>
  <c r="JG136" i="3"/>
  <c r="JF136" i="3"/>
  <c r="JE136" i="3"/>
  <c r="Q136" i="3"/>
  <c r="P136" i="3"/>
  <c r="JU135" i="3"/>
  <c r="JT135" i="3"/>
  <c r="JS135" i="3"/>
  <c r="JR135" i="3"/>
  <c r="JQ135" i="3"/>
  <c r="JP135" i="3"/>
  <c r="JO135" i="3"/>
  <c r="JN135" i="3"/>
  <c r="JH135" i="3"/>
  <c r="JG135" i="3"/>
  <c r="JF135" i="3"/>
  <c r="JE135" i="3"/>
  <c r="Q135" i="3"/>
  <c r="P135" i="3"/>
  <c r="JU134" i="3"/>
  <c r="JT134" i="3"/>
  <c r="JS134" i="3"/>
  <c r="JR134" i="3"/>
  <c r="JQ134" i="3"/>
  <c r="JP134" i="3"/>
  <c r="JO134" i="3"/>
  <c r="JN134" i="3"/>
  <c r="JH134" i="3"/>
  <c r="JG134" i="3"/>
  <c r="JF134" i="3"/>
  <c r="JE134" i="3"/>
  <c r="Q134" i="3"/>
  <c r="P134" i="3"/>
  <c r="JU133" i="3"/>
  <c r="JT133" i="3"/>
  <c r="JS133" i="3"/>
  <c r="JR133" i="3"/>
  <c r="JQ133" i="3"/>
  <c r="JP133" i="3"/>
  <c r="JO133" i="3"/>
  <c r="JN133" i="3"/>
  <c r="JH133" i="3"/>
  <c r="JG133" i="3"/>
  <c r="JF133" i="3"/>
  <c r="JE133" i="3"/>
  <c r="Q133" i="3"/>
  <c r="P133" i="3"/>
  <c r="JU132" i="3"/>
  <c r="JT132" i="3"/>
  <c r="JS132" i="3"/>
  <c r="JR132" i="3"/>
  <c r="JQ132" i="3"/>
  <c r="JP132" i="3"/>
  <c r="JO132" i="3"/>
  <c r="JN132" i="3"/>
  <c r="JH132" i="3"/>
  <c r="JG132" i="3"/>
  <c r="JF132" i="3"/>
  <c r="JE132" i="3"/>
  <c r="Q132" i="3"/>
  <c r="P132" i="3"/>
  <c r="JU131" i="3"/>
  <c r="JT131" i="3"/>
  <c r="JS131" i="3"/>
  <c r="JR131" i="3"/>
  <c r="JQ131" i="3"/>
  <c r="JP131" i="3"/>
  <c r="JO131" i="3"/>
  <c r="JN131" i="3"/>
  <c r="JH131" i="3"/>
  <c r="JG131" i="3"/>
  <c r="JF131" i="3"/>
  <c r="JE131" i="3"/>
  <c r="Q131" i="3"/>
  <c r="P131" i="3"/>
  <c r="JU130" i="3"/>
  <c r="JT130" i="3"/>
  <c r="JS130" i="3"/>
  <c r="JR130" i="3"/>
  <c r="JQ130" i="3"/>
  <c r="JP130" i="3"/>
  <c r="JO130" i="3"/>
  <c r="JN130" i="3"/>
  <c r="JH130" i="3"/>
  <c r="JG130" i="3"/>
  <c r="JF130" i="3"/>
  <c r="JE130" i="3"/>
  <c r="Q130" i="3"/>
  <c r="P130" i="3"/>
  <c r="JU129" i="3"/>
  <c r="JT129" i="3"/>
  <c r="JS129" i="3"/>
  <c r="JR129" i="3"/>
  <c r="JQ129" i="3"/>
  <c r="JP129" i="3"/>
  <c r="JO129" i="3"/>
  <c r="JN129" i="3"/>
  <c r="JH129" i="3"/>
  <c r="JG129" i="3"/>
  <c r="JF129" i="3"/>
  <c r="JE129" i="3"/>
  <c r="Q129" i="3"/>
  <c r="P129" i="3"/>
  <c r="JU128" i="3"/>
  <c r="JT128" i="3"/>
  <c r="JS128" i="3"/>
  <c r="JR128" i="3"/>
  <c r="JQ128" i="3"/>
  <c r="JP128" i="3"/>
  <c r="JO128" i="3"/>
  <c r="JN128" i="3"/>
  <c r="JH128" i="3"/>
  <c r="JG128" i="3"/>
  <c r="JF128" i="3"/>
  <c r="JE128" i="3"/>
  <c r="Q128" i="3"/>
  <c r="P128" i="3"/>
  <c r="JU127" i="3"/>
  <c r="JT127" i="3"/>
  <c r="JS127" i="3"/>
  <c r="JR127" i="3"/>
  <c r="JQ127" i="3"/>
  <c r="JP127" i="3"/>
  <c r="JO127" i="3"/>
  <c r="JN127" i="3"/>
  <c r="JH127" i="3"/>
  <c r="JG127" i="3"/>
  <c r="JF127" i="3"/>
  <c r="JE127" i="3"/>
  <c r="Q127" i="3"/>
  <c r="P127" i="3"/>
  <c r="JU126" i="3"/>
  <c r="JT126" i="3"/>
  <c r="JS126" i="3"/>
  <c r="JR126" i="3"/>
  <c r="JQ126" i="3"/>
  <c r="JP126" i="3"/>
  <c r="JO126" i="3"/>
  <c r="JN126" i="3"/>
  <c r="JH126" i="3"/>
  <c r="JG126" i="3"/>
  <c r="JF126" i="3"/>
  <c r="JE126" i="3"/>
  <c r="Q126" i="3"/>
  <c r="P126" i="3"/>
  <c r="JU125" i="3"/>
  <c r="JT125" i="3"/>
  <c r="JS125" i="3"/>
  <c r="JR125" i="3"/>
  <c r="JQ125" i="3"/>
  <c r="JP125" i="3"/>
  <c r="JO125" i="3"/>
  <c r="JN125" i="3"/>
  <c r="JH125" i="3"/>
  <c r="JG125" i="3"/>
  <c r="JF125" i="3"/>
  <c r="JE125" i="3"/>
  <c r="Q125" i="3"/>
  <c r="P125" i="3"/>
  <c r="JU124" i="3"/>
  <c r="JT124" i="3"/>
  <c r="JS124" i="3"/>
  <c r="JR124" i="3"/>
  <c r="JQ124" i="3"/>
  <c r="JP124" i="3"/>
  <c r="JO124" i="3"/>
  <c r="JN124" i="3"/>
  <c r="JH124" i="3"/>
  <c r="JG124" i="3"/>
  <c r="JF124" i="3"/>
  <c r="JE124" i="3"/>
  <c r="Q124" i="3"/>
  <c r="P124" i="3"/>
  <c r="JU123" i="3"/>
  <c r="JT123" i="3"/>
  <c r="JS123" i="3"/>
  <c r="JR123" i="3"/>
  <c r="JQ123" i="3"/>
  <c r="JP123" i="3"/>
  <c r="JO123" i="3"/>
  <c r="JN123" i="3"/>
  <c r="JH123" i="3"/>
  <c r="JG123" i="3"/>
  <c r="JF123" i="3"/>
  <c r="JE123" i="3"/>
  <c r="Q123" i="3"/>
  <c r="P123" i="3"/>
  <c r="JU122" i="3"/>
  <c r="JT122" i="3"/>
  <c r="JS122" i="3"/>
  <c r="JR122" i="3"/>
  <c r="JQ122" i="3"/>
  <c r="JP122" i="3"/>
  <c r="JO122" i="3"/>
  <c r="JN122" i="3"/>
  <c r="JH122" i="3"/>
  <c r="JG122" i="3"/>
  <c r="JF122" i="3"/>
  <c r="JE122" i="3"/>
  <c r="Q122" i="3"/>
  <c r="P122" i="3"/>
  <c r="JU121" i="3"/>
  <c r="JT121" i="3"/>
  <c r="JS121" i="3"/>
  <c r="JR121" i="3"/>
  <c r="JQ121" i="3"/>
  <c r="JP121" i="3"/>
  <c r="JO121" i="3"/>
  <c r="JN121" i="3"/>
  <c r="JH121" i="3"/>
  <c r="JG121" i="3"/>
  <c r="JF121" i="3"/>
  <c r="JE121" i="3"/>
  <c r="IS121" i="3"/>
  <c r="IR121" i="3"/>
  <c r="IQ121" i="3"/>
  <c r="IP121" i="3"/>
  <c r="Q121" i="3"/>
  <c r="P121" i="3"/>
  <c r="JU120" i="3"/>
  <c r="JT120" i="3"/>
  <c r="JS120" i="3"/>
  <c r="JR120" i="3"/>
  <c r="JQ120" i="3"/>
  <c r="JP120" i="3"/>
  <c r="JO120" i="3"/>
  <c r="JN120" i="3"/>
  <c r="JH120" i="3"/>
  <c r="JG120" i="3"/>
  <c r="JF120" i="3"/>
  <c r="JE120" i="3"/>
  <c r="IS120" i="3"/>
  <c r="IR120" i="3"/>
  <c r="IQ120" i="3"/>
  <c r="IP120" i="3"/>
  <c r="Q120" i="3"/>
  <c r="P120" i="3"/>
  <c r="JU119" i="3"/>
  <c r="JT119" i="3"/>
  <c r="JS119" i="3"/>
  <c r="JR119" i="3"/>
  <c r="JQ119" i="3"/>
  <c r="JP119" i="3"/>
  <c r="JO119" i="3"/>
  <c r="JN119" i="3"/>
  <c r="JH119" i="3"/>
  <c r="JG119" i="3"/>
  <c r="JF119" i="3"/>
  <c r="JE119" i="3"/>
  <c r="IS119" i="3"/>
  <c r="IR119" i="3"/>
  <c r="IQ119" i="3"/>
  <c r="IP119" i="3"/>
  <c r="Q119" i="3"/>
  <c r="P119" i="3"/>
  <c r="JU118" i="3"/>
  <c r="JT118" i="3"/>
  <c r="JS118" i="3"/>
  <c r="JR118" i="3"/>
  <c r="JQ118" i="3"/>
  <c r="JP118" i="3"/>
  <c r="JO118" i="3"/>
  <c r="JN118" i="3"/>
  <c r="JH118" i="3"/>
  <c r="JG118" i="3"/>
  <c r="JF118" i="3"/>
  <c r="JE118" i="3"/>
  <c r="IS118" i="3"/>
  <c r="IR118" i="3"/>
  <c r="IQ118" i="3"/>
  <c r="IP118" i="3"/>
  <c r="Q118" i="3"/>
  <c r="P118" i="3"/>
  <c r="JU117" i="3"/>
  <c r="JT117" i="3"/>
  <c r="JS117" i="3"/>
  <c r="JR117" i="3"/>
  <c r="JQ117" i="3"/>
  <c r="JP117" i="3"/>
  <c r="JO117" i="3"/>
  <c r="JN117" i="3"/>
  <c r="JH117" i="3"/>
  <c r="JG117" i="3"/>
  <c r="JF117" i="3"/>
  <c r="JE117" i="3"/>
  <c r="IS117" i="3"/>
  <c r="IR117" i="3"/>
  <c r="IQ117" i="3"/>
  <c r="IP117" i="3"/>
  <c r="Q117" i="3"/>
  <c r="P117" i="3"/>
  <c r="JU116" i="3"/>
  <c r="JT116" i="3"/>
  <c r="JS116" i="3"/>
  <c r="JR116" i="3"/>
  <c r="JQ116" i="3"/>
  <c r="JP116" i="3"/>
  <c r="JO116" i="3"/>
  <c r="JN116" i="3"/>
  <c r="JH116" i="3"/>
  <c r="JG116" i="3"/>
  <c r="JF116" i="3"/>
  <c r="JE116" i="3"/>
  <c r="IS116" i="3"/>
  <c r="IR116" i="3"/>
  <c r="IQ116" i="3"/>
  <c r="IP116" i="3"/>
  <c r="Q116" i="3"/>
  <c r="P116" i="3"/>
  <c r="JU115" i="3"/>
  <c r="JT115" i="3"/>
  <c r="JS115" i="3"/>
  <c r="JR115" i="3"/>
  <c r="JQ115" i="3"/>
  <c r="JP115" i="3"/>
  <c r="JO115" i="3"/>
  <c r="JN115" i="3"/>
  <c r="JH115" i="3"/>
  <c r="JG115" i="3"/>
  <c r="JF115" i="3"/>
  <c r="JE115" i="3"/>
  <c r="IS115" i="3"/>
  <c r="IR115" i="3"/>
  <c r="IQ115" i="3"/>
  <c r="IP115" i="3"/>
  <c r="Q115" i="3"/>
  <c r="P115" i="3"/>
  <c r="JU114" i="3"/>
  <c r="JT114" i="3"/>
  <c r="JS114" i="3"/>
  <c r="JR114" i="3"/>
  <c r="JQ114" i="3"/>
  <c r="JP114" i="3"/>
  <c r="JO114" i="3"/>
  <c r="JN114" i="3"/>
  <c r="JH114" i="3"/>
  <c r="JG114" i="3"/>
  <c r="JF114" i="3"/>
  <c r="JE114" i="3"/>
  <c r="IS114" i="3"/>
  <c r="IR114" i="3"/>
  <c r="IQ114" i="3"/>
  <c r="IP114" i="3"/>
  <c r="Q114" i="3"/>
  <c r="P114" i="3"/>
  <c r="JU113" i="3"/>
  <c r="JT113" i="3"/>
  <c r="JS113" i="3"/>
  <c r="JR113" i="3"/>
  <c r="JQ113" i="3"/>
  <c r="JP113" i="3"/>
  <c r="JO113" i="3"/>
  <c r="JN113" i="3"/>
  <c r="JH113" i="3"/>
  <c r="JG113" i="3"/>
  <c r="JF113" i="3"/>
  <c r="JE113" i="3"/>
  <c r="IS113" i="3"/>
  <c r="IR113" i="3"/>
  <c r="IQ113" i="3"/>
  <c r="IP113" i="3"/>
  <c r="Q113" i="3"/>
  <c r="P113" i="3"/>
  <c r="JU112" i="3"/>
  <c r="JT112" i="3"/>
  <c r="JS112" i="3"/>
  <c r="JR112" i="3"/>
  <c r="JQ112" i="3"/>
  <c r="JP112" i="3"/>
  <c r="JO112" i="3"/>
  <c r="JN112" i="3"/>
  <c r="JH112" i="3"/>
  <c r="JG112" i="3"/>
  <c r="JF112" i="3"/>
  <c r="JE112" i="3"/>
  <c r="IS112" i="3"/>
  <c r="IR112" i="3"/>
  <c r="IQ112" i="3"/>
  <c r="IP112" i="3"/>
  <c r="IL112" i="3"/>
  <c r="IK112" i="3"/>
  <c r="IJ112" i="3"/>
  <c r="II112" i="3"/>
  <c r="Q112" i="3"/>
  <c r="P112" i="3"/>
  <c r="JU111" i="3"/>
  <c r="JT111" i="3"/>
  <c r="JS111" i="3"/>
  <c r="JR111" i="3"/>
  <c r="JQ111" i="3"/>
  <c r="JP111" i="3"/>
  <c r="JO111" i="3"/>
  <c r="JN111" i="3"/>
  <c r="JH111" i="3"/>
  <c r="JG111" i="3"/>
  <c r="JF111" i="3"/>
  <c r="JE111" i="3"/>
  <c r="IS111" i="3"/>
  <c r="IR111" i="3"/>
  <c r="IQ111" i="3"/>
  <c r="IP111" i="3"/>
  <c r="IL111" i="3"/>
  <c r="IK111" i="3"/>
  <c r="IJ111" i="3"/>
  <c r="II111" i="3"/>
  <c r="Q111" i="3"/>
  <c r="P111" i="3"/>
  <c r="JU110" i="3"/>
  <c r="JT110" i="3"/>
  <c r="JS110" i="3"/>
  <c r="JR110" i="3"/>
  <c r="JQ110" i="3"/>
  <c r="JP110" i="3"/>
  <c r="JO110" i="3"/>
  <c r="JN110" i="3"/>
  <c r="JH110" i="3"/>
  <c r="JG110" i="3"/>
  <c r="JF110" i="3"/>
  <c r="JE110" i="3"/>
  <c r="IS110" i="3"/>
  <c r="IR110" i="3"/>
  <c r="IQ110" i="3"/>
  <c r="IP110" i="3"/>
  <c r="IL110" i="3"/>
  <c r="IK110" i="3"/>
  <c r="IJ110" i="3"/>
  <c r="II110" i="3"/>
  <c r="Q110" i="3"/>
  <c r="P110" i="3"/>
  <c r="JU109" i="3"/>
  <c r="JT109" i="3"/>
  <c r="JS109" i="3"/>
  <c r="JR109" i="3"/>
  <c r="JQ109" i="3"/>
  <c r="JP109" i="3"/>
  <c r="JO109" i="3"/>
  <c r="JN109" i="3"/>
  <c r="JH109" i="3"/>
  <c r="JG109" i="3"/>
  <c r="JF109" i="3"/>
  <c r="JE109" i="3"/>
  <c r="IS109" i="3"/>
  <c r="IR109" i="3"/>
  <c r="IQ109" i="3"/>
  <c r="IP109" i="3"/>
  <c r="IL109" i="3"/>
  <c r="IK109" i="3"/>
  <c r="IJ109" i="3"/>
  <c r="II109" i="3"/>
  <c r="Q109" i="3"/>
  <c r="P109" i="3"/>
  <c r="JU108" i="3"/>
  <c r="JT108" i="3"/>
  <c r="JS108" i="3"/>
  <c r="JR108" i="3"/>
  <c r="JQ108" i="3"/>
  <c r="JP108" i="3"/>
  <c r="JO108" i="3"/>
  <c r="JN108" i="3"/>
  <c r="JH108" i="3"/>
  <c r="JG108" i="3"/>
  <c r="JF108" i="3"/>
  <c r="JE108" i="3"/>
  <c r="IS108" i="3"/>
  <c r="IR108" i="3"/>
  <c r="IQ108" i="3"/>
  <c r="IP108" i="3"/>
  <c r="IL108" i="3"/>
  <c r="IK108" i="3"/>
  <c r="IJ108" i="3"/>
  <c r="II108" i="3"/>
  <c r="Q108" i="3"/>
  <c r="P108" i="3"/>
  <c r="JU107" i="3"/>
  <c r="JT107" i="3"/>
  <c r="JS107" i="3"/>
  <c r="JR107" i="3"/>
  <c r="JQ107" i="3"/>
  <c r="JP107" i="3"/>
  <c r="JO107" i="3"/>
  <c r="JN107" i="3"/>
  <c r="JH107" i="3"/>
  <c r="JG107" i="3"/>
  <c r="JF107" i="3"/>
  <c r="JE107" i="3"/>
  <c r="IS107" i="3"/>
  <c r="IR107" i="3"/>
  <c r="IQ107" i="3"/>
  <c r="IP107" i="3"/>
  <c r="IL107" i="3"/>
  <c r="IK107" i="3"/>
  <c r="IJ107" i="3"/>
  <c r="II107" i="3"/>
  <c r="Q107" i="3"/>
  <c r="P107" i="3"/>
  <c r="JU106" i="3"/>
  <c r="JT106" i="3"/>
  <c r="JS106" i="3"/>
  <c r="JR106" i="3"/>
  <c r="JQ106" i="3"/>
  <c r="JP106" i="3"/>
  <c r="JO106" i="3"/>
  <c r="JN106" i="3"/>
  <c r="JH106" i="3"/>
  <c r="JG106" i="3"/>
  <c r="JF106" i="3"/>
  <c r="JE106" i="3"/>
  <c r="IS106" i="3"/>
  <c r="IR106" i="3"/>
  <c r="IQ106" i="3"/>
  <c r="IP106" i="3"/>
  <c r="IL106" i="3"/>
  <c r="IK106" i="3"/>
  <c r="IJ106" i="3"/>
  <c r="II106" i="3"/>
  <c r="Q106" i="3"/>
  <c r="P106" i="3"/>
  <c r="JU105" i="3"/>
  <c r="JT105" i="3"/>
  <c r="JS105" i="3"/>
  <c r="JR105" i="3"/>
  <c r="JQ105" i="3"/>
  <c r="JP105" i="3"/>
  <c r="JO105" i="3"/>
  <c r="JN105" i="3"/>
  <c r="JH105" i="3"/>
  <c r="JG105" i="3"/>
  <c r="JF105" i="3"/>
  <c r="JE105" i="3"/>
  <c r="IS105" i="3"/>
  <c r="IR105" i="3"/>
  <c r="IQ105" i="3"/>
  <c r="IP105" i="3"/>
  <c r="IL105" i="3"/>
  <c r="IK105" i="3"/>
  <c r="IJ105" i="3"/>
  <c r="II105" i="3"/>
  <c r="Q105" i="3"/>
  <c r="P105" i="3"/>
  <c r="JU104" i="3"/>
  <c r="JT104" i="3"/>
  <c r="JS104" i="3"/>
  <c r="JR104" i="3"/>
  <c r="JQ104" i="3"/>
  <c r="JP104" i="3"/>
  <c r="JO104" i="3"/>
  <c r="JN104" i="3"/>
  <c r="JH104" i="3"/>
  <c r="JG104" i="3"/>
  <c r="JF104" i="3"/>
  <c r="JE104" i="3"/>
  <c r="IS104" i="3"/>
  <c r="IR104" i="3"/>
  <c r="IQ104" i="3"/>
  <c r="IP104" i="3"/>
  <c r="IL104" i="3"/>
  <c r="IK104" i="3"/>
  <c r="IJ104" i="3"/>
  <c r="II104" i="3"/>
  <c r="Q104" i="3"/>
  <c r="P104" i="3"/>
  <c r="JU103" i="3"/>
  <c r="JT103" i="3"/>
  <c r="JS103" i="3"/>
  <c r="JR103" i="3"/>
  <c r="JQ103" i="3"/>
  <c r="JP103" i="3"/>
  <c r="JO103" i="3"/>
  <c r="JN103" i="3"/>
  <c r="JH103" i="3"/>
  <c r="JG103" i="3"/>
  <c r="JF103" i="3"/>
  <c r="JE103" i="3"/>
  <c r="IS103" i="3"/>
  <c r="IR103" i="3"/>
  <c r="IQ103" i="3"/>
  <c r="IP103" i="3"/>
  <c r="IL103" i="3"/>
  <c r="IK103" i="3"/>
  <c r="IJ103" i="3"/>
  <c r="II103" i="3"/>
  <c r="Q103" i="3"/>
  <c r="P103" i="3"/>
  <c r="JU102" i="3"/>
  <c r="JT102" i="3"/>
  <c r="JS102" i="3"/>
  <c r="JR102" i="3"/>
  <c r="JQ102" i="3"/>
  <c r="JP102" i="3"/>
  <c r="JO102" i="3"/>
  <c r="JN102" i="3"/>
  <c r="JH102" i="3"/>
  <c r="JG102" i="3"/>
  <c r="JF102" i="3"/>
  <c r="JE102" i="3"/>
  <c r="IS102" i="3"/>
  <c r="IR102" i="3"/>
  <c r="IQ102" i="3"/>
  <c r="IP102" i="3"/>
  <c r="IL102" i="3"/>
  <c r="IK102" i="3"/>
  <c r="IJ102" i="3"/>
  <c r="II102" i="3"/>
  <c r="Q102" i="3"/>
  <c r="P102" i="3"/>
  <c r="JU101" i="3"/>
  <c r="JT101" i="3"/>
  <c r="JS101" i="3"/>
  <c r="JR101" i="3"/>
  <c r="JQ101" i="3"/>
  <c r="JP101" i="3"/>
  <c r="JO101" i="3"/>
  <c r="JN101" i="3"/>
  <c r="JH101" i="3"/>
  <c r="JG101" i="3"/>
  <c r="JF101" i="3"/>
  <c r="JE101" i="3"/>
  <c r="IS101" i="3"/>
  <c r="IR101" i="3"/>
  <c r="IQ101" i="3"/>
  <c r="IP101" i="3"/>
  <c r="IL101" i="3"/>
  <c r="IK101" i="3"/>
  <c r="IJ101" i="3"/>
  <c r="II101" i="3"/>
  <c r="HW101" i="3"/>
  <c r="HV101" i="3"/>
  <c r="HU101" i="3"/>
  <c r="HT101" i="3"/>
  <c r="GL101" i="3"/>
  <c r="GK101" i="3"/>
  <c r="GJ101" i="3"/>
  <c r="GI101" i="3"/>
  <c r="FP101" i="3"/>
  <c r="FO101" i="3"/>
  <c r="FN101" i="3"/>
  <c r="FM101" i="3"/>
  <c r="AS101" i="3"/>
  <c r="AR101" i="3"/>
  <c r="AQ101" i="3"/>
  <c r="AP101" i="3"/>
  <c r="Q101" i="3"/>
  <c r="P101" i="3"/>
  <c r="JU100" i="3"/>
  <c r="JT100" i="3"/>
  <c r="JS100" i="3"/>
  <c r="JR100" i="3"/>
  <c r="JQ100" i="3"/>
  <c r="JP100" i="3"/>
  <c r="JO100" i="3"/>
  <c r="JN100" i="3"/>
  <c r="JH100" i="3"/>
  <c r="JG100" i="3"/>
  <c r="JF100" i="3"/>
  <c r="JE100" i="3"/>
  <c r="IS100" i="3"/>
  <c r="IR100" i="3"/>
  <c r="IQ100" i="3"/>
  <c r="IP100" i="3"/>
  <c r="IL100" i="3"/>
  <c r="IK100" i="3"/>
  <c r="IJ100" i="3"/>
  <c r="II100" i="3"/>
  <c r="HW100" i="3"/>
  <c r="HV100" i="3"/>
  <c r="HU100" i="3"/>
  <c r="HT100" i="3"/>
  <c r="GL100" i="3"/>
  <c r="GK100" i="3"/>
  <c r="GJ100" i="3"/>
  <c r="GI100" i="3"/>
  <c r="FP100" i="3"/>
  <c r="FO100" i="3"/>
  <c r="FN100" i="3"/>
  <c r="FM100" i="3"/>
  <c r="Q100" i="3"/>
  <c r="P100" i="3"/>
  <c r="JU99" i="3"/>
  <c r="JT99" i="3"/>
  <c r="JS99" i="3"/>
  <c r="JR99" i="3"/>
  <c r="JQ99" i="3"/>
  <c r="JP99" i="3"/>
  <c r="JO99" i="3"/>
  <c r="JN99" i="3"/>
  <c r="JH99" i="3"/>
  <c r="JG99" i="3"/>
  <c r="JF99" i="3"/>
  <c r="JE99" i="3"/>
  <c r="IS99" i="3"/>
  <c r="IR99" i="3"/>
  <c r="IQ99" i="3"/>
  <c r="IP99" i="3"/>
  <c r="IL99" i="3"/>
  <c r="IK99" i="3"/>
  <c r="IJ99" i="3"/>
  <c r="II99" i="3"/>
  <c r="HW99" i="3"/>
  <c r="HV99" i="3"/>
  <c r="HU99" i="3"/>
  <c r="HT99" i="3"/>
  <c r="HP99" i="3"/>
  <c r="HO99" i="3"/>
  <c r="HN99" i="3"/>
  <c r="HM99" i="3"/>
  <c r="GL99" i="3"/>
  <c r="GK99" i="3"/>
  <c r="GJ99" i="3"/>
  <c r="GI99" i="3"/>
  <c r="FP99" i="3"/>
  <c r="FO99" i="3"/>
  <c r="FN99" i="3"/>
  <c r="FM99" i="3"/>
  <c r="Q99" i="3"/>
  <c r="P99" i="3"/>
  <c r="JU98" i="3"/>
  <c r="JT98" i="3"/>
  <c r="JS98" i="3"/>
  <c r="JR98" i="3"/>
  <c r="JQ98" i="3"/>
  <c r="JP98" i="3"/>
  <c r="JO98" i="3"/>
  <c r="JN98" i="3"/>
  <c r="JH98" i="3"/>
  <c r="JG98" i="3"/>
  <c r="JF98" i="3"/>
  <c r="JE98" i="3"/>
  <c r="IS98" i="3"/>
  <c r="IR98" i="3"/>
  <c r="IQ98" i="3"/>
  <c r="IP98" i="3"/>
  <c r="IL98" i="3"/>
  <c r="IK98" i="3"/>
  <c r="IJ98" i="3"/>
  <c r="II98" i="3"/>
  <c r="HW98" i="3"/>
  <c r="HV98" i="3"/>
  <c r="HU98" i="3"/>
  <c r="HT98" i="3"/>
  <c r="HP98" i="3"/>
  <c r="HO98" i="3"/>
  <c r="HN98" i="3"/>
  <c r="HM98" i="3"/>
  <c r="HA98" i="3"/>
  <c r="GZ98" i="3"/>
  <c r="GY98" i="3"/>
  <c r="GX98" i="3"/>
  <c r="GL98" i="3"/>
  <c r="GK98" i="3"/>
  <c r="GJ98" i="3"/>
  <c r="GI98" i="3"/>
  <c r="GE98" i="3"/>
  <c r="GD98" i="3"/>
  <c r="GC98" i="3"/>
  <c r="GB98" i="3"/>
  <c r="FP98" i="3"/>
  <c r="FO98" i="3"/>
  <c r="FN98" i="3"/>
  <c r="FM98" i="3"/>
  <c r="FI98" i="3"/>
  <c r="FH98" i="3"/>
  <c r="FG98" i="3"/>
  <c r="FF98" i="3"/>
  <c r="ES98" i="3"/>
  <c r="ER98" i="3"/>
  <c r="Q98" i="3"/>
  <c r="P98" i="3"/>
  <c r="JU97" i="3"/>
  <c r="JT97" i="3"/>
  <c r="JS97" i="3"/>
  <c r="JR97" i="3"/>
  <c r="JQ97" i="3"/>
  <c r="JP97" i="3"/>
  <c r="JO97" i="3"/>
  <c r="JN97" i="3"/>
  <c r="JH97" i="3"/>
  <c r="JG97" i="3"/>
  <c r="JF97" i="3"/>
  <c r="JE97" i="3"/>
  <c r="IS97" i="3"/>
  <c r="IR97" i="3"/>
  <c r="IQ97" i="3"/>
  <c r="IP97" i="3"/>
  <c r="IL97" i="3"/>
  <c r="IK97" i="3"/>
  <c r="IJ97" i="3"/>
  <c r="II97" i="3"/>
  <c r="HW97" i="3"/>
  <c r="HV97" i="3"/>
  <c r="HU97" i="3"/>
  <c r="HT97" i="3"/>
  <c r="HP97" i="3"/>
  <c r="HO97" i="3"/>
  <c r="HN97" i="3"/>
  <c r="HM97" i="3"/>
  <c r="HA97" i="3"/>
  <c r="GZ97" i="3"/>
  <c r="GY97" i="3"/>
  <c r="GX97" i="3"/>
  <c r="GL97" i="3"/>
  <c r="GK97" i="3"/>
  <c r="GJ97" i="3"/>
  <c r="GI97" i="3"/>
  <c r="GE97" i="3"/>
  <c r="GD97" i="3"/>
  <c r="GC97" i="3"/>
  <c r="GB97" i="3"/>
  <c r="FP97" i="3"/>
  <c r="FO97" i="3"/>
  <c r="FN97" i="3"/>
  <c r="FM97" i="3"/>
  <c r="FI97" i="3"/>
  <c r="FH97" i="3"/>
  <c r="FG97" i="3"/>
  <c r="FF97" i="3"/>
  <c r="ES97" i="3"/>
  <c r="ER97" i="3"/>
  <c r="Q97" i="3"/>
  <c r="P97" i="3"/>
  <c r="JU96" i="3"/>
  <c r="JT96" i="3"/>
  <c r="JS96" i="3"/>
  <c r="JR96" i="3"/>
  <c r="JQ96" i="3"/>
  <c r="JP96" i="3"/>
  <c r="JO96" i="3"/>
  <c r="JN96" i="3"/>
  <c r="JH96" i="3"/>
  <c r="JG96" i="3"/>
  <c r="JF96" i="3"/>
  <c r="JE96" i="3"/>
  <c r="IS96" i="3"/>
  <c r="IR96" i="3"/>
  <c r="IQ96" i="3"/>
  <c r="IP96" i="3"/>
  <c r="IL96" i="3"/>
  <c r="IK96" i="3"/>
  <c r="IJ96" i="3"/>
  <c r="II96" i="3"/>
  <c r="HW96" i="3"/>
  <c r="HV96" i="3"/>
  <c r="HU96" i="3"/>
  <c r="HT96" i="3"/>
  <c r="HP96" i="3"/>
  <c r="HO96" i="3"/>
  <c r="HN96" i="3"/>
  <c r="HM96" i="3"/>
  <c r="HA96" i="3"/>
  <c r="GZ96" i="3"/>
  <c r="GY96" i="3"/>
  <c r="GX96" i="3"/>
  <c r="GL96" i="3"/>
  <c r="GK96" i="3"/>
  <c r="GJ96" i="3"/>
  <c r="GI96" i="3"/>
  <c r="GE96" i="3"/>
  <c r="GD96" i="3"/>
  <c r="GC96" i="3"/>
  <c r="GB96" i="3"/>
  <c r="FP96" i="3"/>
  <c r="FO96" i="3"/>
  <c r="FN96" i="3"/>
  <c r="FM96" i="3"/>
  <c r="FI96" i="3"/>
  <c r="FH96" i="3"/>
  <c r="FG96" i="3"/>
  <c r="FF96" i="3"/>
  <c r="ES96" i="3"/>
  <c r="ER96" i="3"/>
  <c r="Q96" i="3"/>
  <c r="P96" i="3"/>
  <c r="JU95" i="3"/>
  <c r="JT95" i="3"/>
  <c r="JS95" i="3"/>
  <c r="JR95" i="3"/>
  <c r="JQ95" i="3"/>
  <c r="JP95" i="3"/>
  <c r="JO95" i="3"/>
  <c r="JN95" i="3"/>
  <c r="JH95" i="3"/>
  <c r="JG95" i="3"/>
  <c r="JF95" i="3"/>
  <c r="JE95" i="3"/>
  <c r="IS95" i="3"/>
  <c r="IR95" i="3"/>
  <c r="IQ95" i="3"/>
  <c r="IP95" i="3"/>
  <c r="IL95" i="3"/>
  <c r="IK95" i="3"/>
  <c r="IJ95" i="3"/>
  <c r="II95" i="3"/>
  <c r="HW95" i="3"/>
  <c r="HV95" i="3"/>
  <c r="HU95" i="3"/>
  <c r="HT95" i="3"/>
  <c r="HP95" i="3"/>
  <c r="HO95" i="3"/>
  <c r="HN95" i="3"/>
  <c r="HM95" i="3"/>
  <c r="HA95" i="3"/>
  <c r="GZ95" i="3"/>
  <c r="GY95" i="3"/>
  <c r="GX95" i="3"/>
  <c r="GL95" i="3"/>
  <c r="GK95" i="3"/>
  <c r="GJ95" i="3"/>
  <c r="GI95" i="3"/>
  <c r="GE95" i="3"/>
  <c r="GD95" i="3"/>
  <c r="GC95" i="3"/>
  <c r="GB95" i="3"/>
  <c r="FP95" i="3"/>
  <c r="FO95" i="3"/>
  <c r="FN95" i="3"/>
  <c r="FM95" i="3"/>
  <c r="FI95" i="3"/>
  <c r="FH95" i="3"/>
  <c r="FG95" i="3"/>
  <c r="FF95" i="3"/>
  <c r="ES95" i="3"/>
  <c r="ER95" i="3"/>
  <c r="Q95" i="3"/>
  <c r="P95" i="3"/>
  <c r="JU94" i="3"/>
  <c r="JT94" i="3"/>
  <c r="JS94" i="3"/>
  <c r="JR94" i="3"/>
  <c r="JQ94" i="3"/>
  <c r="JP94" i="3"/>
  <c r="JO94" i="3"/>
  <c r="JN94" i="3"/>
  <c r="JH94" i="3"/>
  <c r="JG94" i="3"/>
  <c r="JF94" i="3"/>
  <c r="JE94" i="3"/>
  <c r="IS94" i="3"/>
  <c r="IR94" i="3"/>
  <c r="IQ94" i="3"/>
  <c r="IP94" i="3"/>
  <c r="IL94" i="3"/>
  <c r="IK94" i="3"/>
  <c r="IJ94" i="3"/>
  <c r="II94" i="3"/>
  <c r="HW94" i="3"/>
  <c r="HV94" i="3"/>
  <c r="HU94" i="3"/>
  <c r="HT94" i="3"/>
  <c r="HP94" i="3"/>
  <c r="HO94" i="3"/>
  <c r="HN94" i="3"/>
  <c r="HM94" i="3"/>
  <c r="HA94" i="3"/>
  <c r="GZ94" i="3"/>
  <c r="GY94" i="3"/>
  <c r="GX94" i="3"/>
  <c r="GL94" i="3"/>
  <c r="GK94" i="3"/>
  <c r="GJ94" i="3"/>
  <c r="GI94" i="3"/>
  <c r="GE94" i="3"/>
  <c r="GD94" i="3"/>
  <c r="GC94" i="3"/>
  <c r="GB94" i="3"/>
  <c r="FP94" i="3"/>
  <c r="FO94" i="3"/>
  <c r="FN94" i="3"/>
  <c r="FM94" i="3"/>
  <c r="FI94" i="3"/>
  <c r="FH94" i="3"/>
  <c r="FG94" i="3"/>
  <c r="FF94" i="3"/>
  <c r="ES94" i="3"/>
  <c r="ER94" i="3"/>
  <c r="Q94" i="3"/>
  <c r="P94" i="3"/>
  <c r="JU93" i="3"/>
  <c r="JT93" i="3"/>
  <c r="JS93" i="3"/>
  <c r="JR93" i="3"/>
  <c r="JQ93" i="3"/>
  <c r="JP93" i="3"/>
  <c r="JO93" i="3"/>
  <c r="JN93" i="3"/>
  <c r="JH93" i="3"/>
  <c r="JG93" i="3"/>
  <c r="JF93" i="3"/>
  <c r="JE93" i="3"/>
  <c r="IS93" i="3"/>
  <c r="IR93" i="3"/>
  <c r="IQ93" i="3"/>
  <c r="IP93" i="3"/>
  <c r="IL93" i="3"/>
  <c r="IK93" i="3"/>
  <c r="IJ93" i="3"/>
  <c r="II93" i="3"/>
  <c r="HW93" i="3"/>
  <c r="HV93" i="3"/>
  <c r="HU93" i="3"/>
  <c r="HT93" i="3"/>
  <c r="HP93" i="3"/>
  <c r="HO93" i="3"/>
  <c r="HN93" i="3"/>
  <c r="HM93" i="3"/>
  <c r="HA93" i="3"/>
  <c r="GZ93" i="3"/>
  <c r="GY93" i="3"/>
  <c r="GX93" i="3"/>
  <c r="GL93" i="3"/>
  <c r="GK93" i="3"/>
  <c r="GJ93" i="3"/>
  <c r="GI93" i="3"/>
  <c r="GE93" i="3"/>
  <c r="GD93" i="3"/>
  <c r="GC93" i="3"/>
  <c r="GB93" i="3"/>
  <c r="FP93" i="3"/>
  <c r="FO93" i="3"/>
  <c r="FN93" i="3"/>
  <c r="FM93" i="3"/>
  <c r="FI93" i="3"/>
  <c r="FH93" i="3"/>
  <c r="FG93" i="3"/>
  <c r="FF93" i="3"/>
  <c r="ES93" i="3"/>
  <c r="ER93" i="3"/>
  <c r="Q93" i="3"/>
  <c r="P93" i="3"/>
  <c r="JU92" i="3"/>
  <c r="JT92" i="3"/>
  <c r="JS92" i="3"/>
  <c r="JR92" i="3"/>
  <c r="JQ92" i="3"/>
  <c r="JP92" i="3"/>
  <c r="JO92" i="3"/>
  <c r="JN92" i="3"/>
  <c r="JH92" i="3"/>
  <c r="JG92" i="3"/>
  <c r="JF92" i="3"/>
  <c r="JE92" i="3"/>
  <c r="IS92" i="3"/>
  <c r="IR92" i="3"/>
  <c r="IQ92" i="3"/>
  <c r="IP92" i="3"/>
  <c r="IL92" i="3"/>
  <c r="IK92" i="3"/>
  <c r="IJ92" i="3"/>
  <c r="II92" i="3"/>
  <c r="HW92" i="3"/>
  <c r="HV92" i="3"/>
  <c r="HU92" i="3"/>
  <c r="HT92" i="3"/>
  <c r="HP92" i="3"/>
  <c r="HO92" i="3"/>
  <c r="HN92" i="3"/>
  <c r="HM92" i="3"/>
  <c r="HA92" i="3"/>
  <c r="GZ92" i="3"/>
  <c r="GY92" i="3"/>
  <c r="GX92" i="3"/>
  <c r="GL92" i="3"/>
  <c r="GK92" i="3"/>
  <c r="GJ92" i="3"/>
  <c r="GI92" i="3"/>
  <c r="GE92" i="3"/>
  <c r="GD92" i="3"/>
  <c r="GC92" i="3"/>
  <c r="GB92" i="3"/>
  <c r="FP92" i="3"/>
  <c r="FO92" i="3"/>
  <c r="FN92" i="3"/>
  <c r="FM92" i="3"/>
  <c r="FI92" i="3"/>
  <c r="FH92" i="3"/>
  <c r="FG92" i="3"/>
  <c r="FF92" i="3"/>
  <c r="ES92" i="3"/>
  <c r="ER92" i="3"/>
  <c r="Q92" i="3"/>
  <c r="P92" i="3"/>
  <c r="JU91" i="3"/>
  <c r="JT91" i="3"/>
  <c r="JS91" i="3"/>
  <c r="JR91" i="3"/>
  <c r="JQ91" i="3"/>
  <c r="JP91" i="3"/>
  <c r="JO91" i="3"/>
  <c r="JN91" i="3"/>
  <c r="JH91" i="3"/>
  <c r="JG91" i="3"/>
  <c r="JF91" i="3"/>
  <c r="JE91" i="3"/>
  <c r="IS91" i="3"/>
  <c r="IR91" i="3"/>
  <c r="IQ91" i="3"/>
  <c r="IP91" i="3"/>
  <c r="IL91" i="3"/>
  <c r="IK91" i="3"/>
  <c r="IJ91" i="3"/>
  <c r="II91" i="3"/>
  <c r="HW91" i="3"/>
  <c r="HV91" i="3"/>
  <c r="HU91" i="3"/>
  <c r="HT91" i="3"/>
  <c r="HP91" i="3"/>
  <c r="HO91" i="3"/>
  <c r="HN91" i="3"/>
  <c r="HM91" i="3"/>
  <c r="HA91" i="3"/>
  <c r="GZ91" i="3"/>
  <c r="GY91" i="3"/>
  <c r="GX91" i="3"/>
  <c r="GL91" i="3"/>
  <c r="GK91" i="3"/>
  <c r="GJ91" i="3"/>
  <c r="GI91" i="3"/>
  <c r="GE91" i="3"/>
  <c r="GD91" i="3"/>
  <c r="GC91" i="3"/>
  <c r="GB91" i="3"/>
  <c r="FP91" i="3"/>
  <c r="FO91" i="3"/>
  <c r="FN91" i="3"/>
  <c r="FM91" i="3"/>
  <c r="FI91" i="3"/>
  <c r="FH91" i="3"/>
  <c r="FG91" i="3"/>
  <c r="FF91" i="3"/>
  <c r="ES91" i="3"/>
  <c r="ER91" i="3"/>
  <c r="Q91" i="3"/>
  <c r="P91" i="3"/>
  <c r="JU90" i="3"/>
  <c r="JT90" i="3"/>
  <c r="JS90" i="3"/>
  <c r="JR90" i="3"/>
  <c r="JQ90" i="3"/>
  <c r="JP90" i="3"/>
  <c r="JO90" i="3"/>
  <c r="JN90" i="3"/>
  <c r="JH90" i="3"/>
  <c r="JG90" i="3"/>
  <c r="JF90" i="3"/>
  <c r="JE90" i="3"/>
  <c r="IS90" i="3"/>
  <c r="IR90" i="3"/>
  <c r="IQ90" i="3"/>
  <c r="IP90" i="3"/>
  <c r="IL90" i="3"/>
  <c r="IK90" i="3"/>
  <c r="IJ90" i="3"/>
  <c r="II90" i="3"/>
  <c r="HW90" i="3"/>
  <c r="HV90" i="3"/>
  <c r="HU90" i="3"/>
  <c r="HT90" i="3"/>
  <c r="HP90" i="3"/>
  <c r="HO90" i="3"/>
  <c r="HN90" i="3"/>
  <c r="HM90" i="3"/>
  <c r="HA90" i="3"/>
  <c r="GZ90" i="3"/>
  <c r="GY90" i="3"/>
  <c r="GX90" i="3"/>
  <c r="GL90" i="3"/>
  <c r="GK90" i="3"/>
  <c r="GJ90" i="3"/>
  <c r="GI90" i="3"/>
  <c r="GE90" i="3"/>
  <c r="GD90" i="3"/>
  <c r="GC90" i="3"/>
  <c r="GB90" i="3"/>
  <c r="FP90" i="3"/>
  <c r="FO90" i="3"/>
  <c r="FN90" i="3"/>
  <c r="FM90" i="3"/>
  <c r="FI90" i="3"/>
  <c r="FH90" i="3"/>
  <c r="FG90" i="3"/>
  <c r="FF90" i="3"/>
  <c r="ES90" i="3"/>
  <c r="ER90" i="3"/>
  <c r="Q90" i="3"/>
  <c r="P90" i="3"/>
  <c r="JT89" i="3"/>
  <c r="JS89" i="3"/>
  <c r="JR89" i="3"/>
  <c r="JQ89" i="3"/>
  <c r="JP89" i="3"/>
  <c r="JO89" i="3"/>
  <c r="JN89" i="3"/>
  <c r="JH89" i="3"/>
  <c r="JG89" i="3"/>
  <c r="JF89" i="3"/>
  <c r="JE89" i="3"/>
  <c r="IS89" i="3"/>
  <c r="IR89" i="3"/>
  <c r="IQ89" i="3"/>
  <c r="IP89" i="3"/>
  <c r="IL89" i="3"/>
  <c r="IK89" i="3"/>
  <c r="IJ89" i="3"/>
  <c r="II89" i="3"/>
  <c r="HW89" i="3"/>
  <c r="HV89" i="3"/>
  <c r="HU89" i="3"/>
  <c r="HT89" i="3"/>
  <c r="HP89" i="3"/>
  <c r="HO89" i="3"/>
  <c r="HN89" i="3"/>
  <c r="HM89" i="3"/>
  <c r="HA89" i="3"/>
  <c r="GZ89" i="3"/>
  <c r="GY89" i="3"/>
  <c r="GX89" i="3"/>
  <c r="GL89" i="3"/>
  <c r="GK89" i="3"/>
  <c r="GJ89" i="3"/>
  <c r="GI89" i="3"/>
  <c r="GE89" i="3"/>
  <c r="GD89" i="3"/>
  <c r="GC89" i="3"/>
  <c r="GB89" i="3"/>
  <c r="FP89" i="3"/>
  <c r="FO89" i="3"/>
  <c r="FN89" i="3"/>
  <c r="FM89" i="3"/>
  <c r="FI89" i="3"/>
  <c r="FH89" i="3"/>
  <c r="FG89" i="3"/>
  <c r="FF89" i="3"/>
  <c r="ES89" i="3"/>
  <c r="ER89" i="3"/>
  <c r="Q89" i="3"/>
  <c r="P89" i="3"/>
  <c r="JT88" i="3"/>
  <c r="JS88" i="3"/>
  <c r="JR88" i="3"/>
  <c r="JQ88" i="3"/>
  <c r="JP88" i="3"/>
  <c r="JO88" i="3"/>
  <c r="JN88" i="3"/>
  <c r="JH88" i="3"/>
  <c r="JG88" i="3"/>
  <c r="JF88" i="3"/>
  <c r="JE88" i="3"/>
  <c r="IS88" i="3"/>
  <c r="IR88" i="3"/>
  <c r="IQ88" i="3"/>
  <c r="IP88" i="3"/>
  <c r="IL88" i="3"/>
  <c r="IK88" i="3"/>
  <c r="IJ88" i="3"/>
  <c r="II88" i="3"/>
  <c r="HW88" i="3"/>
  <c r="HV88" i="3"/>
  <c r="HU88" i="3"/>
  <c r="HT88" i="3"/>
  <c r="HP88" i="3"/>
  <c r="HO88" i="3"/>
  <c r="HN88" i="3"/>
  <c r="HM88" i="3"/>
  <c r="HA88" i="3"/>
  <c r="GZ88" i="3"/>
  <c r="GY88" i="3"/>
  <c r="GX88" i="3"/>
  <c r="GL88" i="3"/>
  <c r="GK88" i="3"/>
  <c r="GJ88" i="3"/>
  <c r="GI88" i="3"/>
  <c r="GE88" i="3"/>
  <c r="GD88" i="3"/>
  <c r="GC88" i="3"/>
  <c r="GB88" i="3"/>
  <c r="FP88" i="3"/>
  <c r="FO88" i="3"/>
  <c r="FN88" i="3"/>
  <c r="FM88" i="3"/>
  <c r="FI88" i="3"/>
  <c r="FH88" i="3"/>
  <c r="FG88" i="3"/>
  <c r="FF88" i="3"/>
  <c r="ES88" i="3"/>
  <c r="ER88" i="3"/>
  <c r="Q88" i="3"/>
  <c r="P88" i="3"/>
  <c r="JT87" i="3"/>
  <c r="JS87" i="3"/>
  <c r="JR87" i="3"/>
  <c r="JQ87" i="3"/>
  <c r="JP87" i="3"/>
  <c r="JO87" i="3"/>
  <c r="JN87" i="3"/>
  <c r="JH87" i="3"/>
  <c r="JG87" i="3"/>
  <c r="JF87" i="3"/>
  <c r="JE87" i="3"/>
  <c r="IS87" i="3"/>
  <c r="IR87" i="3"/>
  <c r="IQ87" i="3"/>
  <c r="IP87" i="3"/>
  <c r="IL87" i="3"/>
  <c r="IK87" i="3"/>
  <c r="IJ87" i="3"/>
  <c r="II87" i="3"/>
  <c r="HW87" i="3"/>
  <c r="HV87" i="3"/>
  <c r="HU87" i="3"/>
  <c r="HT87" i="3"/>
  <c r="HP87" i="3"/>
  <c r="HO87" i="3"/>
  <c r="HN87" i="3"/>
  <c r="HM87" i="3"/>
  <c r="HA87" i="3"/>
  <c r="GZ87" i="3"/>
  <c r="GY87" i="3"/>
  <c r="GX87" i="3"/>
  <c r="GL87" i="3"/>
  <c r="GK87" i="3"/>
  <c r="GJ87" i="3"/>
  <c r="GI87" i="3"/>
  <c r="GE87" i="3"/>
  <c r="GD87" i="3"/>
  <c r="GC87" i="3"/>
  <c r="GB87" i="3"/>
  <c r="FP87" i="3"/>
  <c r="FO87" i="3"/>
  <c r="FN87" i="3"/>
  <c r="FM87" i="3"/>
  <c r="FI87" i="3"/>
  <c r="FH87" i="3"/>
  <c r="FG87" i="3"/>
  <c r="FF87" i="3"/>
  <c r="ES87" i="3"/>
  <c r="ER87" i="3"/>
  <c r="Q87" i="3"/>
  <c r="P87" i="3"/>
  <c r="JT86" i="3"/>
  <c r="JS86" i="3"/>
  <c r="JR86" i="3"/>
  <c r="JQ86" i="3"/>
  <c r="JP86" i="3"/>
  <c r="JO86" i="3"/>
  <c r="JN86" i="3"/>
  <c r="JH86" i="3"/>
  <c r="JG86" i="3"/>
  <c r="JF86" i="3"/>
  <c r="JE86" i="3"/>
  <c r="IS86" i="3"/>
  <c r="IR86" i="3"/>
  <c r="IQ86" i="3"/>
  <c r="IP86" i="3"/>
  <c r="IL86" i="3"/>
  <c r="IK86" i="3"/>
  <c r="IJ86" i="3"/>
  <c r="II86" i="3"/>
  <c r="HW86" i="3"/>
  <c r="HV86" i="3"/>
  <c r="HU86" i="3"/>
  <c r="HT86" i="3"/>
  <c r="HP86" i="3"/>
  <c r="HO86" i="3"/>
  <c r="HN86" i="3"/>
  <c r="HM86" i="3"/>
  <c r="HA86" i="3"/>
  <c r="GZ86" i="3"/>
  <c r="GY86" i="3"/>
  <c r="GX86" i="3"/>
  <c r="GL86" i="3"/>
  <c r="GK86" i="3"/>
  <c r="GJ86" i="3"/>
  <c r="GI86" i="3"/>
  <c r="GE86" i="3"/>
  <c r="GD86" i="3"/>
  <c r="GC86" i="3"/>
  <c r="GB86" i="3"/>
  <c r="FP86" i="3"/>
  <c r="FO86" i="3"/>
  <c r="FN86" i="3"/>
  <c r="FM86" i="3"/>
  <c r="FI86" i="3"/>
  <c r="FH86" i="3"/>
  <c r="FG86" i="3"/>
  <c r="FF86" i="3"/>
  <c r="ES86" i="3"/>
  <c r="ER86" i="3"/>
  <c r="Q86" i="3"/>
  <c r="P86" i="3"/>
  <c r="JT85" i="3"/>
  <c r="JS85" i="3"/>
  <c r="JR85" i="3"/>
  <c r="JQ85" i="3"/>
  <c r="JP85" i="3"/>
  <c r="JO85" i="3"/>
  <c r="JN85" i="3"/>
  <c r="JH85" i="3"/>
  <c r="JG85" i="3"/>
  <c r="JF85" i="3"/>
  <c r="JE85" i="3"/>
  <c r="IS85" i="3"/>
  <c r="IR85" i="3"/>
  <c r="IQ85" i="3"/>
  <c r="IP85" i="3"/>
  <c r="IL85" i="3"/>
  <c r="IK85" i="3"/>
  <c r="IJ85" i="3"/>
  <c r="II85" i="3"/>
  <c r="HW85" i="3"/>
  <c r="HV85" i="3"/>
  <c r="HU85" i="3"/>
  <c r="HT85" i="3"/>
  <c r="HP85" i="3"/>
  <c r="HO85" i="3"/>
  <c r="HN85" i="3"/>
  <c r="HM85" i="3"/>
  <c r="HA85" i="3"/>
  <c r="GZ85" i="3"/>
  <c r="GY85" i="3"/>
  <c r="GX85" i="3"/>
  <c r="GL85" i="3"/>
  <c r="GK85" i="3"/>
  <c r="GJ85" i="3"/>
  <c r="GI85" i="3"/>
  <c r="GE85" i="3"/>
  <c r="GD85" i="3"/>
  <c r="GC85" i="3"/>
  <c r="GB85" i="3"/>
  <c r="FP85" i="3"/>
  <c r="FO85" i="3"/>
  <c r="FN85" i="3"/>
  <c r="FM85" i="3"/>
  <c r="FI85" i="3"/>
  <c r="FH85" i="3"/>
  <c r="FG85" i="3"/>
  <c r="FF85" i="3"/>
  <c r="ES85" i="3"/>
  <c r="ER85" i="3"/>
  <c r="Q85" i="3"/>
  <c r="P85" i="3"/>
  <c r="JT84" i="3"/>
  <c r="JS84" i="3"/>
  <c r="JR84" i="3"/>
  <c r="JQ84" i="3"/>
  <c r="JP84" i="3"/>
  <c r="JO84" i="3"/>
  <c r="JN84" i="3"/>
  <c r="JH84" i="3"/>
  <c r="JG84" i="3"/>
  <c r="JF84" i="3"/>
  <c r="JE84" i="3"/>
  <c r="IS84" i="3"/>
  <c r="IR84" i="3"/>
  <c r="IQ84" i="3"/>
  <c r="IP84" i="3"/>
  <c r="IL84" i="3"/>
  <c r="IK84" i="3"/>
  <c r="IJ84" i="3"/>
  <c r="II84" i="3"/>
  <c r="HW84" i="3"/>
  <c r="HV84" i="3"/>
  <c r="HU84" i="3"/>
  <c r="HT84" i="3"/>
  <c r="HP84" i="3"/>
  <c r="HO84" i="3"/>
  <c r="HN84" i="3"/>
  <c r="HM84" i="3"/>
  <c r="HA84" i="3"/>
  <c r="GZ84" i="3"/>
  <c r="GY84" i="3"/>
  <c r="GX84" i="3"/>
  <c r="GL84" i="3"/>
  <c r="GK84" i="3"/>
  <c r="GJ84" i="3"/>
  <c r="GI84" i="3"/>
  <c r="GE84" i="3"/>
  <c r="GD84" i="3"/>
  <c r="GC84" i="3"/>
  <c r="GB84" i="3"/>
  <c r="FP84" i="3"/>
  <c r="FO84" i="3"/>
  <c r="FN84" i="3"/>
  <c r="FM84" i="3"/>
  <c r="FI84" i="3"/>
  <c r="FH84" i="3"/>
  <c r="FG84" i="3"/>
  <c r="FF84" i="3"/>
  <c r="ES84" i="3"/>
  <c r="ER84" i="3"/>
  <c r="Q84" i="3"/>
  <c r="P84" i="3"/>
  <c r="JT83" i="3"/>
  <c r="JS83" i="3"/>
  <c r="JR83" i="3"/>
  <c r="JQ83" i="3"/>
  <c r="JP83" i="3"/>
  <c r="JO83" i="3"/>
  <c r="JN83" i="3"/>
  <c r="JH83" i="3"/>
  <c r="JG83" i="3"/>
  <c r="JF83" i="3"/>
  <c r="JE83" i="3"/>
  <c r="IS83" i="3"/>
  <c r="IR83" i="3"/>
  <c r="IQ83" i="3"/>
  <c r="IP83" i="3"/>
  <c r="IL83" i="3"/>
  <c r="IK83" i="3"/>
  <c r="IJ83" i="3"/>
  <c r="II83" i="3"/>
  <c r="HW83" i="3"/>
  <c r="HV83" i="3"/>
  <c r="HU83" i="3"/>
  <c r="HT83" i="3"/>
  <c r="HP83" i="3"/>
  <c r="HO83" i="3"/>
  <c r="HN83" i="3"/>
  <c r="HM83" i="3"/>
  <c r="HA83" i="3"/>
  <c r="GZ83" i="3"/>
  <c r="GY83" i="3"/>
  <c r="GX83" i="3"/>
  <c r="GL83" i="3"/>
  <c r="GK83" i="3"/>
  <c r="GJ83" i="3"/>
  <c r="GI83" i="3"/>
  <c r="GE83" i="3"/>
  <c r="GD83" i="3"/>
  <c r="GC83" i="3"/>
  <c r="GB83" i="3"/>
  <c r="FP83" i="3"/>
  <c r="FO83" i="3"/>
  <c r="FN83" i="3"/>
  <c r="FM83" i="3"/>
  <c r="FI83" i="3"/>
  <c r="FH83" i="3"/>
  <c r="FG83" i="3"/>
  <c r="FF83" i="3"/>
  <c r="ES83" i="3"/>
  <c r="ER83" i="3"/>
  <c r="Q83" i="3"/>
  <c r="P83" i="3"/>
  <c r="OA82" i="3"/>
  <c r="NZ82" i="3"/>
  <c r="NY82" i="3"/>
  <c r="NX82" i="3"/>
  <c r="NL82" i="3"/>
  <c r="NK82" i="3"/>
  <c r="NJ82" i="3"/>
  <c r="NI82" i="3"/>
  <c r="JT82" i="3"/>
  <c r="JS82" i="3"/>
  <c r="JR82" i="3"/>
  <c r="JQ82" i="3"/>
  <c r="JP82" i="3"/>
  <c r="JO82" i="3"/>
  <c r="JN82" i="3"/>
  <c r="JH82" i="3"/>
  <c r="JG82" i="3"/>
  <c r="JF82" i="3"/>
  <c r="JE82" i="3"/>
  <c r="IS82" i="3"/>
  <c r="IR82" i="3"/>
  <c r="IQ82" i="3"/>
  <c r="IP82" i="3"/>
  <c r="IL82" i="3"/>
  <c r="IK82" i="3"/>
  <c r="IJ82" i="3"/>
  <c r="II82" i="3"/>
  <c r="HW82" i="3"/>
  <c r="HV82" i="3"/>
  <c r="HU82" i="3"/>
  <c r="HT82" i="3"/>
  <c r="HP82" i="3"/>
  <c r="HO82" i="3"/>
  <c r="HN82" i="3"/>
  <c r="HM82" i="3"/>
  <c r="HA82" i="3"/>
  <c r="GZ82" i="3"/>
  <c r="GY82" i="3"/>
  <c r="GX82" i="3"/>
  <c r="GL82" i="3"/>
  <c r="GK82" i="3"/>
  <c r="GJ82" i="3"/>
  <c r="GI82" i="3"/>
  <c r="GE82" i="3"/>
  <c r="GD82" i="3"/>
  <c r="GC82" i="3"/>
  <c r="GB82" i="3"/>
  <c r="FP82" i="3"/>
  <c r="FO82" i="3"/>
  <c r="FN82" i="3"/>
  <c r="FM82" i="3"/>
  <c r="FI82" i="3"/>
  <c r="FH82" i="3"/>
  <c r="FG82" i="3"/>
  <c r="FF82" i="3"/>
  <c r="ES82" i="3"/>
  <c r="ER82" i="3"/>
  <c r="Q82" i="3"/>
  <c r="P82" i="3"/>
  <c r="OA81" i="3"/>
  <c r="NZ81" i="3"/>
  <c r="NY81" i="3"/>
  <c r="NX81" i="3"/>
  <c r="NL81" i="3"/>
  <c r="NK81" i="3"/>
  <c r="NJ81" i="3"/>
  <c r="NI81" i="3"/>
  <c r="JT81" i="3"/>
  <c r="JS81" i="3"/>
  <c r="JR81" i="3"/>
  <c r="JQ81" i="3"/>
  <c r="JP81" i="3"/>
  <c r="JO81" i="3"/>
  <c r="JN81" i="3"/>
  <c r="JH81" i="3"/>
  <c r="JG81" i="3"/>
  <c r="JF81" i="3"/>
  <c r="JE81" i="3"/>
  <c r="IS81" i="3"/>
  <c r="IR81" i="3"/>
  <c r="IQ81" i="3"/>
  <c r="IP81" i="3"/>
  <c r="IL81" i="3"/>
  <c r="IK81" i="3"/>
  <c r="IJ81" i="3"/>
  <c r="II81" i="3"/>
  <c r="HW81" i="3"/>
  <c r="HV81" i="3"/>
  <c r="HU81" i="3"/>
  <c r="HT81" i="3"/>
  <c r="HP81" i="3"/>
  <c r="HO81" i="3"/>
  <c r="HN81" i="3"/>
  <c r="HM81" i="3"/>
  <c r="HA81" i="3"/>
  <c r="GZ81" i="3"/>
  <c r="GY81" i="3"/>
  <c r="GX81" i="3"/>
  <c r="GL81" i="3"/>
  <c r="GK81" i="3"/>
  <c r="GJ81" i="3"/>
  <c r="GI81" i="3"/>
  <c r="GE81" i="3"/>
  <c r="GD81" i="3"/>
  <c r="GC81" i="3"/>
  <c r="GB81" i="3"/>
  <c r="FP81" i="3"/>
  <c r="FO81" i="3"/>
  <c r="FN81" i="3"/>
  <c r="FM81" i="3"/>
  <c r="FI81" i="3"/>
  <c r="FH81" i="3"/>
  <c r="FG81" i="3"/>
  <c r="FF81" i="3"/>
  <c r="ES81" i="3"/>
  <c r="ER81" i="3"/>
  <c r="Q81" i="3"/>
  <c r="P81" i="3"/>
  <c r="OA80" i="3"/>
  <c r="NZ80" i="3"/>
  <c r="NY80" i="3"/>
  <c r="NX80" i="3"/>
  <c r="NL80" i="3"/>
  <c r="NK80" i="3"/>
  <c r="NJ80" i="3"/>
  <c r="NI80" i="3"/>
  <c r="JT80" i="3"/>
  <c r="JS80" i="3"/>
  <c r="JR80" i="3"/>
  <c r="JQ80" i="3"/>
  <c r="JP80" i="3"/>
  <c r="JO80" i="3"/>
  <c r="JN80" i="3"/>
  <c r="JH80" i="3"/>
  <c r="JG80" i="3"/>
  <c r="JF80" i="3"/>
  <c r="JE80" i="3"/>
  <c r="IS80" i="3"/>
  <c r="IR80" i="3"/>
  <c r="IQ80" i="3"/>
  <c r="IP80" i="3"/>
  <c r="IL80" i="3"/>
  <c r="IK80" i="3"/>
  <c r="IJ80" i="3"/>
  <c r="II80" i="3"/>
  <c r="HW80" i="3"/>
  <c r="HV80" i="3"/>
  <c r="HU80" i="3"/>
  <c r="HT80" i="3"/>
  <c r="HP80" i="3"/>
  <c r="HO80" i="3"/>
  <c r="HN80" i="3"/>
  <c r="HM80" i="3"/>
  <c r="HA80" i="3"/>
  <c r="GZ80" i="3"/>
  <c r="GY80" i="3"/>
  <c r="GX80" i="3"/>
  <c r="GL80" i="3"/>
  <c r="GK80" i="3"/>
  <c r="GJ80" i="3"/>
  <c r="GI80" i="3"/>
  <c r="GE80" i="3"/>
  <c r="GD80" i="3"/>
  <c r="GC80" i="3"/>
  <c r="GB80" i="3"/>
  <c r="FP80" i="3"/>
  <c r="FO80" i="3"/>
  <c r="FN80" i="3"/>
  <c r="FM80" i="3"/>
  <c r="FI80" i="3"/>
  <c r="FH80" i="3"/>
  <c r="FG80" i="3"/>
  <c r="FF80" i="3"/>
  <c r="ES80" i="3"/>
  <c r="ER80" i="3"/>
  <c r="Q80" i="3"/>
  <c r="P80" i="3"/>
  <c r="OA79" i="3"/>
  <c r="NZ79" i="3"/>
  <c r="NY79" i="3"/>
  <c r="NX79" i="3"/>
  <c r="NL79" i="3"/>
  <c r="NK79" i="3"/>
  <c r="NJ79" i="3"/>
  <c r="NI79" i="3"/>
  <c r="JT79" i="3"/>
  <c r="JS79" i="3"/>
  <c r="JR79" i="3"/>
  <c r="JQ79" i="3"/>
  <c r="JP79" i="3"/>
  <c r="JO79" i="3"/>
  <c r="JN79" i="3"/>
  <c r="JH79" i="3"/>
  <c r="JG79" i="3"/>
  <c r="JF79" i="3"/>
  <c r="JE79" i="3"/>
  <c r="IS79" i="3"/>
  <c r="IR79" i="3"/>
  <c r="IQ79" i="3"/>
  <c r="IP79" i="3"/>
  <c r="IL79" i="3"/>
  <c r="IK79" i="3"/>
  <c r="IJ79" i="3"/>
  <c r="II79" i="3"/>
  <c r="HW79" i="3"/>
  <c r="HV79" i="3"/>
  <c r="HU79" i="3"/>
  <c r="HT79" i="3"/>
  <c r="HP79" i="3"/>
  <c r="HO79" i="3"/>
  <c r="HN79" i="3"/>
  <c r="HM79" i="3"/>
  <c r="HA79" i="3"/>
  <c r="GZ79" i="3"/>
  <c r="GY79" i="3"/>
  <c r="GX79" i="3"/>
  <c r="GL79" i="3"/>
  <c r="GK79" i="3"/>
  <c r="GJ79" i="3"/>
  <c r="GI79" i="3"/>
  <c r="GE79" i="3"/>
  <c r="GD79" i="3"/>
  <c r="GC79" i="3"/>
  <c r="GB79" i="3"/>
  <c r="FP79" i="3"/>
  <c r="FO79" i="3"/>
  <c r="FN79" i="3"/>
  <c r="FM79" i="3"/>
  <c r="FI79" i="3"/>
  <c r="FH79" i="3"/>
  <c r="FG79" i="3"/>
  <c r="FF79" i="3"/>
  <c r="ES79" i="3"/>
  <c r="ER79" i="3"/>
  <c r="CL79" i="3"/>
  <c r="Q79" i="3"/>
  <c r="P79" i="3"/>
  <c r="OA78" i="3"/>
  <c r="NZ78" i="3"/>
  <c r="NY78" i="3"/>
  <c r="NX78" i="3"/>
  <c r="NL78" i="3"/>
  <c r="NK78" i="3"/>
  <c r="NJ78" i="3"/>
  <c r="NI78" i="3"/>
  <c r="JT78" i="3"/>
  <c r="JS78" i="3"/>
  <c r="JR78" i="3"/>
  <c r="JQ78" i="3"/>
  <c r="JP78" i="3"/>
  <c r="JO78" i="3"/>
  <c r="JN78" i="3"/>
  <c r="JH78" i="3"/>
  <c r="JG78" i="3"/>
  <c r="JF78" i="3"/>
  <c r="JE78" i="3"/>
  <c r="IS78" i="3"/>
  <c r="IR78" i="3"/>
  <c r="IQ78" i="3"/>
  <c r="IP78" i="3"/>
  <c r="IL78" i="3"/>
  <c r="IK78" i="3"/>
  <c r="IJ78" i="3"/>
  <c r="II78" i="3"/>
  <c r="HW78" i="3"/>
  <c r="HV78" i="3"/>
  <c r="HU78" i="3"/>
  <c r="HT78" i="3"/>
  <c r="HP78" i="3"/>
  <c r="HO78" i="3"/>
  <c r="HN78" i="3"/>
  <c r="HM78" i="3"/>
  <c r="HA78" i="3"/>
  <c r="GZ78" i="3"/>
  <c r="GY78" i="3"/>
  <c r="GX78" i="3"/>
  <c r="GL78" i="3"/>
  <c r="GK78" i="3"/>
  <c r="GJ78" i="3"/>
  <c r="GI78" i="3"/>
  <c r="GE78" i="3"/>
  <c r="GD78" i="3"/>
  <c r="GC78" i="3"/>
  <c r="GB78" i="3"/>
  <c r="FP78" i="3"/>
  <c r="FO78" i="3"/>
  <c r="FN78" i="3"/>
  <c r="FM78" i="3"/>
  <c r="FI78" i="3"/>
  <c r="FH78" i="3"/>
  <c r="FG78" i="3"/>
  <c r="FF78" i="3"/>
  <c r="ES78" i="3"/>
  <c r="ER78" i="3"/>
  <c r="CL78" i="3"/>
  <c r="Q78" i="3"/>
  <c r="P78" i="3"/>
  <c r="OA77" i="3"/>
  <c r="NZ77" i="3"/>
  <c r="NY77" i="3"/>
  <c r="NX77" i="3"/>
  <c r="NL77" i="3"/>
  <c r="NK77" i="3"/>
  <c r="NJ77" i="3"/>
  <c r="NI77" i="3"/>
  <c r="JT77" i="3"/>
  <c r="JS77" i="3"/>
  <c r="JR77" i="3"/>
  <c r="JQ77" i="3"/>
  <c r="JP77" i="3"/>
  <c r="JO77" i="3"/>
  <c r="JN77" i="3"/>
  <c r="JH77" i="3"/>
  <c r="JG77" i="3"/>
  <c r="JF77" i="3"/>
  <c r="JE77" i="3"/>
  <c r="IS77" i="3"/>
  <c r="IR77" i="3"/>
  <c r="IQ77" i="3"/>
  <c r="IP77" i="3"/>
  <c r="IL77" i="3"/>
  <c r="IK77" i="3"/>
  <c r="IJ77" i="3"/>
  <c r="II77" i="3"/>
  <c r="HW77" i="3"/>
  <c r="HV77" i="3"/>
  <c r="HU77" i="3"/>
  <c r="HT77" i="3"/>
  <c r="HP77" i="3"/>
  <c r="HO77" i="3"/>
  <c r="HN77" i="3"/>
  <c r="HM77" i="3"/>
  <c r="HA77" i="3"/>
  <c r="GZ77" i="3"/>
  <c r="GY77" i="3"/>
  <c r="GX77" i="3"/>
  <c r="GL77" i="3"/>
  <c r="GK77" i="3"/>
  <c r="GJ77" i="3"/>
  <c r="GI77" i="3"/>
  <c r="GE77" i="3"/>
  <c r="GD77" i="3"/>
  <c r="GC77" i="3"/>
  <c r="GB77" i="3"/>
  <c r="FP77" i="3"/>
  <c r="FO77" i="3"/>
  <c r="FN77" i="3"/>
  <c r="FM77" i="3"/>
  <c r="FI77" i="3"/>
  <c r="FH77" i="3"/>
  <c r="FG77" i="3"/>
  <c r="FF77" i="3"/>
  <c r="ES77" i="3"/>
  <c r="ER77" i="3"/>
  <c r="Q77" i="3"/>
  <c r="P77" i="3"/>
  <c r="OA76" i="3"/>
  <c r="NZ76" i="3"/>
  <c r="NY76" i="3"/>
  <c r="NX76" i="3"/>
  <c r="NL76" i="3"/>
  <c r="NK76" i="3"/>
  <c r="NJ76" i="3"/>
  <c r="NI76" i="3"/>
  <c r="JT76" i="3"/>
  <c r="JS76" i="3"/>
  <c r="JR76" i="3"/>
  <c r="JQ76" i="3"/>
  <c r="JP76" i="3"/>
  <c r="JO76" i="3"/>
  <c r="JN76" i="3"/>
  <c r="JH76" i="3"/>
  <c r="JG76" i="3"/>
  <c r="JF76" i="3"/>
  <c r="JE76" i="3"/>
  <c r="IS76" i="3"/>
  <c r="IR76" i="3"/>
  <c r="IQ76" i="3"/>
  <c r="IP76" i="3"/>
  <c r="IL76" i="3"/>
  <c r="IK76" i="3"/>
  <c r="IJ76" i="3"/>
  <c r="II76" i="3"/>
  <c r="HW76" i="3"/>
  <c r="HV76" i="3"/>
  <c r="HU76" i="3"/>
  <c r="HT76" i="3"/>
  <c r="HP76" i="3"/>
  <c r="HO76" i="3"/>
  <c r="HN76" i="3"/>
  <c r="HM76" i="3"/>
  <c r="HA76" i="3"/>
  <c r="GZ76" i="3"/>
  <c r="GY76" i="3"/>
  <c r="GX76" i="3"/>
  <c r="GL76" i="3"/>
  <c r="GK76" i="3"/>
  <c r="GJ76" i="3"/>
  <c r="GI76" i="3"/>
  <c r="GE76" i="3"/>
  <c r="GD76" i="3"/>
  <c r="GC76" i="3"/>
  <c r="GB76" i="3"/>
  <c r="FP76" i="3"/>
  <c r="FO76" i="3"/>
  <c r="FN76" i="3"/>
  <c r="FM76" i="3"/>
  <c r="FI76" i="3"/>
  <c r="FH76" i="3"/>
  <c r="FG76" i="3"/>
  <c r="FF76" i="3"/>
  <c r="ES76" i="3"/>
  <c r="ER76" i="3"/>
  <c r="Q76" i="3"/>
  <c r="P76" i="3"/>
  <c r="OA75" i="3"/>
  <c r="NZ75" i="3"/>
  <c r="NY75" i="3"/>
  <c r="NX75" i="3"/>
  <c r="NL75" i="3"/>
  <c r="NK75" i="3"/>
  <c r="NJ75" i="3"/>
  <c r="NI75" i="3"/>
  <c r="JT75" i="3"/>
  <c r="JS75" i="3"/>
  <c r="JR75" i="3"/>
  <c r="JQ75" i="3"/>
  <c r="JP75" i="3"/>
  <c r="JO75" i="3"/>
  <c r="JN75" i="3"/>
  <c r="JH75" i="3"/>
  <c r="JG75" i="3"/>
  <c r="JF75" i="3"/>
  <c r="JE75" i="3"/>
  <c r="IS75" i="3"/>
  <c r="IR75" i="3"/>
  <c r="IQ75" i="3"/>
  <c r="IP75" i="3"/>
  <c r="IL75" i="3"/>
  <c r="IK75" i="3"/>
  <c r="IJ75" i="3"/>
  <c r="II75" i="3"/>
  <c r="HW75" i="3"/>
  <c r="HV75" i="3"/>
  <c r="HU75" i="3"/>
  <c r="HT75" i="3"/>
  <c r="HP75" i="3"/>
  <c r="HO75" i="3"/>
  <c r="HN75" i="3"/>
  <c r="HM75" i="3"/>
  <c r="HA75" i="3"/>
  <c r="GZ75" i="3"/>
  <c r="GY75" i="3"/>
  <c r="GX75" i="3"/>
  <c r="GL75" i="3"/>
  <c r="GK75" i="3"/>
  <c r="GJ75" i="3"/>
  <c r="GI75" i="3"/>
  <c r="GE75" i="3"/>
  <c r="GD75" i="3"/>
  <c r="GC75" i="3"/>
  <c r="GB75" i="3"/>
  <c r="FP75" i="3"/>
  <c r="FO75" i="3"/>
  <c r="FN75" i="3"/>
  <c r="FM75" i="3"/>
  <c r="FI75" i="3"/>
  <c r="FH75" i="3"/>
  <c r="FG75" i="3"/>
  <c r="FF75" i="3"/>
  <c r="ES75" i="3"/>
  <c r="ER75" i="3"/>
  <c r="Q75" i="3"/>
  <c r="P75" i="3"/>
  <c r="OA74" i="3"/>
  <c r="NZ74" i="3"/>
  <c r="NY74" i="3"/>
  <c r="NX74" i="3"/>
  <c r="NL74" i="3"/>
  <c r="NK74" i="3"/>
  <c r="NJ74" i="3"/>
  <c r="NI74" i="3"/>
  <c r="JT74" i="3"/>
  <c r="JS74" i="3"/>
  <c r="JR74" i="3"/>
  <c r="JQ74" i="3"/>
  <c r="JP74" i="3"/>
  <c r="JO74" i="3"/>
  <c r="JN74" i="3"/>
  <c r="JH74" i="3"/>
  <c r="JG74" i="3"/>
  <c r="JF74" i="3"/>
  <c r="JE74" i="3"/>
  <c r="IS74" i="3"/>
  <c r="IR74" i="3"/>
  <c r="IQ74" i="3"/>
  <c r="IP74" i="3"/>
  <c r="IL74" i="3"/>
  <c r="IK74" i="3"/>
  <c r="IJ74" i="3"/>
  <c r="II74" i="3"/>
  <c r="HW74" i="3"/>
  <c r="HV74" i="3"/>
  <c r="HU74" i="3"/>
  <c r="HT74" i="3"/>
  <c r="HP74" i="3"/>
  <c r="HO74" i="3"/>
  <c r="HN74" i="3"/>
  <c r="HM74" i="3"/>
  <c r="HA74" i="3"/>
  <c r="GZ74" i="3"/>
  <c r="GY74" i="3"/>
  <c r="GX74" i="3"/>
  <c r="GL74" i="3"/>
  <c r="GK74" i="3"/>
  <c r="GJ74" i="3"/>
  <c r="GI74" i="3"/>
  <c r="GE74" i="3"/>
  <c r="GD74" i="3"/>
  <c r="GC74" i="3"/>
  <c r="GB74" i="3"/>
  <c r="FP74" i="3"/>
  <c r="FO74" i="3"/>
  <c r="FN74" i="3"/>
  <c r="FM74" i="3"/>
  <c r="FI74" i="3"/>
  <c r="FH74" i="3"/>
  <c r="FG74" i="3"/>
  <c r="FF74" i="3"/>
  <c r="ES74" i="3"/>
  <c r="ER74" i="3"/>
  <c r="Q74" i="3"/>
  <c r="P74" i="3"/>
  <c r="OA73" i="3"/>
  <c r="NZ73" i="3"/>
  <c r="NY73" i="3"/>
  <c r="NX73" i="3"/>
  <c r="NL73" i="3"/>
  <c r="NK73" i="3"/>
  <c r="NJ73" i="3"/>
  <c r="NI73" i="3"/>
  <c r="JT73" i="3"/>
  <c r="JS73" i="3"/>
  <c r="JR73" i="3"/>
  <c r="JQ73" i="3"/>
  <c r="JP73" i="3"/>
  <c r="JO73" i="3"/>
  <c r="JN73" i="3"/>
  <c r="JH73" i="3"/>
  <c r="JG73" i="3"/>
  <c r="JF73" i="3"/>
  <c r="JE73" i="3"/>
  <c r="IS73" i="3"/>
  <c r="IR73" i="3"/>
  <c r="IQ73" i="3"/>
  <c r="IP73" i="3"/>
  <c r="IL73" i="3"/>
  <c r="IK73" i="3"/>
  <c r="IJ73" i="3"/>
  <c r="II73" i="3"/>
  <c r="HW73" i="3"/>
  <c r="HV73" i="3"/>
  <c r="HU73" i="3"/>
  <c r="HT73" i="3"/>
  <c r="HP73" i="3"/>
  <c r="HO73" i="3"/>
  <c r="HN73" i="3"/>
  <c r="HM73" i="3"/>
  <c r="HA73" i="3"/>
  <c r="GZ73" i="3"/>
  <c r="GY73" i="3"/>
  <c r="GX73" i="3"/>
  <c r="GL73" i="3"/>
  <c r="GK73" i="3"/>
  <c r="GJ73" i="3"/>
  <c r="GI73" i="3"/>
  <c r="GE73" i="3"/>
  <c r="GD73" i="3"/>
  <c r="GC73" i="3"/>
  <c r="GB73" i="3"/>
  <c r="FP73" i="3"/>
  <c r="FO73" i="3"/>
  <c r="FN73" i="3"/>
  <c r="FM73" i="3"/>
  <c r="FI73" i="3"/>
  <c r="FH73" i="3"/>
  <c r="FG73" i="3"/>
  <c r="FF73" i="3"/>
  <c r="ES73" i="3"/>
  <c r="ER73" i="3"/>
  <c r="Q73" i="3"/>
  <c r="P73" i="3"/>
  <c r="OA72" i="3"/>
  <c r="NZ72" i="3"/>
  <c r="NY72" i="3"/>
  <c r="NX72" i="3"/>
  <c r="NL72" i="3"/>
  <c r="NK72" i="3"/>
  <c r="NJ72" i="3"/>
  <c r="NI72" i="3"/>
  <c r="JT72" i="3"/>
  <c r="JS72" i="3"/>
  <c r="JR72" i="3"/>
  <c r="JQ72" i="3"/>
  <c r="JP72" i="3"/>
  <c r="JO72" i="3"/>
  <c r="JN72" i="3"/>
  <c r="JH72" i="3"/>
  <c r="JG72" i="3"/>
  <c r="JF72" i="3"/>
  <c r="JE72" i="3"/>
  <c r="IS72" i="3"/>
  <c r="IR72" i="3"/>
  <c r="IQ72" i="3"/>
  <c r="IP72" i="3"/>
  <c r="IL72" i="3"/>
  <c r="IK72" i="3"/>
  <c r="IJ72" i="3"/>
  <c r="II72" i="3"/>
  <c r="HW72" i="3"/>
  <c r="HV72" i="3"/>
  <c r="HU72" i="3"/>
  <c r="HT72" i="3"/>
  <c r="HP72" i="3"/>
  <c r="HO72" i="3"/>
  <c r="HN72" i="3"/>
  <c r="HM72" i="3"/>
  <c r="HA72" i="3"/>
  <c r="GZ72" i="3"/>
  <c r="GY72" i="3"/>
  <c r="GX72" i="3"/>
  <c r="GL72" i="3"/>
  <c r="GK72" i="3"/>
  <c r="GJ72" i="3"/>
  <c r="GI72" i="3"/>
  <c r="GE72" i="3"/>
  <c r="GD72" i="3"/>
  <c r="GC72" i="3"/>
  <c r="GB72" i="3"/>
  <c r="FP72" i="3"/>
  <c r="FO72" i="3"/>
  <c r="FN72" i="3"/>
  <c r="FM72" i="3"/>
  <c r="FI72" i="3"/>
  <c r="FH72" i="3"/>
  <c r="FG72" i="3"/>
  <c r="FF72" i="3"/>
  <c r="ES72" i="3"/>
  <c r="ER72" i="3"/>
  <c r="Q72" i="3"/>
  <c r="P72" i="3"/>
  <c r="OA71" i="3"/>
  <c r="NZ71" i="3"/>
  <c r="NY71" i="3"/>
  <c r="NX71" i="3"/>
  <c r="NL71" i="3"/>
  <c r="NK71" i="3"/>
  <c r="NJ71" i="3"/>
  <c r="NI71" i="3"/>
  <c r="JT71" i="3"/>
  <c r="JS71" i="3"/>
  <c r="JR71" i="3"/>
  <c r="JQ71" i="3"/>
  <c r="JP71" i="3"/>
  <c r="JO71" i="3"/>
  <c r="JN71" i="3"/>
  <c r="JH71" i="3"/>
  <c r="JG71" i="3"/>
  <c r="JF71" i="3"/>
  <c r="JE71" i="3"/>
  <c r="IS71" i="3"/>
  <c r="IR71" i="3"/>
  <c r="IQ71" i="3"/>
  <c r="IP71" i="3"/>
  <c r="IL71" i="3"/>
  <c r="IK71" i="3"/>
  <c r="IJ71" i="3"/>
  <c r="II71" i="3"/>
  <c r="HW71" i="3"/>
  <c r="HV71" i="3"/>
  <c r="HU71" i="3"/>
  <c r="HT71" i="3"/>
  <c r="HP71" i="3"/>
  <c r="HO71" i="3"/>
  <c r="HN71" i="3"/>
  <c r="HM71" i="3"/>
  <c r="HA71" i="3"/>
  <c r="GZ71" i="3"/>
  <c r="GY71" i="3"/>
  <c r="GX71" i="3"/>
  <c r="GL71" i="3"/>
  <c r="GK71" i="3"/>
  <c r="GJ71" i="3"/>
  <c r="GI71" i="3"/>
  <c r="GE71" i="3"/>
  <c r="GD71" i="3"/>
  <c r="GC71" i="3"/>
  <c r="GB71" i="3"/>
  <c r="FP71" i="3"/>
  <c r="FO71" i="3"/>
  <c r="FN71" i="3"/>
  <c r="FM71" i="3"/>
  <c r="FI71" i="3"/>
  <c r="FH71" i="3"/>
  <c r="FG71" i="3"/>
  <c r="FF71" i="3"/>
  <c r="ES71" i="3"/>
  <c r="ER71" i="3"/>
  <c r="Q71" i="3"/>
  <c r="P71" i="3"/>
  <c r="OA70" i="3"/>
  <c r="NZ70" i="3"/>
  <c r="NY70" i="3"/>
  <c r="NX70" i="3"/>
  <c r="NL70" i="3"/>
  <c r="NK70" i="3"/>
  <c r="NJ70" i="3"/>
  <c r="NI70" i="3"/>
  <c r="JT70" i="3"/>
  <c r="JS70" i="3"/>
  <c r="JR70" i="3"/>
  <c r="JQ70" i="3"/>
  <c r="JP70" i="3"/>
  <c r="JO70" i="3"/>
  <c r="JN70" i="3"/>
  <c r="JH70" i="3"/>
  <c r="JG70" i="3"/>
  <c r="JF70" i="3"/>
  <c r="JE70" i="3"/>
  <c r="IS70" i="3"/>
  <c r="IR70" i="3"/>
  <c r="IQ70" i="3"/>
  <c r="IP70" i="3"/>
  <c r="IL70" i="3"/>
  <c r="IK70" i="3"/>
  <c r="IJ70" i="3"/>
  <c r="II70" i="3"/>
  <c r="HW70" i="3"/>
  <c r="HV70" i="3"/>
  <c r="HU70" i="3"/>
  <c r="HT70" i="3"/>
  <c r="HP70" i="3"/>
  <c r="HO70" i="3"/>
  <c r="HN70" i="3"/>
  <c r="HM70" i="3"/>
  <c r="HA70" i="3"/>
  <c r="GZ70" i="3"/>
  <c r="GY70" i="3"/>
  <c r="GX70" i="3"/>
  <c r="GL70" i="3"/>
  <c r="GK70" i="3"/>
  <c r="GJ70" i="3"/>
  <c r="GI70" i="3"/>
  <c r="GE70" i="3"/>
  <c r="GD70" i="3"/>
  <c r="GC70" i="3"/>
  <c r="GB70" i="3"/>
  <c r="FP70" i="3"/>
  <c r="FO70" i="3"/>
  <c r="FN70" i="3"/>
  <c r="FM70" i="3"/>
  <c r="FI70" i="3"/>
  <c r="FH70" i="3"/>
  <c r="FG70" i="3"/>
  <c r="FF70" i="3"/>
  <c r="ES70" i="3"/>
  <c r="ER70" i="3"/>
  <c r="Q70" i="3"/>
  <c r="P70" i="3"/>
  <c r="OA69" i="3"/>
  <c r="NZ69" i="3"/>
  <c r="NY69" i="3"/>
  <c r="NX69" i="3"/>
  <c r="NL69" i="3"/>
  <c r="NK69" i="3"/>
  <c r="NJ69" i="3"/>
  <c r="NI69" i="3"/>
  <c r="JT69" i="3"/>
  <c r="JS69" i="3"/>
  <c r="JR69" i="3"/>
  <c r="JQ69" i="3"/>
  <c r="JP69" i="3"/>
  <c r="JO69" i="3"/>
  <c r="JN69" i="3"/>
  <c r="JH69" i="3"/>
  <c r="JG69" i="3"/>
  <c r="JF69" i="3"/>
  <c r="JE69" i="3"/>
  <c r="IS69" i="3"/>
  <c r="IR69" i="3"/>
  <c r="IQ69" i="3"/>
  <c r="IP69" i="3"/>
  <c r="IL69" i="3"/>
  <c r="IK69" i="3"/>
  <c r="IJ69" i="3"/>
  <c r="II69" i="3"/>
  <c r="HW69" i="3"/>
  <c r="HV69" i="3"/>
  <c r="HU69" i="3"/>
  <c r="HT69" i="3"/>
  <c r="HP69" i="3"/>
  <c r="HO69" i="3"/>
  <c r="HN69" i="3"/>
  <c r="HM69" i="3"/>
  <c r="HA69" i="3"/>
  <c r="GZ69" i="3"/>
  <c r="GY69" i="3"/>
  <c r="GX69" i="3"/>
  <c r="GL69" i="3"/>
  <c r="GK69" i="3"/>
  <c r="GJ69" i="3"/>
  <c r="GI69" i="3"/>
  <c r="GE69" i="3"/>
  <c r="GD69" i="3"/>
  <c r="GC69" i="3"/>
  <c r="GB69" i="3"/>
  <c r="FP69" i="3"/>
  <c r="FO69" i="3"/>
  <c r="FN69" i="3"/>
  <c r="FM69" i="3"/>
  <c r="FI69" i="3"/>
  <c r="FH69" i="3"/>
  <c r="FG69" i="3"/>
  <c r="FF69" i="3"/>
  <c r="ES69" i="3"/>
  <c r="ER69" i="3"/>
  <c r="Q69" i="3"/>
  <c r="P69" i="3"/>
  <c r="OA68" i="3"/>
  <c r="NZ68" i="3"/>
  <c r="NY68" i="3"/>
  <c r="NX68" i="3"/>
  <c r="NL68" i="3"/>
  <c r="NK68" i="3"/>
  <c r="NJ68" i="3"/>
  <c r="NI68" i="3"/>
  <c r="JH68" i="3"/>
  <c r="JG68" i="3"/>
  <c r="JF68" i="3"/>
  <c r="JE68" i="3"/>
  <c r="IL68" i="3"/>
  <c r="IK68" i="3"/>
  <c r="IJ68" i="3"/>
  <c r="II68" i="3"/>
  <c r="HW68" i="3"/>
  <c r="HV68" i="3"/>
  <c r="HU68" i="3"/>
  <c r="HT68" i="3"/>
  <c r="HP68" i="3"/>
  <c r="HO68" i="3"/>
  <c r="HN68" i="3"/>
  <c r="HM68" i="3"/>
  <c r="HA68" i="3"/>
  <c r="GZ68" i="3"/>
  <c r="GY68" i="3"/>
  <c r="GX68" i="3"/>
  <c r="GL68" i="3"/>
  <c r="GK68" i="3"/>
  <c r="GJ68" i="3"/>
  <c r="GI68" i="3"/>
  <c r="GE68" i="3"/>
  <c r="GD68" i="3"/>
  <c r="GC68" i="3"/>
  <c r="GB68" i="3"/>
  <c r="FP68" i="3"/>
  <c r="FO68" i="3"/>
  <c r="FN68" i="3"/>
  <c r="FM68" i="3"/>
  <c r="FI68" i="3"/>
  <c r="FH68" i="3"/>
  <c r="FG68" i="3"/>
  <c r="FF68" i="3"/>
  <c r="ES68" i="3"/>
  <c r="ER68" i="3"/>
  <c r="CL68" i="3"/>
  <c r="Q68" i="3"/>
  <c r="P68" i="3"/>
  <c r="OA67" i="3"/>
  <c r="NZ67" i="3"/>
  <c r="NY67" i="3"/>
  <c r="NX67" i="3"/>
  <c r="NL67" i="3"/>
  <c r="NK67" i="3"/>
  <c r="NJ67" i="3"/>
  <c r="NI67" i="3"/>
  <c r="JH67" i="3"/>
  <c r="JG67" i="3"/>
  <c r="JF67" i="3"/>
  <c r="JE67" i="3"/>
  <c r="IL67" i="3"/>
  <c r="IK67" i="3"/>
  <c r="IJ67" i="3"/>
  <c r="II67" i="3"/>
  <c r="HW67" i="3"/>
  <c r="HV67" i="3"/>
  <c r="HU67" i="3"/>
  <c r="HT67" i="3"/>
  <c r="HP67" i="3"/>
  <c r="HO67" i="3"/>
  <c r="HN67" i="3"/>
  <c r="HM67" i="3"/>
  <c r="HA67" i="3"/>
  <c r="GZ67" i="3"/>
  <c r="GY67" i="3"/>
  <c r="GX67" i="3"/>
  <c r="GL67" i="3"/>
  <c r="GK67" i="3"/>
  <c r="GJ67" i="3"/>
  <c r="GI67" i="3"/>
  <c r="GE67" i="3"/>
  <c r="GD67" i="3"/>
  <c r="GC67" i="3"/>
  <c r="GB67" i="3"/>
  <c r="FP67" i="3"/>
  <c r="FO67" i="3"/>
  <c r="FN67" i="3"/>
  <c r="FM67" i="3"/>
  <c r="FI67" i="3"/>
  <c r="FH67" i="3"/>
  <c r="FG67" i="3"/>
  <c r="FF67" i="3"/>
  <c r="ES67" i="3"/>
  <c r="ER67" i="3"/>
  <c r="CL67" i="3"/>
  <c r="Q67" i="3"/>
  <c r="P67" i="3"/>
  <c r="OA66" i="3"/>
  <c r="NZ66" i="3"/>
  <c r="NY66" i="3"/>
  <c r="NX66" i="3"/>
  <c r="NL66" i="3"/>
  <c r="NK66" i="3"/>
  <c r="NJ66" i="3"/>
  <c r="NI66" i="3"/>
  <c r="HW66" i="3"/>
  <c r="HV66" i="3"/>
  <c r="HU66" i="3"/>
  <c r="HT66" i="3"/>
  <c r="HP66" i="3"/>
  <c r="HO66" i="3"/>
  <c r="HN66" i="3"/>
  <c r="HM66" i="3"/>
  <c r="HA66" i="3"/>
  <c r="GZ66" i="3"/>
  <c r="GY66" i="3"/>
  <c r="GX66" i="3"/>
  <c r="GL66" i="3"/>
  <c r="GK66" i="3"/>
  <c r="GJ66" i="3"/>
  <c r="GI66" i="3"/>
  <c r="GE66" i="3"/>
  <c r="GD66" i="3"/>
  <c r="GC66" i="3"/>
  <c r="GB66" i="3"/>
  <c r="FP66" i="3"/>
  <c r="FO66" i="3"/>
  <c r="FN66" i="3"/>
  <c r="FM66" i="3"/>
  <c r="FI66" i="3"/>
  <c r="FH66" i="3"/>
  <c r="FG66" i="3"/>
  <c r="FF66" i="3"/>
  <c r="ES66" i="3"/>
  <c r="ER66" i="3"/>
  <c r="Q66" i="3"/>
  <c r="P66" i="3"/>
  <c r="OA65" i="3"/>
  <c r="NZ65" i="3"/>
  <c r="NY65" i="3"/>
  <c r="NX65" i="3"/>
  <c r="NL65" i="3"/>
  <c r="NK65" i="3"/>
  <c r="NJ65" i="3"/>
  <c r="NI65" i="3"/>
  <c r="HW65" i="3"/>
  <c r="HV65" i="3"/>
  <c r="HU65" i="3"/>
  <c r="HT65" i="3"/>
  <c r="HP65" i="3"/>
  <c r="HO65" i="3"/>
  <c r="HN65" i="3"/>
  <c r="HM65" i="3"/>
  <c r="HA65" i="3"/>
  <c r="GZ65" i="3"/>
  <c r="GY65" i="3"/>
  <c r="GX65" i="3"/>
  <c r="GL65" i="3"/>
  <c r="GK65" i="3"/>
  <c r="GJ65" i="3"/>
  <c r="GI65" i="3"/>
  <c r="GE65" i="3"/>
  <c r="GD65" i="3"/>
  <c r="GC65" i="3"/>
  <c r="GB65" i="3"/>
  <c r="FP65" i="3"/>
  <c r="FO65" i="3"/>
  <c r="FN65" i="3"/>
  <c r="FM65" i="3"/>
  <c r="FI65" i="3"/>
  <c r="FH65" i="3"/>
  <c r="FG65" i="3"/>
  <c r="FF65" i="3"/>
  <c r="ES65" i="3"/>
  <c r="ER65" i="3"/>
  <c r="Q65" i="3"/>
  <c r="P65" i="3"/>
  <c r="OA64" i="3"/>
  <c r="NZ64" i="3"/>
  <c r="NY64" i="3"/>
  <c r="NX64" i="3"/>
  <c r="NL64" i="3"/>
  <c r="NK64" i="3"/>
  <c r="NJ64" i="3"/>
  <c r="NI64" i="3"/>
  <c r="JQ64" i="3"/>
  <c r="JO64" i="3"/>
  <c r="JH64" i="3"/>
  <c r="JF64" i="3"/>
  <c r="IS64" i="3"/>
  <c r="IQ64" i="3"/>
  <c r="IL64" i="3"/>
  <c r="IJ64" i="3"/>
  <c r="HW64" i="3"/>
  <c r="HV64" i="3"/>
  <c r="HU64" i="3"/>
  <c r="HT64" i="3"/>
  <c r="HP64" i="3"/>
  <c r="HO64" i="3"/>
  <c r="HN64" i="3"/>
  <c r="HM64" i="3"/>
  <c r="HA64" i="3"/>
  <c r="GZ64" i="3"/>
  <c r="GY64" i="3"/>
  <c r="GX64" i="3"/>
  <c r="GL64" i="3"/>
  <c r="GK64" i="3"/>
  <c r="GJ64" i="3"/>
  <c r="GI64" i="3"/>
  <c r="GE64" i="3"/>
  <c r="GD64" i="3"/>
  <c r="GC64" i="3"/>
  <c r="GB64" i="3"/>
  <c r="FP64" i="3"/>
  <c r="FO64" i="3"/>
  <c r="FN64" i="3"/>
  <c r="FM64" i="3"/>
  <c r="FI64" i="3"/>
  <c r="FH64" i="3"/>
  <c r="FG64" i="3"/>
  <c r="FF64" i="3"/>
  <c r="ES64" i="3"/>
  <c r="ER64" i="3"/>
  <c r="Q64" i="3"/>
  <c r="P64" i="3"/>
  <c r="OA63" i="3"/>
  <c r="NZ63" i="3"/>
  <c r="NY63" i="3"/>
  <c r="NX63" i="3"/>
  <c r="NL63" i="3"/>
  <c r="NK63" i="3"/>
  <c r="NJ63" i="3"/>
  <c r="NI63" i="3"/>
  <c r="JQ63" i="3"/>
  <c r="JO63" i="3"/>
  <c r="JH63" i="3"/>
  <c r="JF63" i="3"/>
  <c r="IS63" i="3"/>
  <c r="IQ63" i="3"/>
  <c r="IL63" i="3"/>
  <c r="IJ63" i="3"/>
  <c r="HW63" i="3"/>
  <c r="HV63" i="3"/>
  <c r="HU63" i="3"/>
  <c r="HT63" i="3"/>
  <c r="HP63" i="3"/>
  <c r="HO63" i="3"/>
  <c r="HN63" i="3"/>
  <c r="HM63" i="3"/>
  <c r="HA63" i="3"/>
  <c r="GZ63" i="3"/>
  <c r="GY63" i="3"/>
  <c r="GX63" i="3"/>
  <c r="GL63" i="3"/>
  <c r="GK63" i="3"/>
  <c r="GJ63" i="3"/>
  <c r="GI63" i="3"/>
  <c r="GE63" i="3"/>
  <c r="GD63" i="3"/>
  <c r="GC63" i="3"/>
  <c r="GB63" i="3"/>
  <c r="FP63" i="3"/>
  <c r="FO63" i="3"/>
  <c r="FN63" i="3"/>
  <c r="FM63" i="3"/>
  <c r="FI63" i="3"/>
  <c r="FH63" i="3"/>
  <c r="FG63" i="3"/>
  <c r="FF63" i="3"/>
  <c r="ES63" i="3"/>
  <c r="ER63" i="3"/>
  <c r="Q63" i="3"/>
  <c r="P63" i="3"/>
  <c r="OA62" i="3"/>
  <c r="NZ62" i="3"/>
  <c r="NY62" i="3"/>
  <c r="NX62" i="3"/>
  <c r="NL62" i="3"/>
  <c r="NK62" i="3"/>
  <c r="NJ62" i="3"/>
  <c r="NI62" i="3"/>
  <c r="JQ62" i="3"/>
  <c r="JO62" i="3"/>
  <c r="JH62" i="3"/>
  <c r="JF62" i="3"/>
  <c r="IS62" i="3"/>
  <c r="IQ62" i="3"/>
  <c r="IL62" i="3"/>
  <c r="IJ62" i="3"/>
  <c r="HW62" i="3"/>
  <c r="HV62" i="3"/>
  <c r="HU62" i="3"/>
  <c r="HT62" i="3"/>
  <c r="HP62" i="3"/>
  <c r="HO62" i="3"/>
  <c r="HN62" i="3"/>
  <c r="HM62" i="3"/>
  <c r="HA62" i="3"/>
  <c r="GZ62" i="3"/>
  <c r="GY62" i="3"/>
  <c r="GX62" i="3"/>
  <c r="GL62" i="3"/>
  <c r="GK62" i="3"/>
  <c r="GJ62" i="3"/>
  <c r="GI62" i="3"/>
  <c r="GE62" i="3"/>
  <c r="GD62" i="3"/>
  <c r="GC62" i="3"/>
  <c r="GB62" i="3"/>
  <c r="FP62" i="3"/>
  <c r="FO62" i="3"/>
  <c r="FN62" i="3"/>
  <c r="FM62" i="3"/>
  <c r="FI62" i="3"/>
  <c r="FH62" i="3"/>
  <c r="FG62" i="3"/>
  <c r="FF62" i="3"/>
  <c r="ES62" i="3"/>
  <c r="ER62" i="3"/>
  <c r="Q62" i="3"/>
  <c r="P62" i="3"/>
  <c r="OA61" i="3"/>
  <c r="NZ61" i="3"/>
  <c r="NY61" i="3"/>
  <c r="NX61" i="3"/>
  <c r="NL61" i="3"/>
  <c r="NK61" i="3"/>
  <c r="NJ61" i="3"/>
  <c r="NI61" i="3"/>
  <c r="JQ61" i="3"/>
  <c r="JO61" i="3"/>
  <c r="JH61" i="3"/>
  <c r="JF61" i="3"/>
  <c r="IS61" i="3"/>
  <c r="IQ61" i="3"/>
  <c r="IL61" i="3"/>
  <c r="IJ61" i="3"/>
  <c r="HW61" i="3"/>
  <c r="HV61" i="3"/>
  <c r="HU61" i="3"/>
  <c r="HT61" i="3"/>
  <c r="HP61" i="3"/>
  <c r="HO61" i="3"/>
  <c r="HN61" i="3"/>
  <c r="HM61" i="3"/>
  <c r="HA61" i="3"/>
  <c r="GZ61" i="3"/>
  <c r="GY61" i="3"/>
  <c r="GX61" i="3"/>
  <c r="GL61" i="3"/>
  <c r="GK61" i="3"/>
  <c r="GJ61" i="3"/>
  <c r="GI61" i="3"/>
  <c r="GE61" i="3"/>
  <c r="GD61" i="3"/>
  <c r="GC61" i="3"/>
  <c r="GB61" i="3"/>
  <c r="FP61" i="3"/>
  <c r="FO61" i="3"/>
  <c r="FN61" i="3"/>
  <c r="FM61" i="3"/>
  <c r="FI61" i="3"/>
  <c r="FH61" i="3"/>
  <c r="FG61" i="3"/>
  <c r="FF61" i="3"/>
  <c r="ES61" i="3"/>
  <c r="ER61" i="3"/>
  <c r="Q61" i="3"/>
  <c r="P61" i="3"/>
  <c r="OA60" i="3"/>
  <c r="NZ60" i="3"/>
  <c r="NY60" i="3"/>
  <c r="NX60" i="3"/>
  <c r="NL60" i="3"/>
  <c r="NK60" i="3"/>
  <c r="NJ60" i="3"/>
  <c r="NI60" i="3"/>
  <c r="JQ60" i="3"/>
  <c r="JO60" i="3"/>
  <c r="JH60" i="3"/>
  <c r="JF60" i="3"/>
  <c r="IS60" i="3"/>
  <c r="IQ60" i="3"/>
  <c r="IL60" i="3"/>
  <c r="IJ60" i="3"/>
  <c r="HW60" i="3"/>
  <c r="HV60" i="3"/>
  <c r="HU60" i="3"/>
  <c r="HT60" i="3"/>
  <c r="HP60" i="3"/>
  <c r="HO60" i="3"/>
  <c r="HN60" i="3"/>
  <c r="HM60" i="3"/>
  <c r="HA60" i="3"/>
  <c r="GZ60" i="3"/>
  <c r="GY60" i="3"/>
  <c r="GX60" i="3"/>
  <c r="GL60" i="3"/>
  <c r="GK60" i="3"/>
  <c r="GJ60" i="3"/>
  <c r="GI60" i="3"/>
  <c r="GE60" i="3"/>
  <c r="GD60" i="3"/>
  <c r="GC60" i="3"/>
  <c r="GB60" i="3"/>
  <c r="FP60" i="3"/>
  <c r="FO60" i="3"/>
  <c r="FN60" i="3"/>
  <c r="FM60" i="3"/>
  <c r="FI60" i="3"/>
  <c r="FH60" i="3"/>
  <c r="FG60" i="3"/>
  <c r="FF60" i="3"/>
  <c r="ES60" i="3"/>
  <c r="ER60" i="3"/>
  <c r="Q60" i="3"/>
  <c r="P60" i="3"/>
  <c r="OA59" i="3"/>
  <c r="NZ59" i="3"/>
  <c r="NY59" i="3"/>
  <c r="NX59" i="3"/>
  <c r="NL59" i="3"/>
  <c r="NK59" i="3"/>
  <c r="NJ59" i="3"/>
  <c r="NI59" i="3"/>
  <c r="JQ59" i="3"/>
  <c r="JO59" i="3"/>
  <c r="JH59" i="3"/>
  <c r="JF59" i="3"/>
  <c r="IS59" i="3"/>
  <c r="IQ59" i="3"/>
  <c r="IL59" i="3"/>
  <c r="IJ59" i="3"/>
  <c r="HW59" i="3"/>
  <c r="HV59" i="3"/>
  <c r="HU59" i="3"/>
  <c r="HT59" i="3"/>
  <c r="HP59" i="3"/>
  <c r="HO59" i="3"/>
  <c r="HN59" i="3"/>
  <c r="HM59" i="3"/>
  <c r="HA59" i="3"/>
  <c r="GZ59" i="3"/>
  <c r="GY59" i="3"/>
  <c r="GX59" i="3"/>
  <c r="GL59" i="3"/>
  <c r="GK59" i="3"/>
  <c r="GJ59" i="3"/>
  <c r="GI59" i="3"/>
  <c r="GE59" i="3"/>
  <c r="GD59" i="3"/>
  <c r="GC59" i="3"/>
  <c r="GB59" i="3"/>
  <c r="FP59" i="3"/>
  <c r="FO59" i="3"/>
  <c r="FN59" i="3"/>
  <c r="FM59" i="3"/>
  <c r="FI59" i="3"/>
  <c r="FH59" i="3"/>
  <c r="FG59" i="3"/>
  <c r="FF59" i="3"/>
  <c r="ES59" i="3"/>
  <c r="ER59" i="3"/>
  <c r="Q59" i="3"/>
  <c r="P59" i="3"/>
  <c r="OA58" i="3"/>
  <c r="NZ58" i="3"/>
  <c r="NY58" i="3"/>
  <c r="NX58" i="3"/>
  <c r="NL58" i="3"/>
  <c r="NK58" i="3"/>
  <c r="NJ58" i="3"/>
  <c r="NI58" i="3"/>
  <c r="JQ58" i="3"/>
  <c r="JO58" i="3"/>
  <c r="JH58" i="3"/>
  <c r="JF58" i="3"/>
  <c r="IS58" i="3"/>
  <c r="IQ58" i="3"/>
  <c r="IL58" i="3"/>
  <c r="IJ58" i="3"/>
  <c r="HW58" i="3"/>
  <c r="HV58" i="3"/>
  <c r="HU58" i="3"/>
  <c r="HT58" i="3"/>
  <c r="HP58" i="3"/>
  <c r="HO58" i="3"/>
  <c r="HN58" i="3"/>
  <c r="HM58" i="3"/>
  <c r="HA58" i="3"/>
  <c r="GZ58" i="3"/>
  <c r="GY58" i="3"/>
  <c r="GX58" i="3"/>
  <c r="GL58" i="3"/>
  <c r="GK58" i="3"/>
  <c r="GJ58" i="3"/>
  <c r="GI58" i="3"/>
  <c r="GE58" i="3"/>
  <c r="GD58" i="3"/>
  <c r="GC58" i="3"/>
  <c r="GB58" i="3"/>
  <c r="FP58" i="3"/>
  <c r="FO58" i="3"/>
  <c r="FN58" i="3"/>
  <c r="FM58" i="3"/>
  <c r="FI58" i="3"/>
  <c r="FH58" i="3"/>
  <c r="FG58" i="3"/>
  <c r="FF58" i="3"/>
  <c r="ES58" i="3"/>
  <c r="ER58" i="3"/>
  <c r="Q58" i="3"/>
  <c r="P58" i="3"/>
  <c r="OA57" i="3"/>
  <c r="NZ57" i="3"/>
  <c r="NY57" i="3"/>
  <c r="NX57" i="3"/>
  <c r="NL57" i="3"/>
  <c r="NK57" i="3"/>
  <c r="NJ57" i="3"/>
  <c r="NI57" i="3"/>
  <c r="JQ57" i="3"/>
  <c r="JO57" i="3"/>
  <c r="JH57" i="3"/>
  <c r="JF57" i="3"/>
  <c r="IS57" i="3"/>
  <c r="IQ57" i="3"/>
  <c r="IL57" i="3"/>
  <c r="IJ57" i="3"/>
  <c r="HW57" i="3"/>
  <c r="HV57" i="3"/>
  <c r="HU57" i="3"/>
  <c r="HT57" i="3"/>
  <c r="HP57" i="3"/>
  <c r="HO57" i="3"/>
  <c r="HN57" i="3"/>
  <c r="HM57" i="3"/>
  <c r="HA57" i="3"/>
  <c r="GZ57" i="3"/>
  <c r="GY57" i="3"/>
  <c r="GX57" i="3"/>
  <c r="GL57" i="3"/>
  <c r="GK57" i="3"/>
  <c r="GJ57" i="3"/>
  <c r="GI57" i="3"/>
  <c r="GE57" i="3"/>
  <c r="GD57" i="3"/>
  <c r="GC57" i="3"/>
  <c r="GB57" i="3"/>
  <c r="FP57" i="3"/>
  <c r="FO57" i="3"/>
  <c r="FN57" i="3"/>
  <c r="FM57" i="3"/>
  <c r="FI57" i="3"/>
  <c r="FH57" i="3"/>
  <c r="FG57" i="3"/>
  <c r="FF57" i="3"/>
  <c r="ES57" i="3"/>
  <c r="ER57" i="3"/>
  <c r="Q57" i="3"/>
  <c r="P57" i="3"/>
  <c r="OA56" i="3"/>
  <c r="NZ56" i="3"/>
  <c r="NY56" i="3"/>
  <c r="NX56" i="3"/>
  <c r="NL56" i="3"/>
  <c r="NK56" i="3"/>
  <c r="NJ56" i="3"/>
  <c r="NI56" i="3"/>
  <c r="JQ56" i="3"/>
  <c r="JO56" i="3"/>
  <c r="JH56" i="3"/>
  <c r="JF56" i="3"/>
  <c r="IS56" i="3"/>
  <c r="IQ56" i="3"/>
  <c r="IL56" i="3"/>
  <c r="IJ56" i="3"/>
  <c r="HW56" i="3"/>
  <c r="HV56" i="3"/>
  <c r="HU56" i="3"/>
  <c r="HT56" i="3"/>
  <c r="HP56" i="3"/>
  <c r="HO56" i="3"/>
  <c r="HN56" i="3"/>
  <c r="HM56" i="3"/>
  <c r="HA56" i="3"/>
  <c r="GZ56" i="3"/>
  <c r="GY56" i="3"/>
  <c r="GX56" i="3"/>
  <c r="GL56" i="3"/>
  <c r="GK56" i="3"/>
  <c r="GJ56" i="3"/>
  <c r="GI56" i="3"/>
  <c r="GE56" i="3"/>
  <c r="GD56" i="3"/>
  <c r="GC56" i="3"/>
  <c r="GB56" i="3"/>
  <c r="FP56" i="3"/>
  <c r="FO56" i="3"/>
  <c r="FN56" i="3"/>
  <c r="FM56" i="3"/>
  <c r="FI56" i="3"/>
  <c r="FH56" i="3"/>
  <c r="FG56" i="3"/>
  <c r="FF56" i="3"/>
  <c r="ES56" i="3"/>
  <c r="ER56" i="3"/>
  <c r="Q56" i="3"/>
  <c r="P56" i="3"/>
  <c r="H56" i="3"/>
  <c r="G56" i="3"/>
  <c r="OA55" i="3"/>
  <c r="NZ55" i="3"/>
  <c r="NY55" i="3"/>
  <c r="NX55" i="3"/>
  <c r="NL55" i="3"/>
  <c r="NK55" i="3"/>
  <c r="NJ55" i="3"/>
  <c r="NI55" i="3"/>
  <c r="JQ55" i="3"/>
  <c r="JO55" i="3"/>
  <c r="JH55" i="3"/>
  <c r="JF55" i="3"/>
  <c r="IS55" i="3"/>
  <c r="IQ55" i="3"/>
  <c r="IL55" i="3"/>
  <c r="IJ55" i="3"/>
  <c r="HW55" i="3"/>
  <c r="HV55" i="3"/>
  <c r="HU55" i="3"/>
  <c r="HT55" i="3"/>
  <c r="HP55" i="3"/>
  <c r="HO55" i="3"/>
  <c r="HN55" i="3"/>
  <c r="HM55" i="3"/>
  <c r="HA55" i="3"/>
  <c r="GZ55" i="3"/>
  <c r="GY55" i="3"/>
  <c r="GX55" i="3"/>
  <c r="GL55" i="3"/>
  <c r="GK55" i="3"/>
  <c r="GJ55" i="3"/>
  <c r="GI55" i="3"/>
  <c r="GE55" i="3"/>
  <c r="GD55" i="3"/>
  <c r="GC55" i="3"/>
  <c r="GB55" i="3"/>
  <c r="FP55" i="3"/>
  <c r="FO55" i="3"/>
  <c r="FN55" i="3"/>
  <c r="FM55" i="3"/>
  <c r="FI55" i="3"/>
  <c r="FH55" i="3"/>
  <c r="FG55" i="3"/>
  <c r="FF55" i="3"/>
  <c r="ES55" i="3"/>
  <c r="ER55" i="3"/>
  <c r="Q55" i="3"/>
  <c r="P55" i="3"/>
  <c r="I55" i="3"/>
  <c r="DM48" i="3" s="1"/>
  <c r="DP48" i="3" s="1"/>
  <c r="OA54" i="3"/>
  <c r="NZ54" i="3"/>
  <c r="NY54" i="3"/>
  <c r="NX54" i="3"/>
  <c r="NL54" i="3"/>
  <c r="NK54" i="3"/>
  <c r="NJ54" i="3"/>
  <c r="NI54" i="3"/>
  <c r="JQ54" i="3"/>
  <c r="JO54" i="3"/>
  <c r="JH54" i="3"/>
  <c r="JF54" i="3"/>
  <c r="IS54" i="3"/>
  <c r="IQ54" i="3"/>
  <c r="IL54" i="3"/>
  <c r="IJ54" i="3"/>
  <c r="HW54" i="3"/>
  <c r="HV54" i="3"/>
  <c r="HU54" i="3"/>
  <c r="HT54" i="3"/>
  <c r="HP54" i="3"/>
  <c r="HO54" i="3"/>
  <c r="HN54" i="3"/>
  <c r="HM54" i="3"/>
  <c r="HA54" i="3"/>
  <c r="GZ54" i="3"/>
  <c r="GY54" i="3"/>
  <c r="GX54" i="3"/>
  <c r="GL54" i="3"/>
  <c r="GK54" i="3"/>
  <c r="GJ54" i="3"/>
  <c r="GI54" i="3"/>
  <c r="GE54" i="3"/>
  <c r="GD54" i="3"/>
  <c r="GC54" i="3"/>
  <c r="GB54" i="3"/>
  <c r="FP54" i="3"/>
  <c r="FO54" i="3"/>
  <c r="FN54" i="3"/>
  <c r="FM54" i="3"/>
  <c r="FI54" i="3"/>
  <c r="FH54" i="3"/>
  <c r="FG54" i="3"/>
  <c r="FF54" i="3"/>
  <c r="ES54" i="3"/>
  <c r="ER54" i="3"/>
  <c r="Q54" i="3"/>
  <c r="P54" i="3"/>
  <c r="H54" i="3"/>
  <c r="OA53" i="3"/>
  <c r="NZ53" i="3"/>
  <c r="NY53" i="3"/>
  <c r="NX53" i="3"/>
  <c r="NL53" i="3"/>
  <c r="NK53" i="3"/>
  <c r="NJ53" i="3"/>
  <c r="NI53" i="3"/>
  <c r="JQ53" i="3"/>
  <c r="JO53" i="3"/>
  <c r="JH53" i="3"/>
  <c r="JF53" i="3"/>
  <c r="IS53" i="3"/>
  <c r="IQ53" i="3"/>
  <c r="IL53" i="3"/>
  <c r="IJ53" i="3"/>
  <c r="HW53" i="3"/>
  <c r="HV53" i="3"/>
  <c r="HU53" i="3"/>
  <c r="HT53" i="3"/>
  <c r="HP53" i="3"/>
  <c r="HO53" i="3"/>
  <c r="HN53" i="3"/>
  <c r="HM53" i="3"/>
  <c r="HA53" i="3"/>
  <c r="GZ53" i="3"/>
  <c r="GY53" i="3"/>
  <c r="GX53" i="3"/>
  <c r="GL53" i="3"/>
  <c r="GK53" i="3"/>
  <c r="GJ53" i="3"/>
  <c r="GI53" i="3"/>
  <c r="GE53" i="3"/>
  <c r="GD53" i="3"/>
  <c r="GC53" i="3"/>
  <c r="GB53" i="3"/>
  <c r="FP53" i="3"/>
  <c r="FO53" i="3"/>
  <c r="FN53" i="3"/>
  <c r="FM53" i="3"/>
  <c r="FI53" i="3"/>
  <c r="FH53" i="3"/>
  <c r="FG53" i="3"/>
  <c r="FF53" i="3"/>
  <c r="ES53" i="3"/>
  <c r="ER53" i="3"/>
  <c r="Q53" i="3"/>
  <c r="P53" i="3"/>
  <c r="OA52" i="3"/>
  <c r="NZ52" i="3"/>
  <c r="NY52" i="3"/>
  <c r="NX52" i="3"/>
  <c r="NL52" i="3"/>
  <c r="NK52" i="3"/>
  <c r="NJ52" i="3"/>
  <c r="NI52" i="3"/>
  <c r="JQ52" i="3"/>
  <c r="JO52" i="3"/>
  <c r="JH52" i="3"/>
  <c r="JF52" i="3"/>
  <c r="IS52" i="3"/>
  <c r="IQ52" i="3"/>
  <c r="IL52" i="3"/>
  <c r="IJ52" i="3"/>
  <c r="HW52" i="3"/>
  <c r="HV52" i="3"/>
  <c r="HU52" i="3"/>
  <c r="HT52" i="3"/>
  <c r="HP52" i="3"/>
  <c r="HO52" i="3"/>
  <c r="HN52" i="3"/>
  <c r="HM52" i="3"/>
  <c r="HA52" i="3"/>
  <c r="GZ52" i="3"/>
  <c r="GY52" i="3"/>
  <c r="GX52" i="3"/>
  <c r="GL52" i="3"/>
  <c r="GK52" i="3"/>
  <c r="GJ52" i="3"/>
  <c r="GI52" i="3"/>
  <c r="GE52" i="3"/>
  <c r="GD52" i="3"/>
  <c r="GC52" i="3"/>
  <c r="GB52" i="3"/>
  <c r="FP52" i="3"/>
  <c r="FO52" i="3"/>
  <c r="FN52" i="3"/>
  <c r="FM52" i="3"/>
  <c r="FI52" i="3"/>
  <c r="FH52" i="3"/>
  <c r="FG52" i="3"/>
  <c r="FF52" i="3"/>
  <c r="ES52" i="3"/>
  <c r="ER52" i="3"/>
  <c r="Q52" i="3"/>
  <c r="P52" i="3"/>
  <c r="OA51" i="3"/>
  <c r="NZ51" i="3"/>
  <c r="NY51" i="3"/>
  <c r="NX51" i="3"/>
  <c r="NL51" i="3"/>
  <c r="NK51" i="3"/>
  <c r="NJ51" i="3"/>
  <c r="NI51" i="3"/>
  <c r="JQ51" i="3"/>
  <c r="JO51" i="3"/>
  <c r="JH51" i="3"/>
  <c r="JF51" i="3"/>
  <c r="IS51" i="3"/>
  <c r="IQ51" i="3"/>
  <c r="IL51" i="3"/>
  <c r="IJ51" i="3"/>
  <c r="HW51" i="3"/>
  <c r="HV51" i="3"/>
  <c r="HU51" i="3"/>
  <c r="HT51" i="3"/>
  <c r="HP51" i="3"/>
  <c r="HO51" i="3"/>
  <c r="HN51" i="3"/>
  <c r="HM51" i="3"/>
  <c r="HA51" i="3"/>
  <c r="GZ51" i="3"/>
  <c r="GY51" i="3"/>
  <c r="GX51" i="3"/>
  <c r="GL51" i="3"/>
  <c r="GK51" i="3"/>
  <c r="GJ51" i="3"/>
  <c r="GI51" i="3"/>
  <c r="GE51" i="3"/>
  <c r="GD51" i="3"/>
  <c r="GC51" i="3"/>
  <c r="GB51" i="3"/>
  <c r="FP51" i="3"/>
  <c r="FO51" i="3"/>
  <c r="FN51" i="3"/>
  <c r="FM51" i="3"/>
  <c r="FI51" i="3"/>
  <c r="FH51" i="3"/>
  <c r="FG51" i="3"/>
  <c r="FF51" i="3"/>
  <c r="ES51" i="3"/>
  <c r="ER51" i="3"/>
  <c r="Q51" i="3"/>
  <c r="P51" i="3"/>
  <c r="OA50" i="3"/>
  <c r="NZ50" i="3"/>
  <c r="NY50" i="3"/>
  <c r="NX50" i="3"/>
  <c r="NL50" i="3"/>
  <c r="NK50" i="3"/>
  <c r="NJ50" i="3"/>
  <c r="NI50" i="3"/>
  <c r="JQ50" i="3"/>
  <c r="JO50" i="3"/>
  <c r="JH50" i="3"/>
  <c r="JF50" i="3"/>
  <c r="IS50" i="3"/>
  <c r="IQ50" i="3"/>
  <c r="IL50" i="3"/>
  <c r="IJ50" i="3"/>
  <c r="HW50" i="3"/>
  <c r="HV50" i="3"/>
  <c r="HU50" i="3"/>
  <c r="HT50" i="3"/>
  <c r="HP50" i="3"/>
  <c r="HO50" i="3"/>
  <c r="HN50" i="3"/>
  <c r="HM50" i="3"/>
  <c r="HA50" i="3"/>
  <c r="GZ50" i="3"/>
  <c r="GY50" i="3"/>
  <c r="GX50" i="3"/>
  <c r="GL50" i="3"/>
  <c r="GK50" i="3"/>
  <c r="GJ50" i="3"/>
  <c r="GI50" i="3"/>
  <c r="GE50" i="3"/>
  <c r="GD50" i="3"/>
  <c r="GC50" i="3"/>
  <c r="GB50" i="3"/>
  <c r="FP50" i="3"/>
  <c r="FO50" i="3"/>
  <c r="FN50" i="3"/>
  <c r="FM50" i="3"/>
  <c r="FI50" i="3"/>
  <c r="FH50" i="3"/>
  <c r="FG50" i="3"/>
  <c r="FF50" i="3"/>
  <c r="ES50" i="3"/>
  <c r="ER50" i="3"/>
  <c r="Q50" i="3"/>
  <c r="P50" i="3"/>
  <c r="H50" i="3"/>
  <c r="OA49" i="3"/>
  <c r="NZ49" i="3"/>
  <c r="NY49" i="3"/>
  <c r="NX49" i="3"/>
  <c r="NL49" i="3"/>
  <c r="NK49" i="3"/>
  <c r="NJ49" i="3"/>
  <c r="NI49" i="3"/>
  <c r="HW49" i="3"/>
  <c r="HV49" i="3"/>
  <c r="HU49" i="3"/>
  <c r="HT49" i="3"/>
  <c r="HP49" i="3"/>
  <c r="HO49" i="3"/>
  <c r="HN49" i="3"/>
  <c r="HM49" i="3"/>
  <c r="HA49" i="3"/>
  <c r="GZ49" i="3"/>
  <c r="GY49" i="3"/>
  <c r="GX49" i="3"/>
  <c r="GL49" i="3"/>
  <c r="GK49" i="3"/>
  <c r="GJ49" i="3"/>
  <c r="GI49" i="3"/>
  <c r="GE49" i="3"/>
  <c r="GD49" i="3"/>
  <c r="GC49" i="3"/>
  <c r="GB49" i="3"/>
  <c r="FP49" i="3"/>
  <c r="FO49" i="3"/>
  <c r="FN49" i="3"/>
  <c r="FM49" i="3"/>
  <c r="FI49" i="3"/>
  <c r="FH49" i="3"/>
  <c r="FG49" i="3"/>
  <c r="FF49" i="3"/>
  <c r="ES49" i="3"/>
  <c r="ER49" i="3"/>
  <c r="Q49" i="3"/>
  <c r="P49" i="3"/>
  <c r="G49" i="3"/>
  <c r="OA48" i="3"/>
  <c r="NZ48" i="3"/>
  <c r="NY48" i="3"/>
  <c r="NX48" i="3"/>
  <c r="NL48" i="3"/>
  <c r="NK48" i="3"/>
  <c r="NJ48" i="3"/>
  <c r="NI48" i="3"/>
  <c r="HP48" i="3"/>
  <c r="HO48" i="3"/>
  <c r="HN48" i="3"/>
  <c r="HM48" i="3"/>
  <c r="HA48" i="3"/>
  <c r="GZ48" i="3"/>
  <c r="GY48" i="3"/>
  <c r="GX48" i="3"/>
  <c r="GE48" i="3"/>
  <c r="GD48" i="3"/>
  <c r="GC48" i="3"/>
  <c r="GB48" i="3"/>
  <c r="FI48" i="3"/>
  <c r="FH48" i="3"/>
  <c r="FG48" i="3"/>
  <c r="FF48" i="3"/>
  <c r="ES48" i="3"/>
  <c r="ER48" i="3"/>
  <c r="Q48" i="3"/>
  <c r="P48" i="3"/>
  <c r="I48" i="3"/>
  <c r="CI49" i="3" s="1"/>
  <c r="OA47" i="3"/>
  <c r="NZ47" i="3"/>
  <c r="NY47" i="3"/>
  <c r="NX47" i="3"/>
  <c r="NL47" i="3"/>
  <c r="NK47" i="3"/>
  <c r="NJ47" i="3"/>
  <c r="NI47" i="3"/>
  <c r="HP47" i="3"/>
  <c r="HO47" i="3"/>
  <c r="HN47" i="3"/>
  <c r="HM47" i="3"/>
  <c r="HA47" i="3"/>
  <c r="GZ47" i="3"/>
  <c r="GY47" i="3"/>
  <c r="GX47" i="3"/>
  <c r="GE47" i="3"/>
  <c r="GD47" i="3"/>
  <c r="GC47" i="3"/>
  <c r="GB47" i="3"/>
  <c r="FI47" i="3"/>
  <c r="FH47" i="3"/>
  <c r="FG47" i="3"/>
  <c r="FF47" i="3"/>
  <c r="ES47" i="3"/>
  <c r="ER47" i="3"/>
  <c r="BF47" i="3"/>
  <c r="AI47" i="3"/>
  <c r="Q47" i="3"/>
  <c r="P47" i="3"/>
  <c r="H47" i="3"/>
  <c r="CI46" i="3"/>
  <c r="Q46" i="3"/>
  <c r="P46" i="3"/>
  <c r="Q45" i="3"/>
  <c r="P45" i="3"/>
  <c r="OA44" i="3"/>
  <c r="NY44" i="3"/>
  <c r="NL44" i="3"/>
  <c r="NJ44" i="3"/>
  <c r="JQ44" i="3"/>
  <c r="JO44" i="3"/>
  <c r="JH44" i="3"/>
  <c r="JF44" i="3"/>
  <c r="IS44" i="3"/>
  <c r="IQ44" i="3"/>
  <c r="IL44" i="3"/>
  <c r="IJ44" i="3"/>
  <c r="HW44" i="3"/>
  <c r="HU44" i="3"/>
  <c r="HP44" i="3"/>
  <c r="HN44" i="3"/>
  <c r="HA44" i="3"/>
  <c r="GY44" i="3"/>
  <c r="GL44" i="3"/>
  <c r="GJ44" i="3"/>
  <c r="GE44" i="3"/>
  <c r="GC44" i="3"/>
  <c r="FP44" i="3"/>
  <c r="FN44" i="3"/>
  <c r="FI44" i="3"/>
  <c r="FG44" i="3"/>
  <c r="ET44" i="3"/>
  <c r="ER44" i="3"/>
  <c r="EE44" i="3"/>
  <c r="EC44" i="3"/>
  <c r="DX44" i="3"/>
  <c r="DV44" i="3"/>
  <c r="DI44" i="3"/>
  <c r="DG44" i="3"/>
  <c r="CT44" i="3"/>
  <c r="CR44" i="3"/>
  <c r="CE44" i="3"/>
  <c r="CC44" i="3"/>
  <c r="BP44" i="3"/>
  <c r="BN44" i="3"/>
  <c r="BI44" i="3"/>
  <c r="BG44" i="3"/>
  <c r="AS44" i="3"/>
  <c r="AQ44" i="3"/>
  <c r="AL44" i="3"/>
  <c r="AJ44" i="3"/>
  <c r="Q44" i="3"/>
  <c r="P44" i="3"/>
  <c r="OA43" i="3"/>
  <c r="NY43" i="3"/>
  <c r="NL43" i="3"/>
  <c r="NJ43" i="3"/>
  <c r="JQ43" i="3"/>
  <c r="JO43" i="3"/>
  <c r="JH43" i="3"/>
  <c r="JF43" i="3"/>
  <c r="IS43" i="3"/>
  <c r="IQ43" i="3"/>
  <c r="IL43" i="3"/>
  <c r="IJ43" i="3"/>
  <c r="HW43" i="3"/>
  <c r="HU43" i="3"/>
  <c r="HP43" i="3"/>
  <c r="HN43" i="3"/>
  <c r="HA43" i="3"/>
  <c r="GY43" i="3"/>
  <c r="GL43" i="3"/>
  <c r="GJ43" i="3"/>
  <c r="GE43" i="3"/>
  <c r="GC43" i="3"/>
  <c r="FP43" i="3"/>
  <c r="FN43" i="3"/>
  <c r="FI43" i="3"/>
  <c r="FG43" i="3"/>
  <c r="ET43" i="3"/>
  <c r="ER43" i="3"/>
  <c r="EE43" i="3"/>
  <c r="EC43" i="3"/>
  <c r="DX43" i="3"/>
  <c r="DV43" i="3"/>
  <c r="DI43" i="3"/>
  <c r="DG43" i="3"/>
  <c r="CT43" i="3"/>
  <c r="CR43" i="3"/>
  <c r="CE43" i="3"/>
  <c r="CC43" i="3"/>
  <c r="BP43" i="3"/>
  <c r="BN43" i="3"/>
  <c r="BI43" i="3"/>
  <c r="BG43" i="3"/>
  <c r="AS43" i="3"/>
  <c r="AQ43" i="3"/>
  <c r="AL43" i="3"/>
  <c r="AJ43" i="3"/>
  <c r="Q43" i="3"/>
  <c r="P43" i="3"/>
  <c r="H43" i="3"/>
  <c r="OA42" i="3"/>
  <c r="NY42" i="3"/>
  <c r="NL42" i="3"/>
  <c r="NJ42" i="3"/>
  <c r="JQ42" i="3"/>
  <c r="JO42" i="3"/>
  <c r="JH42" i="3"/>
  <c r="JF42" i="3"/>
  <c r="IS42" i="3"/>
  <c r="IQ42" i="3"/>
  <c r="IL42" i="3"/>
  <c r="IJ42" i="3"/>
  <c r="HW42" i="3"/>
  <c r="HU42" i="3"/>
  <c r="HP42" i="3"/>
  <c r="HN42" i="3"/>
  <c r="HA42" i="3"/>
  <c r="GY42" i="3"/>
  <c r="GL42" i="3"/>
  <c r="GJ42" i="3"/>
  <c r="GE42" i="3"/>
  <c r="GC42" i="3"/>
  <c r="FP42" i="3"/>
  <c r="FN42" i="3"/>
  <c r="FI42" i="3"/>
  <c r="FG42" i="3"/>
  <c r="ET42" i="3"/>
  <c r="ER42" i="3"/>
  <c r="EE42" i="3"/>
  <c r="EC42" i="3"/>
  <c r="DX42" i="3"/>
  <c r="DV42" i="3"/>
  <c r="DI42" i="3"/>
  <c r="DG42" i="3"/>
  <c r="CT42" i="3"/>
  <c r="CR42" i="3"/>
  <c r="CE42" i="3"/>
  <c r="CC42" i="3"/>
  <c r="BP42" i="3"/>
  <c r="BN42" i="3"/>
  <c r="BI42" i="3"/>
  <c r="BG42" i="3"/>
  <c r="AS42" i="3"/>
  <c r="AQ42" i="3"/>
  <c r="AL42" i="3"/>
  <c r="AJ42" i="3"/>
  <c r="Q42" i="3"/>
  <c r="P42" i="3"/>
  <c r="OA41" i="3"/>
  <c r="NY41" i="3"/>
  <c r="NL41" i="3"/>
  <c r="NJ41" i="3"/>
  <c r="JQ41" i="3"/>
  <c r="JO41" i="3"/>
  <c r="JH41" i="3"/>
  <c r="JF41" i="3"/>
  <c r="IS41" i="3"/>
  <c r="IQ41" i="3"/>
  <c r="IL41" i="3"/>
  <c r="IJ41" i="3"/>
  <c r="HW41" i="3"/>
  <c r="HU41" i="3"/>
  <c r="HP41" i="3"/>
  <c r="HN41" i="3"/>
  <c r="HA41" i="3"/>
  <c r="GY41" i="3"/>
  <c r="GL41" i="3"/>
  <c r="GJ41" i="3"/>
  <c r="GE41" i="3"/>
  <c r="GC41" i="3"/>
  <c r="FP41" i="3"/>
  <c r="FN41" i="3"/>
  <c r="FI41" i="3"/>
  <c r="FG41" i="3"/>
  <c r="ET41" i="3"/>
  <c r="ER41" i="3"/>
  <c r="EE41" i="3"/>
  <c r="EC41" i="3"/>
  <c r="DX41" i="3"/>
  <c r="DV41" i="3"/>
  <c r="DI41" i="3"/>
  <c r="DG41" i="3"/>
  <c r="CT41" i="3"/>
  <c r="CR41" i="3"/>
  <c r="CE41" i="3"/>
  <c r="CC41" i="3"/>
  <c r="BP41" i="3"/>
  <c r="BN41" i="3"/>
  <c r="BI41" i="3"/>
  <c r="BG41" i="3"/>
  <c r="AS41" i="3"/>
  <c r="AQ41" i="3"/>
  <c r="AL41" i="3"/>
  <c r="AJ41" i="3"/>
  <c r="Q41" i="3"/>
  <c r="P41" i="3"/>
  <c r="OA40" i="3"/>
  <c r="NY40" i="3"/>
  <c r="NL40" i="3"/>
  <c r="NJ40" i="3"/>
  <c r="JQ40" i="3"/>
  <c r="JO40" i="3"/>
  <c r="JH40" i="3"/>
  <c r="JF40" i="3"/>
  <c r="IS40" i="3"/>
  <c r="IQ40" i="3"/>
  <c r="IL40" i="3"/>
  <c r="IJ40" i="3"/>
  <c r="HW40" i="3"/>
  <c r="HU40" i="3"/>
  <c r="HP40" i="3"/>
  <c r="HN40" i="3"/>
  <c r="HA40" i="3"/>
  <c r="GY40" i="3"/>
  <c r="GL40" i="3"/>
  <c r="GJ40" i="3"/>
  <c r="GE40" i="3"/>
  <c r="GC40" i="3"/>
  <c r="FP40" i="3"/>
  <c r="FN40" i="3"/>
  <c r="FI40" i="3"/>
  <c r="FG40" i="3"/>
  <c r="ET40" i="3"/>
  <c r="ER40" i="3"/>
  <c r="EE40" i="3"/>
  <c r="EC40" i="3"/>
  <c r="DX40" i="3"/>
  <c r="DV40" i="3"/>
  <c r="DI40" i="3"/>
  <c r="DG40" i="3"/>
  <c r="CT40" i="3"/>
  <c r="CR40" i="3"/>
  <c r="CE40" i="3"/>
  <c r="CC40" i="3"/>
  <c r="BP40" i="3"/>
  <c r="BN40" i="3"/>
  <c r="BI40" i="3"/>
  <c r="BG40" i="3"/>
  <c r="AS40" i="3"/>
  <c r="AQ40" i="3"/>
  <c r="AL40" i="3"/>
  <c r="AJ40" i="3"/>
  <c r="Q40" i="3"/>
  <c r="P40" i="3"/>
  <c r="OA39" i="3"/>
  <c r="NY39" i="3"/>
  <c r="NL39" i="3"/>
  <c r="NJ39" i="3"/>
  <c r="JQ39" i="3"/>
  <c r="JO39" i="3"/>
  <c r="JH39" i="3"/>
  <c r="JF39" i="3"/>
  <c r="IS39" i="3"/>
  <c r="IQ39" i="3"/>
  <c r="IL39" i="3"/>
  <c r="IJ39" i="3"/>
  <c r="HW39" i="3"/>
  <c r="HU39" i="3"/>
  <c r="HP39" i="3"/>
  <c r="HN39" i="3"/>
  <c r="HA39" i="3"/>
  <c r="GY39" i="3"/>
  <c r="GL39" i="3"/>
  <c r="GJ39" i="3"/>
  <c r="GE39" i="3"/>
  <c r="GC39" i="3"/>
  <c r="FP39" i="3"/>
  <c r="FN39" i="3"/>
  <c r="FI39" i="3"/>
  <c r="FG39" i="3"/>
  <c r="ET39" i="3"/>
  <c r="ER39" i="3"/>
  <c r="EE39" i="3"/>
  <c r="EC39" i="3"/>
  <c r="DX39" i="3"/>
  <c r="DV39" i="3"/>
  <c r="DI39" i="3"/>
  <c r="DG39" i="3"/>
  <c r="CT39" i="3"/>
  <c r="CR39" i="3"/>
  <c r="CE39" i="3"/>
  <c r="CC39" i="3"/>
  <c r="BP39" i="3"/>
  <c r="BN39" i="3"/>
  <c r="BI39" i="3"/>
  <c r="BG39" i="3"/>
  <c r="AS39" i="3"/>
  <c r="AQ39" i="3"/>
  <c r="AL39" i="3"/>
  <c r="AJ39" i="3"/>
  <c r="Q39" i="3"/>
  <c r="P39" i="3"/>
  <c r="H39" i="3"/>
  <c r="OA38" i="3"/>
  <c r="NY38" i="3"/>
  <c r="NL38" i="3"/>
  <c r="NJ38" i="3"/>
  <c r="JQ38" i="3"/>
  <c r="JO38" i="3"/>
  <c r="JH38" i="3"/>
  <c r="JF38" i="3"/>
  <c r="IS38" i="3"/>
  <c r="IQ38" i="3"/>
  <c r="IL38" i="3"/>
  <c r="IJ38" i="3"/>
  <c r="HW38" i="3"/>
  <c r="HU38" i="3"/>
  <c r="HP38" i="3"/>
  <c r="HN38" i="3"/>
  <c r="HA38" i="3"/>
  <c r="GY38" i="3"/>
  <c r="GL38" i="3"/>
  <c r="GJ38" i="3"/>
  <c r="GE38" i="3"/>
  <c r="GC38" i="3"/>
  <c r="FP38" i="3"/>
  <c r="FN38" i="3"/>
  <c r="FI38" i="3"/>
  <c r="FG38" i="3"/>
  <c r="ET38" i="3"/>
  <c r="ER38" i="3"/>
  <c r="EE38" i="3"/>
  <c r="EC38" i="3"/>
  <c r="DX38" i="3"/>
  <c r="DV38" i="3"/>
  <c r="DI38" i="3"/>
  <c r="DG38" i="3"/>
  <c r="CT38" i="3"/>
  <c r="CR38" i="3"/>
  <c r="CE38" i="3"/>
  <c r="CC38" i="3"/>
  <c r="BP38" i="3"/>
  <c r="BN38" i="3"/>
  <c r="BI38" i="3"/>
  <c r="BG38" i="3"/>
  <c r="AS38" i="3"/>
  <c r="AQ38" i="3"/>
  <c r="AL38" i="3"/>
  <c r="AJ38" i="3"/>
  <c r="Q38" i="3"/>
  <c r="P38" i="3"/>
  <c r="OA37" i="3"/>
  <c r="NY37" i="3"/>
  <c r="NL37" i="3"/>
  <c r="NJ37" i="3"/>
  <c r="JQ37" i="3"/>
  <c r="JO37" i="3"/>
  <c r="JH37" i="3"/>
  <c r="JF37" i="3"/>
  <c r="IS37" i="3"/>
  <c r="IQ37" i="3"/>
  <c r="IL37" i="3"/>
  <c r="IJ37" i="3"/>
  <c r="HW37" i="3"/>
  <c r="HU37" i="3"/>
  <c r="HP37" i="3"/>
  <c r="HN37" i="3"/>
  <c r="HA37" i="3"/>
  <c r="GY37" i="3"/>
  <c r="GL37" i="3"/>
  <c r="GJ37" i="3"/>
  <c r="GE37" i="3"/>
  <c r="GC37" i="3"/>
  <c r="FP37" i="3"/>
  <c r="FN37" i="3"/>
  <c r="FI37" i="3"/>
  <c r="FG37" i="3"/>
  <c r="ET37" i="3"/>
  <c r="ER37" i="3"/>
  <c r="EE37" i="3"/>
  <c r="EC37" i="3"/>
  <c r="DX37" i="3"/>
  <c r="DV37" i="3"/>
  <c r="DI37" i="3"/>
  <c r="DG37" i="3"/>
  <c r="CT37" i="3"/>
  <c r="CR37" i="3"/>
  <c r="CE37" i="3"/>
  <c r="CC37" i="3"/>
  <c r="BP37" i="3"/>
  <c r="BN37" i="3"/>
  <c r="BI37" i="3"/>
  <c r="BG37" i="3"/>
  <c r="AS37" i="3"/>
  <c r="AQ37" i="3"/>
  <c r="AL37" i="3"/>
  <c r="AJ37" i="3"/>
  <c r="Q37" i="3"/>
  <c r="P37" i="3"/>
  <c r="OA36" i="3"/>
  <c r="NY36" i="3"/>
  <c r="NL36" i="3"/>
  <c r="NJ36" i="3"/>
  <c r="JQ36" i="3"/>
  <c r="JO36" i="3"/>
  <c r="JH36" i="3"/>
  <c r="JF36" i="3"/>
  <c r="IS36" i="3"/>
  <c r="IQ36" i="3"/>
  <c r="IL36" i="3"/>
  <c r="IJ36" i="3"/>
  <c r="HW36" i="3"/>
  <c r="HU36" i="3"/>
  <c r="HP36" i="3"/>
  <c r="HN36" i="3"/>
  <c r="HA36" i="3"/>
  <c r="GY36" i="3"/>
  <c r="GL36" i="3"/>
  <c r="GJ36" i="3"/>
  <c r="GE36" i="3"/>
  <c r="GC36" i="3"/>
  <c r="FP36" i="3"/>
  <c r="FN36" i="3"/>
  <c r="FI36" i="3"/>
  <c r="FG36" i="3"/>
  <c r="ET36" i="3"/>
  <c r="ER36" i="3"/>
  <c r="EE36" i="3"/>
  <c r="EC36" i="3"/>
  <c r="DX36" i="3"/>
  <c r="DV36" i="3"/>
  <c r="DI36" i="3"/>
  <c r="DG36" i="3"/>
  <c r="CT36" i="3"/>
  <c r="CR36" i="3"/>
  <c r="CE36" i="3"/>
  <c r="CC36" i="3"/>
  <c r="BP36" i="3"/>
  <c r="BN36" i="3"/>
  <c r="BI36" i="3"/>
  <c r="BG36" i="3"/>
  <c r="AS36" i="3"/>
  <c r="AQ36" i="3"/>
  <c r="AL36" i="3"/>
  <c r="AJ36" i="3"/>
  <c r="Q36" i="3"/>
  <c r="P36" i="3"/>
  <c r="OA35" i="3"/>
  <c r="NY35" i="3"/>
  <c r="NL35" i="3"/>
  <c r="NJ35" i="3"/>
  <c r="JQ35" i="3"/>
  <c r="JO35" i="3"/>
  <c r="JH35" i="3"/>
  <c r="JF35" i="3"/>
  <c r="IS35" i="3"/>
  <c r="IQ35" i="3"/>
  <c r="IL35" i="3"/>
  <c r="IJ35" i="3"/>
  <c r="HW35" i="3"/>
  <c r="HU35" i="3"/>
  <c r="HP35" i="3"/>
  <c r="HN35" i="3"/>
  <c r="HA35" i="3"/>
  <c r="GY35" i="3"/>
  <c r="GL35" i="3"/>
  <c r="GJ35" i="3"/>
  <c r="GE35" i="3"/>
  <c r="GC35" i="3"/>
  <c r="FP35" i="3"/>
  <c r="FN35" i="3"/>
  <c r="FI35" i="3"/>
  <c r="FG35" i="3"/>
  <c r="ET35" i="3"/>
  <c r="ER35" i="3"/>
  <c r="EE35" i="3"/>
  <c r="EC35" i="3"/>
  <c r="DX35" i="3"/>
  <c r="DV35" i="3"/>
  <c r="DI35" i="3"/>
  <c r="DG35" i="3"/>
  <c r="CT35" i="3"/>
  <c r="CR35" i="3"/>
  <c r="CE35" i="3"/>
  <c r="CC35" i="3"/>
  <c r="BP35" i="3"/>
  <c r="BN35" i="3"/>
  <c r="BI35" i="3"/>
  <c r="BG35" i="3"/>
  <c r="AS35" i="3"/>
  <c r="AQ35" i="3"/>
  <c r="AL35" i="3"/>
  <c r="AJ35" i="3"/>
  <c r="Q35" i="3"/>
  <c r="P35" i="3"/>
  <c r="OA34" i="3"/>
  <c r="NY34" i="3"/>
  <c r="NL34" i="3"/>
  <c r="NJ34" i="3"/>
  <c r="JQ34" i="3"/>
  <c r="JO34" i="3"/>
  <c r="JH34" i="3"/>
  <c r="JF34" i="3"/>
  <c r="IS34" i="3"/>
  <c r="IQ34" i="3"/>
  <c r="IL34" i="3"/>
  <c r="IJ34" i="3"/>
  <c r="HW34" i="3"/>
  <c r="HU34" i="3"/>
  <c r="HP34" i="3"/>
  <c r="HN34" i="3"/>
  <c r="HA34" i="3"/>
  <c r="GY34" i="3"/>
  <c r="GL34" i="3"/>
  <c r="GJ34" i="3"/>
  <c r="GE34" i="3"/>
  <c r="GC34" i="3"/>
  <c r="FP34" i="3"/>
  <c r="FN34" i="3"/>
  <c r="FI34" i="3"/>
  <c r="FG34" i="3"/>
  <c r="ET34" i="3"/>
  <c r="ER34" i="3"/>
  <c r="EE34" i="3"/>
  <c r="EC34" i="3"/>
  <c r="DX34" i="3"/>
  <c r="DV34" i="3"/>
  <c r="DI34" i="3"/>
  <c r="DG34" i="3"/>
  <c r="CT34" i="3"/>
  <c r="CR34" i="3"/>
  <c r="CE34" i="3"/>
  <c r="CC34" i="3"/>
  <c r="BP34" i="3"/>
  <c r="BN34" i="3"/>
  <c r="BI34" i="3"/>
  <c r="BG34" i="3"/>
  <c r="AS34" i="3"/>
  <c r="AQ34" i="3"/>
  <c r="AL34" i="3"/>
  <c r="AJ34" i="3"/>
  <c r="Q34" i="3"/>
  <c r="P34" i="3"/>
  <c r="OA33" i="3"/>
  <c r="NY33" i="3"/>
  <c r="NL33" i="3"/>
  <c r="NJ33" i="3"/>
  <c r="JQ33" i="3"/>
  <c r="JO33" i="3"/>
  <c r="JH33" i="3"/>
  <c r="JF33" i="3"/>
  <c r="IS33" i="3"/>
  <c r="IQ33" i="3"/>
  <c r="IL33" i="3"/>
  <c r="IJ33" i="3"/>
  <c r="HW33" i="3"/>
  <c r="HU33" i="3"/>
  <c r="HP33" i="3"/>
  <c r="HN33" i="3"/>
  <c r="HA33" i="3"/>
  <c r="GY33" i="3"/>
  <c r="GL33" i="3"/>
  <c r="GJ33" i="3"/>
  <c r="GE33" i="3"/>
  <c r="GC33" i="3"/>
  <c r="FP33" i="3"/>
  <c r="FN33" i="3"/>
  <c r="FI33" i="3"/>
  <c r="FG33" i="3"/>
  <c r="ET33" i="3"/>
  <c r="ER33" i="3"/>
  <c r="EE33" i="3"/>
  <c r="EC33" i="3"/>
  <c r="DX33" i="3"/>
  <c r="DV33" i="3"/>
  <c r="DI33" i="3"/>
  <c r="DG33" i="3"/>
  <c r="CT33" i="3"/>
  <c r="CR33" i="3"/>
  <c r="CE33" i="3"/>
  <c r="CC33" i="3"/>
  <c r="BP33" i="3"/>
  <c r="BN33" i="3"/>
  <c r="BI33" i="3"/>
  <c r="BG33" i="3"/>
  <c r="AS33" i="3"/>
  <c r="AQ33" i="3"/>
  <c r="AL33" i="3"/>
  <c r="AJ33" i="3"/>
  <c r="Q33" i="3"/>
  <c r="P33" i="3"/>
  <c r="OA32" i="3"/>
  <c r="NY32" i="3"/>
  <c r="NL32" i="3"/>
  <c r="NJ32" i="3"/>
  <c r="JQ32" i="3"/>
  <c r="JO32" i="3"/>
  <c r="JH32" i="3"/>
  <c r="JF32" i="3"/>
  <c r="IS32" i="3"/>
  <c r="IQ32" i="3"/>
  <c r="IL32" i="3"/>
  <c r="IJ32" i="3"/>
  <c r="HW32" i="3"/>
  <c r="HU32" i="3"/>
  <c r="HP32" i="3"/>
  <c r="HN32" i="3"/>
  <c r="HA32" i="3"/>
  <c r="GY32" i="3"/>
  <c r="GL32" i="3"/>
  <c r="GJ32" i="3"/>
  <c r="GE32" i="3"/>
  <c r="GC32" i="3"/>
  <c r="FP32" i="3"/>
  <c r="FN32" i="3"/>
  <c r="FI32" i="3"/>
  <c r="FG32" i="3"/>
  <c r="ET32" i="3"/>
  <c r="ER32" i="3"/>
  <c r="EE32" i="3"/>
  <c r="EC32" i="3"/>
  <c r="DX32" i="3"/>
  <c r="DV32" i="3"/>
  <c r="DI32" i="3"/>
  <c r="DG32" i="3"/>
  <c r="CT32" i="3"/>
  <c r="CR32" i="3"/>
  <c r="CE32" i="3"/>
  <c r="CC32" i="3"/>
  <c r="BP32" i="3"/>
  <c r="BN32" i="3"/>
  <c r="BI32" i="3"/>
  <c r="BG32" i="3"/>
  <c r="AS32" i="3"/>
  <c r="AQ32" i="3"/>
  <c r="AL32" i="3"/>
  <c r="AJ32" i="3"/>
  <c r="Q32" i="3"/>
  <c r="P32" i="3"/>
  <c r="OA31" i="3"/>
  <c r="NY31" i="3"/>
  <c r="NL31" i="3"/>
  <c r="NJ31" i="3"/>
  <c r="JQ31" i="3"/>
  <c r="JO31" i="3"/>
  <c r="JH31" i="3"/>
  <c r="JF31" i="3"/>
  <c r="IS31" i="3"/>
  <c r="IQ31" i="3"/>
  <c r="IL31" i="3"/>
  <c r="IJ31" i="3"/>
  <c r="HW31" i="3"/>
  <c r="HU31" i="3"/>
  <c r="HP31" i="3"/>
  <c r="HN31" i="3"/>
  <c r="HA31" i="3"/>
  <c r="GY31" i="3"/>
  <c r="GL31" i="3"/>
  <c r="GJ31" i="3"/>
  <c r="GE31" i="3"/>
  <c r="GC31" i="3"/>
  <c r="FP31" i="3"/>
  <c r="FN31" i="3"/>
  <c r="FI31" i="3"/>
  <c r="FG31" i="3"/>
  <c r="ET31" i="3"/>
  <c r="ER31" i="3"/>
  <c r="EE31" i="3"/>
  <c r="EC31" i="3"/>
  <c r="DX31" i="3"/>
  <c r="DV31" i="3"/>
  <c r="DI31" i="3"/>
  <c r="DG31" i="3"/>
  <c r="CT31" i="3"/>
  <c r="CR31" i="3"/>
  <c r="CE31" i="3"/>
  <c r="CC31" i="3"/>
  <c r="BP31" i="3"/>
  <c r="BN31" i="3"/>
  <c r="BI31" i="3"/>
  <c r="BG31" i="3"/>
  <c r="AS31" i="3"/>
  <c r="AQ31" i="3"/>
  <c r="AL31" i="3"/>
  <c r="AJ31" i="3"/>
  <c r="Q31" i="3"/>
  <c r="P31" i="3"/>
  <c r="OA30" i="3"/>
  <c r="NY30" i="3"/>
  <c r="NL30" i="3"/>
  <c r="NJ30" i="3"/>
  <c r="JQ30" i="3"/>
  <c r="JO30" i="3"/>
  <c r="JH30" i="3"/>
  <c r="JF30" i="3"/>
  <c r="IS30" i="3"/>
  <c r="IQ30" i="3"/>
  <c r="IL30" i="3"/>
  <c r="IJ30" i="3"/>
  <c r="HW30" i="3"/>
  <c r="HU30" i="3"/>
  <c r="HP30" i="3"/>
  <c r="HN30" i="3"/>
  <c r="HA30" i="3"/>
  <c r="GY30" i="3"/>
  <c r="GL30" i="3"/>
  <c r="GJ30" i="3"/>
  <c r="GE30" i="3"/>
  <c r="GC30" i="3"/>
  <c r="FP30" i="3"/>
  <c r="FN30" i="3"/>
  <c r="FI30" i="3"/>
  <c r="FG30" i="3"/>
  <c r="ET30" i="3"/>
  <c r="ER30" i="3"/>
  <c r="EE30" i="3"/>
  <c r="EC30" i="3"/>
  <c r="DX30" i="3"/>
  <c r="DV30" i="3"/>
  <c r="DI30" i="3"/>
  <c r="DG30" i="3"/>
  <c r="CT30" i="3"/>
  <c r="CR30" i="3"/>
  <c r="CE30" i="3"/>
  <c r="CC30" i="3"/>
  <c r="BP30" i="3"/>
  <c r="BN30" i="3"/>
  <c r="BI30" i="3"/>
  <c r="BG30" i="3"/>
  <c r="AS30" i="3"/>
  <c r="AQ30" i="3"/>
  <c r="AL30" i="3"/>
  <c r="AJ30" i="3"/>
  <c r="Q30" i="3"/>
  <c r="P30" i="3"/>
  <c r="Q29" i="3"/>
  <c r="P29" i="3"/>
  <c r="Q28" i="3"/>
  <c r="P28" i="3"/>
  <c r="Q27" i="3"/>
  <c r="P27" i="3"/>
  <c r="Q26" i="3"/>
  <c r="P26" i="3"/>
  <c r="OA25" i="3"/>
  <c r="NY25" i="3"/>
  <c r="NL25" i="3"/>
  <c r="NJ25" i="3"/>
  <c r="JQ25" i="3"/>
  <c r="JO25" i="3"/>
  <c r="JH25" i="3"/>
  <c r="JF25" i="3"/>
  <c r="IS25" i="3"/>
  <c r="IQ25" i="3"/>
  <c r="IL25" i="3"/>
  <c r="IJ25" i="3"/>
  <c r="HW25" i="3"/>
  <c r="HU25" i="3"/>
  <c r="HP25" i="3"/>
  <c r="HN25" i="3"/>
  <c r="HA25" i="3"/>
  <c r="GY25" i="3"/>
  <c r="GL25" i="3"/>
  <c r="GJ25" i="3"/>
  <c r="GE25" i="3"/>
  <c r="GC25" i="3"/>
  <c r="FP25" i="3"/>
  <c r="FN25" i="3"/>
  <c r="FI25" i="3"/>
  <c r="FG25" i="3"/>
  <c r="ET25" i="3"/>
  <c r="ER25" i="3"/>
  <c r="EE25" i="3"/>
  <c r="EC25" i="3"/>
  <c r="DX25" i="3"/>
  <c r="DV25" i="3"/>
  <c r="DI25" i="3"/>
  <c r="DG25" i="3"/>
  <c r="CT25" i="3"/>
  <c r="CR25" i="3"/>
  <c r="CE25" i="3"/>
  <c r="CC25" i="3"/>
  <c r="BP25" i="3"/>
  <c r="BN25" i="3"/>
  <c r="BI25" i="3"/>
  <c r="BG25" i="3"/>
  <c r="AS25" i="3"/>
  <c r="AQ25" i="3"/>
  <c r="AL25" i="3"/>
  <c r="AJ25" i="3"/>
  <c r="Q25" i="3"/>
  <c r="P25" i="3"/>
  <c r="OA24" i="3"/>
  <c r="NY24" i="3"/>
  <c r="NL24" i="3"/>
  <c r="NJ24" i="3"/>
  <c r="JQ24" i="3"/>
  <c r="JO24" i="3"/>
  <c r="JH24" i="3"/>
  <c r="JF24" i="3"/>
  <c r="IS24" i="3"/>
  <c r="IQ24" i="3"/>
  <c r="IL24" i="3"/>
  <c r="IJ24" i="3"/>
  <c r="HW24" i="3"/>
  <c r="HU24" i="3"/>
  <c r="HP24" i="3"/>
  <c r="HN24" i="3"/>
  <c r="HA24" i="3"/>
  <c r="GY24" i="3"/>
  <c r="GL24" i="3"/>
  <c r="GJ24" i="3"/>
  <c r="GE24" i="3"/>
  <c r="GC24" i="3"/>
  <c r="FP24" i="3"/>
  <c r="FN24" i="3"/>
  <c r="FI24" i="3"/>
  <c r="FG24" i="3"/>
  <c r="ET24" i="3"/>
  <c r="ER24" i="3"/>
  <c r="EE24" i="3"/>
  <c r="EC24" i="3"/>
  <c r="DX24" i="3"/>
  <c r="DV24" i="3"/>
  <c r="DI24" i="3"/>
  <c r="DG24" i="3"/>
  <c r="CT24" i="3"/>
  <c r="CR24" i="3"/>
  <c r="CE24" i="3"/>
  <c r="CC24" i="3"/>
  <c r="BP24" i="3"/>
  <c r="BN24" i="3"/>
  <c r="BI24" i="3"/>
  <c r="BG24" i="3"/>
  <c r="AS24" i="3"/>
  <c r="AQ24" i="3"/>
  <c r="AL24" i="3"/>
  <c r="AJ24" i="3"/>
  <c r="Q24" i="3"/>
  <c r="P24" i="3"/>
  <c r="OA23" i="3"/>
  <c r="NY23" i="3"/>
  <c r="NL23" i="3"/>
  <c r="NJ23" i="3"/>
  <c r="JQ23" i="3"/>
  <c r="JO23" i="3"/>
  <c r="JH23" i="3"/>
  <c r="JF23" i="3"/>
  <c r="IS23" i="3"/>
  <c r="IQ23" i="3"/>
  <c r="IL23" i="3"/>
  <c r="IJ23" i="3"/>
  <c r="HW23" i="3"/>
  <c r="HU23" i="3"/>
  <c r="HP23" i="3"/>
  <c r="HN23" i="3"/>
  <c r="HA23" i="3"/>
  <c r="GY23" i="3"/>
  <c r="GL23" i="3"/>
  <c r="GJ23" i="3"/>
  <c r="GE23" i="3"/>
  <c r="GC23" i="3"/>
  <c r="FP23" i="3"/>
  <c r="FN23" i="3"/>
  <c r="FI23" i="3"/>
  <c r="FG23" i="3"/>
  <c r="ET23" i="3"/>
  <c r="ER23" i="3"/>
  <c r="EE23" i="3"/>
  <c r="EC23" i="3"/>
  <c r="DX23" i="3"/>
  <c r="DV23" i="3"/>
  <c r="DI23" i="3"/>
  <c r="DG23" i="3"/>
  <c r="CT23" i="3"/>
  <c r="CR23" i="3"/>
  <c r="CE23" i="3"/>
  <c r="CC23" i="3"/>
  <c r="BP23" i="3"/>
  <c r="BN23" i="3"/>
  <c r="BI23" i="3"/>
  <c r="BG23" i="3"/>
  <c r="AS23" i="3"/>
  <c r="AQ23" i="3"/>
  <c r="AL23" i="3"/>
  <c r="AJ23" i="3"/>
  <c r="Q23" i="3"/>
  <c r="P23" i="3"/>
  <c r="C23" i="3"/>
  <c r="OA22" i="3"/>
  <c r="NY22" i="3"/>
  <c r="NL22" i="3"/>
  <c r="NJ22" i="3"/>
  <c r="JQ22" i="3"/>
  <c r="JO22" i="3"/>
  <c r="JH22" i="3"/>
  <c r="JF22" i="3"/>
  <c r="IS22" i="3"/>
  <c r="IQ22" i="3"/>
  <c r="IL22" i="3"/>
  <c r="IJ22" i="3"/>
  <c r="HW22" i="3"/>
  <c r="HU22" i="3"/>
  <c r="HP22" i="3"/>
  <c r="HN22" i="3"/>
  <c r="HA22" i="3"/>
  <c r="GY22" i="3"/>
  <c r="GL22" i="3"/>
  <c r="GJ22" i="3"/>
  <c r="GE22" i="3"/>
  <c r="GC22" i="3"/>
  <c r="FP22" i="3"/>
  <c r="FN22" i="3"/>
  <c r="FI22" i="3"/>
  <c r="FG22" i="3"/>
  <c r="ET22" i="3"/>
  <c r="ER22" i="3"/>
  <c r="EE22" i="3"/>
  <c r="EC22" i="3"/>
  <c r="DX22" i="3"/>
  <c r="DV22" i="3"/>
  <c r="DI22" i="3"/>
  <c r="DG22" i="3"/>
  <c r="CT22" i="3"/>
  <c r="CR22" i="3"/>
  <c r="CE22" i="3"/>
  <c r="CC22" i="3"/>
  <c r="BP22" i="3"/>
  <c r="BN22" i="3"/>
  <c r="BI22" i="3"/>
  <c r="BG22" i="3"/>
  <c r="AS22" i="3"/>
  <c r="AQ22" i="3"/>
  <c r="AL22" i="3"/>
  <c r="AJ22" i="3"/>
  <c r="Q22" i="3"/>
  <c r="P22" i="3"/>
  <c r="OA21" i="3"/>
  <c r="NY21" i="3"/>
  <c r="NL21" i="3"/>
  <c r="NJ21" i="3"/>
  <c r="JQ21" i="3"/>
  <c r="JO21" i="3"/>
  <c r="JH21" i="3"/>
  <c r="JF21" i="3"/>
  <c r="IS21" i="3"/>
  <c r="IQ21" i="3"/>
  <c r="IL21" i="3"/>
  <c r="IJ21" i="3"/>
  <c r="HW21" i="3"/>
  <c r="HU21" i="3"/>
  <c r="HP21" i="3"/>
  <c r="HN21" i="3"/>
  <c r="HA21" i="3"/>
  <c r="GY21" i="3"/>
  <c r="GL21" i="3"/>
  <c r="GJ21" i="3"/>
  <c r="GE21" i="3"/>
  <c r="GC21" i="3"/>
  <c r="FP21" i="3"/>
  <c r="FN21" i="3"/>
  <c r="FI21" i="3"/>
  <c r="FG21" i="3"/>
  <c r="ET21" i="3"/>
  <c r="ER21" i="3"/>
  <c r="EE21" i="3"/>
  <c r="EC21" i="3"/>
  <c r="DX21" i="3"/>
  <c r="DV21" i="3"/>
  <c r="DI21" i="3"/>
  <c r="DG21" i="3"/>
  <c r="CT21" i="3"/>
  <c r="CR21" i="3"/>
  <c r="CE21" i="3"/>
  <c r="CC21" i="3"/>
  <c r="BP21" i="3"/>
  <c r="BN21" i="3"/>
  <c r="BI21" i="3"/>
  <c r="BG21" i="3"/>
  <c r="AS21" i="3"/>
  <c r="AQ21" i="3"/>
  <c r="AL21" i="3"/>
  <c r="AJ21" i="3"/>
  <c r="Q21" i="3"/>
  <c r="P21" i="3"/>
  <c r="OA20" i="3"/>
  <c r="NY20" i="3"/>
  <c r="NL20" i="3"/>
  <c r="NJ20" i="3"/>
  <c r="JQ20" i="3"/>
  <c r="JO20" i="3"/>
  <c r="JH20" i="3"/>
  <c r="JF20" i="3"/>
  <c r="IS20" i="3"/>
  <c r="IQ20" i="3"/>
  <c r="IL20" i="3"/>
  <c r="IJ20" i="3"/>
  <c r="HW20" i="3"/>
  <c r="HU20" i="3"/>
  <c r="HP20" i="3"/>
  <c r="HN20" i="3"/>
  <c r="HA20" i="3"/>
  <c r="GY20" i="3"/>
  <c r="GL20" i="3"/>
  <c r="GJ20" i="3"/>
  <c r="GE20" i="3"/>
  <c r="GC20" i="3"/>
  <c r="FP20" i="3"/>
  <c r="FN20" i="3"/>
  <c r="FI20" i="3"/>
  <c r="FG20" i="3"/>
  <c r="ET20" i="3"/>
  <c r="ER20" i="3"/>
  <c r="EE20" i="3"/>
  <c r="EC20" i="3"/>
  <c r="DX20" i="3"/>
  <c r="DV20" i="3"/>
  <c r="DI20" i="3"/>
  <c r="DG20" i="3"/>
  <c r="CT20" i="3"/>
  <c r="CR20" i="3"/>
  <c r="CE20" i="3"/>
  <c r="CC20" i="3"/>
  <c r="BP20" i="3"/>
  <c r="BN20" i="3"/>
  <c r="BI20" i="3"/>
  <c r="BG20" i="3"/>
  <c r="AS20" i="3"/>
  <c r="AQ20" i="3"/>
  <c r="AL20" i="3"/>
  <c r="AJ20" i="3"/>
  <c r="Q20" i="3"/>
  <c r="P20" i="3"/>
  <c r="OA19" i="3"/>
  <c r="NY19" i="3"/>
  <c r="NL19" i="3"/>
  <c r="NJ19" i="3"/>
  <c r="JQ19" i="3"/>
  <c r="JO19" i="3"/>
  <c r="JH19" i="3"/>
  <c r="JF19" i="3"/>
  <c r="IS19" i="3"/>
  <c r="IQ19" i="3"/>
  <c r="IL19" i="3"/>
  <c r="IJ19" i="3"/>
  <c r="HW19" i="3"/>
  <c r="HU19" i="3"/>
  <c r="HP19" i="3"/>
  <c r="HN19" i="3"/>
  <c r="HA19" i="3"/>
  <c r="GY19" i="3"/>
  <c r="GL19" i="3"/>
  <c r="GJ19" i="3"/>
  <c r="GE19" i="3"/>
  <c r="GC19" i="3"/>
  <c r="FP19" i="3"/>
  <c r="FN19" i="3"/>
  <c r="FI19" i="3"/>
  <c r="FG19" i="3"/>
  <c r="ET19" i="3"/>
  <c r="ER19" i="3"/>
  <c r="EE19" i="3"/>
  <c r="EC19" i="3"/>
  <c r="DX19" i="3"/>
  <c r="DV19" i="3"/>
  <c r="DI19" i="3"/>
  <c r="DG19" i="3"/>
  <c r="CT19" i="3"/>
  <c r="CR19" i="3"/>
  <c r="CE19" i="3"/>
  <c r="CC19" i="3"/>
  <c r="BP19" i="3"/>
  <c r="BN19" i="3"/>
  <c r="BI19" i="3"/>
  <c r="BG19" i="3"/>
  <c r="AS19" i="3"/>
  <c r="AQ19" i="3"/>
  <c r="AL19" i="3"/>
  <c r="AJ19" i="3"/>
  <c r="Q19" i="3"/>
  <c r="P19" i="3"/>
  <c r="H19" i="3"/>
  <c r="I19" i="3" s="1"/>
  <c r="OA18" i="3"/>
  <c r="NY18" i="3"/>
  <c r="NL18" i="3"/>
  <c r="NJ18" i="3"/>
  <c r="JQ18" i="3"/>
  <c r="JO18" i="3"/>
  <c r="JH18" i="3"/>
  <c r="JF18" i="3"/>
  <c r="IS18" i="3"/>
  <c r="IQ18" i="3"/>
  <c r="IL18" i="3"/>
  <c r="IJ18" i="3"/>
  <c r="HW18" i="3"/>
  <c r="HU18" i="3"/>
  <c r="HP18" i="3"/>
  <c r="HN18" i="3"/>
  <c r="HA18" i="3"/>
  <c r="GY18" i="3"/>
  <c r="GL18" i="3"/>
  <c r="GJ18" i="3"/>
  <c r="GE18" i="3"/>
  <c r="GC18" i="3"/>
  <c r="FP18" i="3"/>
  <c r="FN18" i="3"/>
  <c r="FI18" i="3"/>
  <c r="FG18" i="3"/>
  <c r="ET18" i="3"/>
  <c r="ER18" i="3"/>
  <c r="EE18" i="3"/>
  <c r="EC18" i="3"/>
  <c r="DX18" i="3"/>
  <c r="DV18" i="3"/>
  <c r="DI18" i="3"/>
  <c r="DG18" i="3"/>
  <c r="CT18" i="3"/>
  <c r="CR18" i="3"/>
  <c r="CE18" i="3"/>
  <c r="CC18" i="3"/>
  <c r="BP18" i="3"/>
  <c r="BN18" i="3"/>
  <c r="BI18" i="3"/>
  <c r="BG18" i="3"/>
  <c r="AS18" i="3"/>
  <c r="AQ18" i="3"/>
  <c r="AL18" i="3"/>
  <c r="AJ18" i="3"/>
  <c r="Q18" i="3"/>
  <c r="P18" i="3"/>
  <c r="OA17" i="3"/>
  <c r="NY17" i="3"/>
  <c r="NL17" i="3"/>
  <c r="NJ17" i="3"/>
  <c r="LK17" i="3"/>
  <c r="JQ17" i="3"/>
  <c r="JO17" i="3"/>
  <c r="JH17" i="3"/>
  <c r="JF17" i="3"/>
  <c r="IS17" i="3"/>
  <c r="IQ17" i="3"/>
  <c r="IL17" i="3"/>
  <c r="IJ17" i="3"/>
  <c r="HW17" i="3"/>
  <c r="HU17" i="3"/>
  <c r="HP17" i="3"/>
  <c r="HN17" i="3"/>
  <c r="HA17" i="3"/>
  <c r="GY17" i="3"/>
  <c r="GL17" i="3"/>
  <c r="GJ17" i="3"/>
  <c r="GE17" i="3"/>
  <c r="GC17" i="3"/>
  <c r="FZ17" i="3"/>
  <c r="FP17" i="3"/>
  <c r="FN17" i="3"/>
  <c r="FI17" i="3"/>
  <c r="FG17" i="3"/>
  <c r="ET17" i="3"/>
  <c r="ER17" i="3"/>
  <c r="EE17" i="3"/>
  <c r="EC17" i="3"/>
  <c r="DX17" i="3"/>
  <c r="DV17" i="3"/>
  <c r="DI17" i="3"/>
  <c r="DG17" i="3"/>
  <c r="CT17" i="3"/>
  <c r="CR17" i="3"/>
  <c r="CE17" i="3"/>
  <c r="CC17" i="3"/>
  <c r="BP17" i="3"/>
  <c r="BN17" i="3"/>
  <c r="BI17" i="3"/>
  <c r="BG17" i="3"/>
  <c r="AS17" i="3"/>
  <c r="AQ17" i="3"/>
  <c r="AL17" i="3"/>
  <c r="AJ17" i="3"/>
  <c r="Q17" i="3"/>
  <c r="P17" i="3"/>
  <c r="OA16" i="3"/>
  <c r="NY16" i="3"/>
  <c r="NL16" i="3"/>
  <c r="NJ16" i="3"/>
  <c r="LK16" i="3"/>
  <c r="KM16" i="3"/>
  <c r="JQ16" i="3"/>
  <c r="JO16" i="3"/>
  <c r="JH16" i="3"/>
  <c r="JF16" i="3"/>
  <c r="IS16" i="3"/>
  <c r="IQ16" i="3"/>
  <c r="IL16" i="3"/>
  <c r="IJ16" i="3"/>
  <c r="HW16" i="3"/>
  <c r="HU16" i="3"/>
  <c r="HP16" i="3"/>
  <c r="HN16" i="3"/>
  <c r="HA16" i="3"/>
  <c r="GY16" i="3"/>
  <c r="GL16" i="3"/>
  <c r="GJ16" i="3"/>
  <c r="GE16" i="3"/>
  <c r="GC16" i="3"/>
  <c r="FZ16" i="3"/>
  <c r="FP16" i="3"/>
  <c r="FN16" i="3"/>
  <c r="FI16" i="3"/>
  <c r="FG16" i="3"/>
  <c r="ET16" i="3"/>
  <c r="ER16" i="3"/>
  <c r="EE16" i="3"/>
  <c r="EC16" i="3"/>
  <c r="DX16" i="3"/>
  <c r="DV16" i="3"/>
  <c r="DI16" i="3"/>
  <c r="DG16" i="3"/>
  <c r="CT16" i="3"/>
  <c r="CR16" i="3"/>
  <c r="CE16" i="3"/>
  <c r="CC16" i="3"/>
  <c r="BP16" i="3"/>
  <c r="BN16" i="3"/>
  <c r="BI16" i="3"/>
  <c r="BG16" i="3"/>
  <c r="AS16" i="3"/>
  <c r="AQ16" i="3"/>
  <c r="AL16" i="3"/>
  <c r="AJ16" i="3"/>
  <c r="Q16" i="3"/>
  <c r="P16" i="3"/>
  <c r="C16" i="3"/>
  <c r="OA15" i="3"/>
  <c r="NY15" i="3"/>
  <c r="NV15" i="3"/>
  <c r="NL15" i="3"/>
  <c r="NJ15" i="3"/>
  <c r="LK15" i="3"/>
  <c r="KU15" i="3"/>
  <c r="KM15" i="3"/>
  <c r="JQ15" i="3"/>
  <c r="JO15" i="3"/>
  <c r="JH15" i="3"/>
  <c r="JF15" i="3"/>
  <c r="IS15" i="3"/>
  <c r="IQ15" i="3"/>
  <c r="IL15" i="3"/>
  <c r="IJ15" i="3"/>
  <c r="HW15" i="3"/>
  <c r="HU15" i="3"/>
  <c r="HP15" i="3"/>
  <c r="HN15" i="3"/>
  <c r="HA15" i="3"/>
  <c r="GY15" i="3"/>
  <c r="GL15" i="3"/>
  <c r="GJ15" i="3"/>
  <c r="GE15" i="3"/>
  <c r="GC15" i="3"/>
  <c r="FZ15" i="3"/>
  <c r="FP15" i="3"/>
  <c r="FN15" i="3"/>
  <c r="FI15" i="3"/>
  <c r="FG15" i="3"/>
  <c r="FD15" i="3"/>
  <c r="ET15" i="3"/>
  <c r="ER15" i="3"/>
  <c r="EE15" i="3"/>
  <c r="EC15" i="3"/>
  <c r="DX15" i="3"/>
  <c r="DV15" i="3"/>
  <c r="DI15" i="3"/>
  <c r="DG15" i="3"/>
  <c r="CT15" i="3"/>
  <c r="CR15" i="3"/>
  <c r="CE15" i="3"/>
  <c r="CC15" i="3"/>
  <c r="BP15" i="3"/>
  <c r="BN15" i="3"/>
  <c r="BI15" i="3"/>
  <c r="BG15" i="3"/>
  <c r="AS15" i="3"/>
  <c r="AQ15" i="3"/>
  <c r="AL15" i="3"/>
  <c r="AJ15" i="3"/>
  <c r="Q15" i="3"/>
  <c r="P15" i="3"/>
  <c r="OA14" i="3"/>
  <c r="NY14" i="3"/>
  <c r="NV14" i="3"/>
  <c r="NL14" i="3"/>
  <c r="NJ14" i="3"/>
  <c r="NG14" i="3"/>
  <c r="LK14" i="3"/>
  <c r="KU14" i="3"/>
  <c r="KM14" i="3"/>
  <c r="JQ14" i="3"/>
  <c r="JO14" i="3"/>
  <c r="JH14" i="3"/>
  <c r="JF14" i="3"/>
  <c r="JC14" i="3"/>
  <c r="IS14" i="3"/>
  <c r="IQ14" i="3"/>
  <c r="IL14" i="3"/>
  <c r="IJ14" i="3"/>
  <c r="IG14" i="3"/>
  <c r="HW14" i="3"/>
  <c r="HU14" i="3"/>
  <c r="HP14" i="3"/>
  <c r="HN14" i="3"/>
  <c r="HA14" i="3"/>
  <c r="GY14" i="3"/>
  <c r="GL14" i="3"/>
  <c r="GJ14" i="3"/>
  <c r="GE14" i="3"/>
  <c r="GC14" i="3"/>
  <c r="FZ14" i="3"/>
  <c r="FP14" i="3"/>
  <c r="FN14" i="3"/>
  <c r="FI14" i="3"/>
  <c r="FG14" i="3"/>
  <c r="FD14" i="3"/>
  <c r="ET14" i="3"/>
  <c r="ER14" i="3"/>
  <c r="EE14" i="3"/>
  <c r="EC14" i="3"/>
  <c r="DX14" i="3"/>
  <c r="DV14" i="3"/>
  <c r="DI14" i="3"/>
  <c r="DG14" i="3"/>
  <c r="CT14" i="3"/>
  <c r="CR14" i="3"/>
  <c r="CE14" i="3"/>
  <c r="CC14" i="3"/>
  <c r="BP14" i="3"/>
  <c r="BN14" i="3"/>
  <c r="BI14" i="3"/>
  <c r="BG14" i="3"/>
  <c r="AS14" i="3"/>
  <c r="AQ14" i="3"/>
  <c r="AL14" i="3"/>
  <c r="AJ14" i="3"/>
  <c r="Q14" i="3"/>
  <c r="P14" i="3"/>
  <c r="OA13" i="3"/>
  <c r="NY13" i="3"/>
  <c r="NV13" i="3"/>
  <c r="NL13" i="3"/>
  <c r="NJ13" i="3"/>
  <c r="NG13" i="3"/>
  <c r="LS13" i="3"/>
  <c r="LK13" i="3"/>
  <c r="LC13" i="3"/>
  <c r="KU13" i="3"/>
  <c r="KM13" i="3"/>
  <c r="JQ13" i="3"/>
  <c r="JO13" i="3"/>
  <c r="JH13" i="3"/>
  <c r="JF13" i="3"/>
  <c r="JC13" i="3"/>
  <c r="IS13" i="3"/>
  <c r="IQ13" i="3"/>
  <c r="IL13" i="3"/>
  <c r="IJ13" i="3"/>
  <c r="IG13" i="3"/>
  <c r="HW13" i="3"/>
  <c r="HU13" i="3"/>
  <c r="HP13" i="3"/>
  <c r="HN13" i="3"/>
  <c r="HK13" i="3"/>
  <c r="HA13" i="3"/>
  <c r="GY13" i="3"/>
  <c r="GL13" i="3"/>
  <c r="GJ13" i="3"/>
  <c r="GE13" i="3"/>
  <c r="GC13" i="3"/>
  <c r="FZ13" i="3"/>
  <c r="FP13" i="3"/>
  <c r="FN13" i="3"/>
  <c r="FI13" i="3"/>
  <c r="FG13" i="3"/>
  <c r="FD13" i="3"/>
  <c r="ET13" i="3"/>
  <c r="ER13" i="3"/>
  <c r="EE13" i="3"/>
  <c r="EC13" i="3"/>
  <c r="DX13" i="3"/>
  <c r="DV13" i="3"/>
  <c r="DI13" i="3"/>
  <c r="DG13" i="3"/>
  <c r="CT13" i="3"/>
  <c r="CR13" i="3"/>
  <c r="CE13" i="3"/>
  <c r="CC13" i="3"/>
  <c r="BP13" i="3"/>
  <c r="BN13" i="3"/>
  <c r="BI13" i="3"/>
  <c r="BG13" i="3"/>
  <c r="AS13" i="3"/>
  <c r="AQ13" i="3"/>
  <c r="AL13" i="3"/>
  <c r="AJ13" i="3"/>
  <c r="Q13" i="3"/>
  <c r="P13" i="3"/>
  <c r="OA12" i="3"/>
  <c r="NY12" i="3"/>
  <c r="NV12" i="3"/>
  <c r="NL12" i="3"/>
  <c r="NJ12" i="3"/>
  <c r="NG12" i="3"/>
  <c r="MY12" i="3"/>
  <c r="LS12" i="3"/>
  <c r="LK12" i="3"/>
  <c r="LC12" i="3"/>
  <c r="KU12" i="3"/>
  <c r="KM12" i="3"/>
  <c r="JQ12" i="3"/>
  <c r="JO12" i="3"/>
  <c r="JH12" i="3"/>
  <c r="JF12" i="3"/>
  <c r="JC12" i="3"/>
  <c r="IS12" i="3"/>
  <c r="IQ12" i="3"/>
  <c r="IL12" i="3"/>
  <c r="IJ12" i="3"/>
  <c r="IG12" i="3"/>
  <c r="HW12" i="3"/>
  <c r="HU12" i="3"/>
  <c r="HP12" i="3"/>
  <c r="HN12" i="3"/>
  <c r="HK12" i="3"/>
  <c r="HA12" i="3"/>
  <c r="GY12" i="3"/>
  <c r="GV12" i="3"/>
  <c r="GL12" i="3"/>
  <c r="GJ12" i="3"/>
  <c r="GE12" i="3"/>
  <c r="GC12" i="3"/>
  <c r="FZ12" i="3"/>
  <c r="FP12" i="3"/>
  <c r="FN12" i="3"/>
  <c r="FI12" i="3"/>
  <c r="FG12" i="3"/>
  <c r="FD12" i="3"/>
  <c r="ET12" i="3"/>
  <c r="ER12" i="3"/>
  <c r="EE12" i="3"/>
  <c r="EC12" i="3"/>
  <c r="DX12" i="3"/>
  <c r="DV12" i="3"/>
  <c r="DI12" i="3"/>
  <c r="DG12" i="3"/>
  <c r="CT12" i="3"/>
  <c r="CR12" i="3"/>
  <c r="CE12" i="3"/>
  <c r="CC12" i="3"/>
  <c r="BP12" i="3"/>
  <c r="BN12" i="3"/>
  <c r="BI12" i="3"/>
  <c r="BG12" i="3"/>
  <c r="AS12" i="3"/>
  <c r="AQ12" i="3"/>
  <c r="AL12" i="3"/>
  <c r="AJ12" i="3"/>
  <c r="Q12" i="3"/>
  <c r="P12" i="3"/>
  <c r="OA11" i="3"/>
  <c r="NY11" i="3"/>
  <c r="NV11" i="3"/>
  <c r="NL11" i="3"/>
  <c r="NJ11" i="3"/>
  <c r="NG11" i="3"/>
  <c r="MY11" i="3"/>
  <c r="MQ11" i="3"/>
  <c r="MI11" i="3"/>
  <c r="MA11" i="3"/>
  <c r="LS11" i="3"/>
  <c r="LK11" i="3"/>
  <c r="LC11" i="3"/>
  <c r="KU11" i="3"/>
  <c r="KM11" i="3"/>
  <c r="KE11" i="3"/>
  <c r="JQ11" i="3"/>
  <c r="JO11" i="3"/>
  <c r="JH11" i="3"/>
  <c r="JF11" i="3"/>
  <c r="JC11" i="3"/>
  <c r="IS11" i="3"/>
  <c r="IQ11" i="3"/>
  <c r="IL11" i="3"/>
  <c r="IJ11" i="3"/>
  <c r="IG11" i="3"/>
  <c r="HW11" i="3"/>
  <c r="HU11" i="3"/>
  <c r="HP11" i="3"/>
  <c r="HN11" i="3"/>
  <c r="HK11" i="3"/>
  <c r="HA11" i="3"/>
  <c r="GY11" i="3"/>
  <c r="GV11" i="3"/>
  <c r="GL11" i="3"/>
  <c r="GJ11" i="3"/>
  <c r="GE11" i="3"/>
  <c r="GC11" i="3"/>
  <c r="FZ11" i="3"/>
  <c r="FP11" i="3"/>
  <c r="FN11" i="3"/>
  <c r="FI11" i="3"/>
  <c r="FG11" i="3"/>
  <c r="FD11" i="3"/>
  <c r="ET11" i="3"/>
  <c r="ER11" i="3"/>
  <c r="EE11" i="3"/>
  <c r="EC11" i="3"/>
  <c r="DX11" i="3"/>
  <c r="DV11" i="3"/>
  <c r="DI11" i="3"/>
  <c r="DG11" i="3"/>
  <c r="CT11" i="3"/>
  <c r="CR11" i="3"/>
  <c r="CE11" i="3"/>
  <c r="CC11" i="3"/>
  <c r="BP11" i="3"/>
  <c r="BN11" i="3"/>
  <c r="BI11" i="3"/>
  <c r="BG11" i="3"/>
  <c r="AS11" i="3"/>
  <c r="AQ11" i="3"/>
  <c r="AL11" i="3"/>
  <c r="AJ11" i="3"/>
  <c r="Q11" i="3"/>
  <c r="P11" i="3"/>
  <c r="NV10" i="3"/>
  <c r="NG10" i="3"/>
  <c r="MY10" i="3"/>
  <c r="MQ10" i="3"/>
  <c r="MI10" i="3"/>
  <c r="MA10" i="3"/>
  <c r="LS10" i="3"/>
  <c r="LK10" i="3"/>
  <c r="LC10" i="3"/>
  <c r="KU10" i="3"/>
  <c r="KM10" i="3"/>
  <c r="KE10" i="3"/>
  <c r="JC10" i="3"/>
  <c r="IG10" i="3"/>
  <c r="HK10" i="3"/>
  <c r="GV10" i="3"/>
  <c r="FZ10" i="3"/>
  <c r="FD10" i="3"/>
  <c r="Q10" i="3"/>
  <c r="P10" i="3"/>
  <c r="NV9" i="3"/>
  <c r="NG9" i="3"/>
  <c r="MY9" i="3"/>
  <c r="MQ9" i="3"/>
  <c r="MI9" i="3"/>
  <c r="MA9" i="3"/>
  <c r="LS9" i="3"/>
  <c r="LK9" i="3"/>
  <c r="LC9" i="3"/>
  <c r="KU9" i="3"/>
  <c r="KM9" i="3"/>
  <c r="KE9" i="3"/>
  <c r="JC9" i="3"/>
  <c r="IG9" i="3"/>
  <c r="HK9" i="3"/>
  <c r="GV9" i="3"/>
  <c r="FZ9" i="3"/>
  <c r="FD9" i="3"/>
  <c r="Q9" i="3"/>
  <c r="P9" i="3"/>
  <c r="C9" i="3"/>
  <c r="NV8" i="3"/>
  <c r="NG8" i="3"/>
  <c r="MY8" i="3"/>
  <c r="MQ8" i="3"/>
  <c r="MI8" i="3"/>
  <c r="MA8" i="3"/>
  <c r="LS8" i="3"/>
  <c r="LK8" i="3"/>
  <c r="LC8" i="3"/>
  <c r="KU8" i="3"/>
  <c r="KM8" i="3"/>
  <c r="KE8" i="3"/>
  <c r="JC8" i="3"/>
  <c r="IG8" i="3"/>
  <c r="HK8" i="3"/>
  <c r="GV8" i="3"/>
  <c r="FZ8" i="3"/>
  <c r="FD8" i="3"/>
  <c r="Q8" i="3"/>
  <c r="P8" i="3"/>
  <c r="H8" i="3"/>
  <c r="I8" i="3" s="1"/>
  <c r="NV7" i="3"/>
  <c r="NG7" i="3"/>
  <c r="MY7" i="3"/>
  <c r="MQ7" i="3"/>
  <c r="MI7" i="3"/>
  <c r="MA7" i="3"/>
  <c r="LS7" i="3"/>
  <c r="LK7" i="3"/>
  <c r="LC7" i="3"/>
  <c r="KU7" i="3"/>
  <c r="KM7" i="3"/>
  <c r="KE7" i="3"/>
  <c r="JC7" i="3"/>
  <c r="IG7" i="3"/>
  <c r="HK7" i="3"/>
  <c r="GV7" i="3"/>
  <c r="FZ7" i="3"/>
  <c r="FD7" i="3"/>
  <c r="Q7" i="3"/>
  <c r="P7" i="3"/>
  <c r="NV6" i="3"/>
  <c r="NG6" i="3"/>
  <c r="MY6" i="3"/>
  <c r="MQ6" i="3"/>
  <c r="MI6" i="3"/>
  <c r="MA6" i="3"/>
  <c r="LS6" i="3"/>
  <c r="LK6" i="3"/>
  <c r="LC6" i="3"/>
  <c r="KU6" i="3"/>
  <c r="KM6" i="3"/>
  <c r="KE6" i="3"/>
  <c r="JC6" i="3"/>
  <c r="IG6" i="3"/>
  <c r="HK6" i="3"/>
  <c r="GV6" i="3"/>
  <c r="FZ6" i="3"/>
  <c r="FD6" i="3"/>
  <c r="Q6" i="3"/>
  <c r="P6" i="3"/>
  <c r="NV5" i="3"/>
  <c r="NG5" i="3"/>
  <c r="MY5" i="3"/>
  <c r="MQ5" i="3"/>
  <c r="MI5" i="3"/>
  <c r="MA5" i="3"/>
  <c r="LS5" i="3"/>
  <c r="LK5" i="3"/>
  <c r="LC5" i="3"/>
  <c r="KU5" i="3"/>
  <c r="KM5" i="3"/>
  <c r="KE5" i="3"/>
  <c r="JC5" i="3"/>
  <c r="IG5" i="3"/>
  <c r="HK5" i="3"/>
  <c r="GV5" i="3"/>
  <c r="FZ5" i="3"/>
  <c r="FD5" i="3"/>
  <c r="Q5" i="3"/>
  <c r="P5" i="3"/>
  <c r="DR28" i="3" l="1"/>
  <c r="CN25" i="3"/>
  <c r="CN33" i="3"/>
  <c r="CI17" i="3"/>
  <c r="CI51" i="3"/>
  <c r="CQ93" i="3" s="1"/>
  <c r="CN32" i="3"/>
  <c r="DR24" i="3"/>
  <c r="DR29" i="3"/>
  <c r="DR23" i="3"/>
  <c r="CN24" i="3"/>
  <c r="CI5" i="3"/>
  <c r="CQ47" i="3" s="1"/>
  <c r="DM23" i="3"/>
  <c r="DN23" i="3" s="1"/>
  <c r="DV65" i="3" s="1"/>
  <c r="DM42" i="3"/>
  <c r="DO42" i="3" s="1"/>
  <c r="DW84" i="3" s="1"/>
  <c r="CN21" i="3"/>
  <c r="CN28" i="3"/>
  <c r="CN35" i="3"/>
  <c r="DM16" i="3"/>
  <c r="DU58" i="3" s="1"/>
  <c r="CI30" i="3"/>
  <c r="CJ30" i="3" s="1"/>
  <c r="CR72" i="3" s="1"/>
  <c r="CI31" i="3"/>
  <c r="CQ73" i="3" s="1"/>
  <c r="CN34" i="3"/>
  <c r="CI29" i="3"/>
  <c r="CQ71" i="3" s="1"/>
  <c r="CI34" i="3"/>
  <c r="CQ76" i="3" s="1"/>
  <c r="CI25" i="3"/>
  <c r="CJ25" i="3" s="1"/>
  <c r="CR67" i="3" s="1"/>
  <c r="DM13" i="3"/>
  <c r="DU55" i="3" s="1"/>
  <c r="CI50" i="3"/>
  <c r="CL50" i="3" s="1"/>
  <c r="CT92" i="3" s="1"/>
  <c r="CI15" i="3"/>
  <c r="CQ57" i="3" s="1"/>
  <c r="CI18" i="3"/>
  <c r="CQ60" i="3" s="1"/>
  <c r="DM30" i="3"/>
  <c r="DP30" i="3" s="1"/>
  <c r="DX72" i="3" s="1"/>
  <c r="DM5" i="3"/>
  <c r="DU47" i="3" s="1"/>
  <c r="DM43" i="3"/>
  <c r="DN43" i="3" s="1"/>
  <c r="DV85" i="3" s="1"/>
  <c r="DM17" i="3"/>
  <c r="DU59" i="3" s="1"/>
  <c r="DR36" i="3"/>
  <c r="DM55" i="3"/>
  <c r="DP55" i="3" s="1"/>
  <c r="DX97" i="3" s="1"/>
  <c r="HK14" i="3"/>
  <c r="G9" i="3"/>
  <c r="H9" i="3" s="1"/>
  <c r="G10" i="3" s="1"/>
  <c r="CI36" i="3"/>
  <c r="CQ78" i="3" s="1"/>
  <c r="DM12" i="3"/>
  <c r="DU54" i="3" s="1"/>
  <c r="DM29" i="3"/>
  <c r="DO29" i="3" s="1"/>
  <c r="DM19" i="3"/>
  <c r="DU61" i="3" s="1"/>
  <c r="CI22" i="3"/>
  <c r="CQ64" i="3" s="1"/>
  <c r="DM37" i="3"/>
  <c r="DP37" i="3" s="1"/>
  <c r="EE81" i="3" s="1"/>
  <c r="DM20" i="3"/>
  <c r="DU62" i="3" s="1"/>
  <c r="CI27" i="3"/>
  <c r="CQ69" i="3" s="1"/>
  <c r="CI42" i="3"/>
  <c r="CK42" i="3" s="1"/>
  <c r="CS84" i="3" s="1"/>
  <c r="CI9" i="3"/>
  <c r="CQ51" i="3" s="1"/>
  <c r="KE12" i="3"/>
  <c r="CN31" i="3"/>
  <c r="CI7" i="3"/>
  <c r="CQ49" i="3" s="1"/>
  <c r="DM7" i="3"/>
  <c r="DU49" i="3" s="1"/>
  <c r="CN22" i="3"/>
  <c r="CI23" i="3"/>
  <c r="CJ23" i="3" s="1"/>
  <c r="CR65" i="3" s="1"/>
  <c r="DM27" i="3"/>
  <c r="DP27" i="3" s="1"/>
  <c r="EE71" i="3" s="1"/>
  <c r="DR34" i="3"/>
  <c r="DM25" i="3"/>
  <c r="DP25" i="3" s="1"/>
  <c r="EE69" i="3" s="1"/>
  <c r="DM35" i="3"/>
  <c r="DN35" i="3" s="1"/>
  <c r="CI39" i="3"/>
  <c r="CK39" i="3" s="1"/>
  <c r="CS81" i="3" s="1"/>
  <c r="DM9" i="3"/>
  <c r="DU51" i="3" s="1"/>
  <c r="DR31" i="3"/>
  <c r="CI41" i="3"/>
  <c r="CQ83" i="3" s="1"/>
  <c r="DR27" i="3"/>
  <c r="CN27" i="3"/>
  <c r="DR30" i="3"/>
  <c r="DM21" i="3"/>
  <c r="DN21" i="3" s="1"/>
  <c r="DR33" i="3"/>
  <c r="DM39" i="3"/>
  <c r="DN39" i="3" s="1"/>
  <c r="MI12" i="3"/>
  <c r="IG15" i="3"/>
  <c r="DR32" i="3"/>
  <c r="G47" i="3"/>
  <c r="H46" i="3" s="1"/>
  <c r="CJ51" i="3"/>
  <c r="CR93" i="3" s="1"/>
  <c r="DM10" i="3"/>
  <c r="DU52" i="3" s="1"/>
  <c r="CI19" i="3"/>
  <c r="CQ61" i="3" s="1"/>
  <c r="CI14" i="3"/>
  <c r="CQ56" i="3" s="1"/>
  <c r="CN29" i="3"/>
  <c r="CI33" i="3"/>
  <c r="CI44" i="3"/>
  <c r="CI48" i="3"/>
  <c r="CJ48" i="3" s="1"/>
  <c r="CR90" i="3" s="1"/>
  <c r="CI52" i="3"/>
  <c r="CJ52" i="3" s="1"/>
  <c r="CR94" i="3" s="1"/>
  <c r="AA6" i="3"/>
  <c r="AC6" i="3" s="1"/>
  <c r="AY5" i="3"/>
  <c r="BH47" i="3" s="1"/>
  <c r="CI10" i="3"/>
  <c r="CQ52" i="3" s="1"/>
  <c r="CI11" i="3"/>
  <c r="CQ53" i="3" s="1"/>
  <c r="CI28" i="3"/>
  <c r="CK28" i="3" s="1"/>
  <c r="CS70" i="3" s="1"/>
  <c r="NV16" i="3"/>
  <c r="DM15" i="3"/>
  <c r="DU57" i="3" s="1"/>
  <c r="DM22" i="3"/>
  <c r="DU64" i="3" s="1"/>
  <c r="CL51" i="3"/>
  <c r="CT93" i="3" s="1"/>
  <c r="MA12" i="3"/>
  <c r="CI8" i="3"/>
  <c r="CQ50" i="3" s="1"/>
  <c r="CI26" i="3"/>
  <c r="CJ26" i="3" s="1"/>
  <c r="CR68" i="3" s="1"/>
  <c r="DM31" i="3"/>
  <c r="DP31" i="3" s="1"/>
  <c r="DX73" i="3" s="1"/>
  <c r="DM8" i="3"/>
  <c r="DU50" i="3" s="1"/>
  <c r="DR22" i="3"/>
  <c r="CN26" i="3"/>
  <c r="CI20" i="3"/>
  <c r="CQ62" i="3" s="1"/>
  <c r="DM26" i="3"/>
  <c r="DU68" i="3" s="1"/>
  <c r="DM36" i="3"/>
  <c r="DN36" i="3" s="1"/>
  <c r="DN48" i="3"/>
  <c r="EC92" i="3" s="1"/>
  <c r="DM52" i="3"/>
  <c r="DP52" i="3" s="1"/>
  <c r="MQ12" i="3"/>
  <c r="MY13" i="3"/>
  <c r="CI37" i="3"/>
  <c r="CL37" i="3" s="1"/>
  <c r="CT79" i="3" s="1"/>
  <c r="CK51" i="3"/>
  <c r="CS93" i="3" s="1"/>
  <c r="CI6" i="3"/>
  <c r="CQ48" i="3" s="1"/>
  <c r="CI12" i="3"/>
  <c r="CQ54" i="3" s="1"/>
  <c r="CI13" i="3"/>
  <c r="CQ55" i="3" s="1"/>
  <c r="CI24" i="3"/>
  <c r="CJ24" i="3" s="1"/>
  <c r="CR66" i="3" s="1"/>
  <c r="DM6" i="3"/>
  <c r="DU48" i="3" s="1"/>
  <c r="LC14" i="3"/>
  <c r="DM11" i="3"/>
  <c r="DU53" i="3" s="1"/>
  <c r="CI16" i="3"/>
  <c r="CQ58" i="3" s="1"/>
  <c r="CI21" i="3"/>
  <c r="CJ21" i="3" s="1"/>
  <c r="CR63" i="3" s="1"/>
  <c r="DM32" i="3"/>
  <c r="DO32" i="3" s="1"/>
  <c r="CI38" i="3"/>
  <c r="CL38" i="3" s="1"/>
  <c r="CT80" i="3" s="1"/>
  <c r="CI54" i="3"/>
  <c r="CK54" i="3" s="1"/>
  <c r="CS96" i="3" s="1"/>
  <c r="DX90" i="3"/>
  <c r="EE92" i="3"/>
  <c r="AB5" i="3"/>
  <c r="CK46" i="3"/>
  <c r="CS88" i="3" s="1"/>
  <c r="CL46" i="3"/>
  <c r="CT88" i="3" s="1"/>
  <c r="CQ88" i="3"/>
  <c r="FD16" i="3"/>
  <c r="FZ18" i="3"/>
  <c r="AZ5" i="3"/>
  <c r="GV13" i="3"/>
  <c r="CJ46" i="3"/>
  <c r="CR88" i="3" s="1"/>
  <c r="NG15" i="3"/>
  <c r="AC5" i="3"/>
  <c r="LK18" i="3"/>
  <c r="JC15" i="3"/>
  <c r="DR25" i="3"/>
  <c r="AD5" i="3"/>
  <c r="AW6" i="3"/>
  <c r="CQ59" i="3"/>
  <c r="KM17" i="3"/>
  <c r="LS14" i="3"/>
  <c r="EB92" i="3"/>
  <c r="DU90" i="3"/>
  <c r="DO48" i="3"/>
  <c r="AX5" i="3"/>
  <c r="CN30" i="3"/>
  <c r="KU16" i="3"/>
  <c r="CN23" i="3"/>
  <c r="DM53" i="3"/>
  <c r="DM54" i="3"/>
  <c r="DM44" i="3"/>
  <c r="DM41" i="3"/>
  <c r="DM46" i="3"/>
  <c r="DM38" i="3"/>
  <c r="DM47" i="3"/>
  <c r="DM51" i="3"/>
  <c r="DM50" i="3"/>
  <c r="DM56" i="3"/>
  <c r="G54" i="3"/>
  <c r="DM57" i="3"/>
  <c r="DM49" i="3"/>
  <c r="DM18" i="3"/>
  <c r="DM34" i="3"/>
  <c r="DM40" i="3"/>
  <c r="DM28" i="3"/>
  <c r="DM33" i="3"/>
  <c r="DM14" i="3"/>
  <c r="DM45" i="3"/>
  <c r="DM24" i="3"/>
  <c r="CQ91" i="3"/>
  <c r="CL49" i="3"/>
  <c r="CT91" i="3" s="1"/>
  <c r="CJ49" i="3"/>
  <c r="CR91" i="3" s="1"/>
  <c r="CK49" i="3"/>
  <c r="CS91" i="3" s="1"/>
  <c r="DR26" i="3"/>
  <c r="G20" i="3"/>
  <c r="DR35" i="3"/>
  <c r="CI53" i="3"/>
  <c r="I49" i="3"/>
  <c r="CI45" i="3"/>
  <c r="CI43" i="3"/>
  <c r="CI40" i="3"/>
  <c r="CI47" i="3"/>
  <c r="CI35" i="3"/>
  <c r="CI32" i="3"/>
  <c r="CI56" i="3"/>
  <c r="CI55" i="3"/>
  <c r="CI57" i="3"/>
  <c r="I47" i="3"/>
  <c r="I4" i="2"/>
  <c r="I5" i="2"/>
  <c r="I6" i="2"/>
  <c r="I7" i="2"/>
  <c r="I8" i="2"/>
  <c r="I3" i="2"/>
  <c r="N21" i="2"/>
  <c r="N20" i="2"/>
  <c r="N18" i="2"/>
  <c r="N19" i="2"/>
  <c r="P19" i="2"/>
  <c r="EE74" i="3" l="1"/>
  <c r="DO30" i="3"/>
  <c r="DU72" i="3"/>
  <c r="DU65" i="3"/>
  <c r="DP42" i="3"/>
  <c r="DU84" i="3"/>
  <c r="DO23" i="3"/>
  <c r="DW65" i="3" s="1"/>
  <c r="DP23" i="3"/>
  <c r="EC67" i="3" s="1"/>
  <c r="DU63" i="3"/>
  <c r="CL23" i="3"/>
  <c r="CT65" i="3" s="1"/>
  <c r="CQ65" i="3"/>
  <c r="CK34" i="3"/>
  <c r="CS76" i="3" s="1"/>
  <c r="DO22" i="3"/>
  <c r="DW64" i="3" s="1"/>
  <c r="CJ34" i="3"/>
  <c r="CR76" i="3" s="1"/>
  <c r="CL34" i="3"/>
  <c r="CT76" i="3" s="1"/>
  <c r="CK25" i="3"/>
  <c r="CS67" i="3" s="1"/>
  <c r="CK23" i="3"/>
  <c r="CS65" i="3" s="1"/>
  <c r="CK29" i="3"/>
  <c r="CS71" i="3" s="1"/>
  <c r="EB69" i="3"/>
  <c r="EB74" i="3"/>
  <c r="CQ67" i="3"/>
  <c r="EB71" i="3"/>
  <c r="CK26" i="3"/>
  <c r="CS68" i="3" s="1"/>
  <c r="DO27" i="3"/>
  <c r="DW69" i="3" s="1"/>
  <c r="CL25" i="3"/>
  <c r="CT67" i="3" s="1"/>
  <c r="CL52" i="3"/>
  <c r="CT94" i="3" s="1"/>
  <c r="CL30" i="3"/>
  <c r="CT72" i="3" s="1"/>
  <c r="CK30" i="3"/>
  <c r="CS72" i="3" s="1"/>
  <c r="DU67" i="3"/>
  <c r="CQ72" i="3"/>
  <c r="DN42" i="3"/>
  <c r="DV84" i="3" s="1"/>
  <c r="CJ50" i="3"/>
  <c r="CR92" i="3" s="1"/>
  <c r="DP29" i="3"/>
  <c r="ED73" i="3" s="1"/>
  <c r="CQ94" i="3"/>
  <c r="CK50" i="3"/>
  <c r="CS92" i="3" s="1"/>
  <c r="DO21" i="3"/>
  <c r="DW63" i="3" s="1"/>
  <c r="DP21" i="3"/>
  <c r="EB65" i="3" s="1"/>
  <c r="DU71" i="3"/>
  <c r="CJ31" i="3"/>
  <c r="CR73" i="3" s="1"/>
  <c r="CL31" i="3"/>
  <c r="CT73" i="3" s="1"/>
  <c r="DU81" i="3"/>
  <c r="CL42" i="3"/>
  <c r="CT84" i="3" s="1"/>
  <c r="EB99" i="3"/>
  <c r="DO39" i="3"/>
  <c r="DW81" i="3" s="1"/>
  <c r="CQ84" i="3"/>
  <c r="EE99" i="3"/>
  <c r="CL22" i="3"/>
  <c r="CT64" i="3" s="1"/>
  <c r="CQ92" i="3"/>
  <c r="CL36" i="3"/>
  <c r="CT78" i="3" s="1"/>
  <c r="CJ41" i="3"/>
  <c r="CR83" i="3" s="1"/>
  <c r="DN30" i="3"/>
  <c r="DV72" i="3" s="1"/>
  <c r="DN26" i="3"/>
  <c r="DV68" i="3" s="1"/>
  <c r="AB6" i="3"/>
  <c r="CL41" i="3"/>
  <c r="CT83" i="3" s="1"/>
  <c r="CJ28" i="3"/>
  <c r="CR70" i="3" s="1"/>
  <c r="DN22" i="3"/>
  <c r="DV64" i="3" s="1"/>
  <c r="DP39" i="3"/>
  <c r="EB83" i="3" s="1"/>
  <c r="AI48" i="3"/>
  <c r="DO25" i="3"/>
  <c r="ED69" i="3" s="1"/>
  <c r="CJ22" i="3"/>
  <c r="CR64" i="3" s="1"/>
  <c r="CK31" i="3"/>
  <c r="CS73" i="3" s="1"/>
  <c r="CQ70" i="3"/>
  <c r="DO37" i="3"/>
  <c r="ED81" i="3" s="1"/>
  <c r="DX79" i="3"/>
  <c r="CJ27" i="3"/>
  <c r="CR69" i="3" s="1"/>
  <c r="DU85" i="3"/>
  <c r="CQ81" i="3"/>
  <c r="CL29" i="3"/>
  <c r="CT71" i="3" s="1"/>
  <c r="EB81" i="3"/>
  <c r="CQ79" i="3"/>
  <c r="CJ42" i="3"/>
  <c r="CR84" i="3" s="1"/>
  <c r="CL27" i="3"/>
  <c r="CT69" i="3" s="1"/>
  <c r="CK41" i="3"/>
  <c r="CS83" i="3" s="1"/>
  <c r="CJ39" i="3"/>
  <c r="CR81" i="3" s="1"/>
  <c r="DN37" i="3"/>
  <c r="EC81" i="3" s="1"/>
  <c r="CJ38" i="3"/>
  <c r="CR80" i="3" s="1"/>
  <c r="DU79" i="3"/>
  <c r="CK22" i="3"/>
  <c r="CS64" i="3" s="1"/>
  <c r="CJ29" i="3"/>
  <c r="CR71" i="3" s="1"/>
  <c r="CQ68" i="3"/>
  <c r="DN32" i="3"/>
  <c r="EE75" i="3"/>
  <c r="DP32" i="3"/>
  <c r="EB76" i="3" s="1"/>
  <c r="CQ96" i="3"/>
  <c r="DU74" i="3"/>
  <c r="CK27" i="3"/>
  <c r="CS69" i="3" s="1"/>
  <c r="DP22" i="3"/>
  <c r="DO43" i="3"/>
  <c r="DO35" i="3"/>
  <c r="DX69" i="3"/>
  <c r="DP43" i="3"/>
  <c r="EB87" i="3" s="1"/>
  <c r="DP35" i="3"/>
  <c r="EB79" i="3" s="1"/>
  <c r="CL26" i="3"/>
  <c r="CT68" i="3" s="1"/>
  <c r="DU77" i="3"/>
  <c r="DX67" i="3"/>
  <c r="CQ63" i="3"/>
  <c r="DO55" i="3"/>
  <c r="ED99" i="3" s="1"/>
  <c r="CL39" i="3"/>
  <c r="CT81" i="3" s="1"/>
  <c r="AD6" i="3"/>
  <c r="AP50" i="3" s="1"/>
  <c r="CK36" i="3"/>
  <c r="CS78" i="3" s="1"/>
  <c r="DN27" i="3"/>
  <c r="EC71" i="3" s="1"/>
  <c r="DN31" i="3"/>
  <c r="EC75" i="3" s="1"/>
  <c r="DN55" i="3"/>
  <c r="EC99" i="3" s="1"/>
  <c r="DN29" i="3"/>
  <c r="DU97" i="3"/>
  <c r="CK52" i="3"/>
  <c r="CS94" i="3" s="1"/>
  <c r="AA7" i="3"/>
  <c r="AB7" i="3" s="1"/>
  <c r="CJ36" i="3"/>
  <c r="CR78" i="3" s="1"/>
  <c r="DN25" i="3"/>
  <c r="EC69" i="3" s="1"/>
  <c r="DU69" i="3"/>
  <c r="CQ75" i="3"/>
  <c r="CK33" i="3"/>
  <c r="CS75" i="3" s="1"/>
  <c r="CJ33" i="3"/>
  <c r="CR75" i="3" s="1"/>
  <c r="DP36" i="3"/>
  <c r="EB80" i="3" s="1"/>
  <c r="EB96" i="3"/>
  <c r="DU94" i="3"/>
  <c r="CQ86" i="3"/>
  <c r="CL44" i="3"/>
  <c r="CT86" i="3" s="1"/>
  <c r="CK44" i="3"/>
  <c r="CS86" i="3" s="1"/>
  <c r="CJ44" i="3"/>
  <c r="CR86" i="3" s="1"/>
  <c r="CJ37" i="3"/>
  <c r="CR79" i="3" s="1"/>
  <c r="DO36" i="3"/>
  <c r="CQ80" i="3"/>
  <c r="DO26" i="3"/>
  <c r="DW68" i="3" s="1"/>
  <c r="CK37" i="3"/>
  <c r="CS79" i="3" s="1"/>
  <c r="DN52" i="3"/>
  <c r="DV94" i="3" s="1"/>
  <c r="DU78" i="3"/>
  <c r="DO31" i="3"/>
  <c r="ED75" i="3" s="1"/>
  <c r="CQ90" i="3"/>
  <c r="EB75" i="3"/>
  <c r="CL54" i="3"/>
  <c r="CT96" i="3" s="1"/>
  <c r="CQ66" i="3"/>
  <c r="CK24" i="3"/>
  <c r="CS66" i="3" s="1"/>
  <c r="CL24" i="3"/>
  <c r="CT66" i="3" s="1"/>
  <c r="CK48" i="3"/>
  <c r="CS90" i="3" s="1"/>
  <c r="DV90" i="3"/>
  <c r="CL48" i="3"/>
  <c r="CT90" i="3" s="1"/>
  <c r="DP26" i="3"/>
  <c r="DO52" i="3"/>
  <c r="ED96" i="3" s="1"/>
  <c r="CK21" i="3"/>
  <c r="CS63" i="3" s="1"/>
  <c r="CL21" i="3"/>
  <c r="CT63" i="3" s="1"/>
  <c r="DU73" i="3"/>
  <c r="CJ54" i="3"/>
  <c r="CR96" i="3" s="1"/>
  <c r="CL33" i="3"/>
  <c r="CT75" i="3" s="1"/>
  <c r="CL28" i="3"/>
  <c r="CT70" i="3" s="1"/>
  <c r="CK38" i="3"/>
  <c r="CS80" i="3" s="1"/>
  <c r="EB86" i="3"/>
  <c r="CL55" i="3"/>
  <c r="CT97" i="3" s="1"/>
  <c r="CQ97" i="3"/>
  <c r="CK55" i="3"/>
  <c r="CS97" i="3" s="1"/>
  <c r="CJ55" i="3"/>
  <c r="CR97" i="3" s="1"/>
  <c r="CQ98" i="3"/>
  <c r="CL56" i="3"/>
  <c r="CT98" i="3" s="1"/>
  <c r="CJ56" i="3"/>
  <c r="CR98" i="3" s="1"/>
  <c r="CK56" i="3"/>
  <c r="CS98" i="3" s="1"/>
  <c r="AR49" i="3"/>
  <c r="AK47" i="3"/>
  <c r="CQ77" i="3"/>
  <c r="CL35" i="3"/>
  <c r="CT77" i="3" s="1"/>
  <c r="CJ35" i="3"/>
  <c r="CR77" i="3" s="1"/>
  <c r="CK35" i="3"/>
  <c r="CS77" i="3" s="1"/>
  <c r="H20" i="3"/>
  <c r="G21" i="3" s="1"/>
  <c r="DU66" i="3"/>
  <c r="DP24" i="3"/>
  <c r="DO24" i="3"/>
  <c r="DN24" i="3"/>
  <c r="DU88" i="3"/>
  <c r="DN46" i="3"/>
  <c r="DP46" i="3"/>
  <c r="DO46" i="3"/>
  <c r="DV81" i="3"/>
  <c r="CQ89" i="3"/>
  <c r="CL47" i="3"/>
  <c r="CT89" i="3" s="1"/>
  <c r="CK47" i="3"/>
  <c r="CS89" i="3" s="1"/>
  <c r="CJ47" i="3"/>
  <c r="CR89" i="3" s="1"/>
  <c r="DU87" i="3"/>
  <c r="DP45" i="3"/>
  <c r="EB89" i="3" s="1"/>
  <c r="DO45" i="3"/>
  <c r="DN45" i="3"/>
  <c r="DU83" i="3"/>
  <c r="DO41" i="3"/>
  <c r="DN41" i="3"/>
  <c r="DP41" i="3"/>
  <c r="EB85" i="3" s="1"/>
  <c r="S345" i="3" a="1"/>
  <c r="S345" i="3" s="1"/>
  <c r="U345" i="3" s="1"/>
  <c r="S340" i="3" a="1"/>
  <c r="S340" i="3" s="1"/>
  <c r="U340" i="3" s="1"/>
  <c r="S324" i="3" a="1"/>
  <c r="S324" i="3" s="1"/>
  <c r="U324" i="3" s="1"/>
  <c r="S308" i="3" a="1"/>
  <c r="S308" i="3" s="1"/>
  <c r="S292" i="3" a="1"/>
  <c r="S292" i="3" s="1"/>
  <c r="S350" i="3" a="1"/>
  <c r="S350" i="3" s="1"/>
  <c r="U350" i="3" s="1"/>
  <c r="S335" i="3" a="1"/>
  <c r="S335" i="3" s="1"/>
  <c r="U335" i="3" s="1"/>
  <c r="S319" i="3" a="1"/>
  <c r="S319" i="3" s="1"/>
  <c r="U319" i="3" s="1"/>
  <c r="S303" i="3" a="1"/>
  <c r="S303" i="3" s="1"/>
  <c r="S287" i="3" a="1"/>
  <c r="S287" i="3" s="1"/>
  <c r="S353" i="3" a="1"/>
  <c r="S353" i="3" s="1"/>
  <c r="U353" i="3" s="1"/>
  <c r="S332" i="3" a="1"/>
  <c r="S332" i="3" s="1"/>
  <c r="U332" i="3" s="1"/>
  <c r="S316" i="3" a="1"/>
  <c r="S316" i="3" s="1"/>
  <c r="S300" i="3" a="1"/>
  <c r="S300" i="3" s="1"/>
  <c r="S343" i="3" a="1"/>
  <c r="S343" i="3" s="1"/>
  <c r="U343" i="3" s="1"/>
  <c r="S327" i="3" a="1"/>
  <c r="S327" i="3" s="1"/>
  <c r="U327" i="3" s="1"/>
  <c r="S311" i="3" a="1"/>
  <c r="S311" i="3" s="1"/>
  <c r="S295" i="3" a="1"/>
  <c r="S295" i="3" s="1"/>
  <c r="S347" i="3" a="1"/>
  <c r="S347" i="3" s="1"/>
  <c r="U347" i="3" s="1"/>
  <c r="S304" i="3" a="1"/>
  <c r="S304" i="3" s="1"/>
  <c r="S290" i="3" a="1"/>
  <c r="S290" i="3" s="1"/>
  <c r="S344" i="3" a="1"/>
  <c r="S344" i="3" s="1"/>
  <c r="U344" i="3" s="1"/>
  <c r="S329" i="3" a="1"/>
  <c r="S329" i="3" s="1"/>
  <c r="U329" i="3" s="1"/>
  <c r="S318" i="3" a="1"/>
  <c r="S318" i="3" s="1"/>
  <c r="U318" i="3" s="1"/>
  <c r="S307" i="3" a="1"/>
  <c r="S307" i="3" s="1"/>
  <c r="S293" i="3" a="1"/>
  <c r="S293" i="3" s="1"/>
  <c r="S355" i="3" a="1"/>
  <c r="S355" i="3" s="1"/>
  <c r="U355" i="3" s="1"/>
  <c r="S296" i="3" a="1"/>
  <c r="S296" i="3" s="1"/>
  <c r="S352" i="3" a="1"/>
  <c r="S352" i="3" s="1"/>
  <c r="U352" i="3" s="1"/>
  <c r="S321" i="3" a="1"/>
  <c r="S321" i="3" s="1"/>
  <c r="U321" i="3" s="1"/>
  <c r="S310" i="3" a="1"/>
  <c r="S310" i="3" s="1"/>
  <c r="S299" i="3" a="1"/>
  <c r="S299" i="3" s="1"/>
  <c r="S336" i="3" a="1"/>
  <c r="S336" i="3" s="1"/>
  <c r="U336" i="3" s="1"/>
  <c r="S322" i="3" a="1"/>
  <c r="S322" i="3" s="1"/>
  <c r="U322" i="3" s="1"/>
  <c r="S351" i="3" a="1"/>
  <c r="S351" i="3" s="1"/>
  <c r="U351" i="3" s="1"/>
  <c r="S339" i="3" a="1"/>
  <c r="S339" i="3" s="1"/>
  <c r="U339" i="3" s="1"/>
  <c r="S325" i="3" a="1"/>
  <c r="S325" i="3" s="1"/>
  <c r="U325" i="3" s="1"/>
  <c r="S302" i="3" a="1"/>
  <c r="S302" i="3" s="1"/>
  <c r="S349" i="3" a="1"/>
  <c r="S349" i="3" s="1"/>
  <c r="U349" i="3" s="1"/>
  <c r="S323" i="3" a="1"/>
  <c r="S323" i="3" s="1"/>
  <c r="U323" i="3" s="1"/>
  <c r="S298" i="3" a="1"/>
  <c r="S298" i="3" s="1"/>
  <c r="S306" i="3" a="1"/>
  <c r="S306" i="3" s="1"/>
  <c r="S342" i="3" a="1"/>
  <c r="S342" i="3" s="1"/>
  <c r="U342" i="3" s="1"/>
  <c r="S357" i="3" a="1"/>
  <c r="S357" i="3" s="1"/>
  <c r="U357" i="3" s="1"/>
  <c r="S297" i="3" a="1"/>
  <c r="S297" i="3" s="1"/>
  <c r="S337" i="3" a="1"/>
  <c r="S337" i="3" s="1"/>
  <c r="U337" i="3" s="1"/>
  <c r="S331" i="3" a="1"/>
  <c r="S331" i="3" s="1"/>
  <c r="U331" i="3" s="1"/>
  <c r="S314" i="3" a="1"/>
  <c r="S314" i="3" s="1"/>
  <c r="S294" i="3" a="1"/>
  <c r="S294" i="3" s="1"/>
  <c r="S291" i="3" a="1"/>
  <c r="S291" i="3" s="1"/>
  <c r="S288" i="3" a="1"/>
  <c r="S288" i="3" s="1"/>
  <c r="S341" i="3" a="1"/>
  <c r="S341" i="3" s="1"/>
  <c r="U341" i="3" s="1"/>
  <c r="S328" i="3" a="1"/>
  <c r="S328" i="3" s="1"/>
  <c r="U328" i="3" s="1"/>
  <c r="S305" i="3" a="1"/>
  <c r="S305" i="3" s="1"/>
  <c r="S313" i="3" a="1"/>
  <c r="S313" i="3" s="1"/>
  <c r="S346" i="3" a="1"/>
  <c r="S346" i="3" s="1"/>
  <c r="U346" i="3" s="1"/>
  <c r="S301" i="3" a="1"/>
  <c r="S301" i="3" s="1"/>
  <c r="S348" i="3" a="1"/>
  <c r="S348" i="3" s="1"/>
  <c r="U348" i="3" s="1"/>
  <c r="S338" i="3" a="1"/>
  <c r="S338" i="3" s="1"/>
  <c r="U338" i="3" s="1"/>
  <c r="S286" i="3" a="1"/>
  <c r="S286" i="3" s="1"/>
  <c r="S356" i="3" a="1"/>
  <c r="S356" i="3" s="1"/>
  <c r="U356" i="3" s="1"/>
  <c r="S330" i="3" a="1"/>
  <c r="S330" i="3" s="1"/>
  <c r="U330" i="3" s="1"/>
  <c r="S309" i="3" a="1"/>
  <c r="S309" i="3" s="1"/>
  <c r="S354" i="3" a="1"/>
  <c r="S354" i="3" s="1"/>
  <c r="U354" i="3" s="1"/>
  <c r="S326" i="3" a="1"/>
  <c r="S326" i="3" s="1"/>
  <c r="U326" i="3" s="1"/>
  <c r="S312" i="3" a="1"/>
  <c r="S312" i="3" s="1"/>
  <c r="S334" i="3" a="1"/>
  <c r="S334" i="3" s="1"/>
  <c r="U334" i="3" s="1"/>
  <c r="S289" i="3" a="1"/>
  <c r="S289" i="3" s="1"/>
  <c r="S317" i="3" a="1"/>
  <c r="S317" i="3" s="1"/>
  <c r="S315" i="3" a="1"/>
  <c r="S315" i="3" s="1"/>
  <c r="I54" i="3"/>
  <c r="S333" i="3" a="1"/>
  <c r="S333" i="3" s="1"/>
  <c r="U333" i="3" s="1"/>
  <c r="S320" i="3" a="1"/>
  <c r="S320" i="3" s="1"/>
  <c r="U320" i="3" s="1"/>
  <c r="H53" i="3"/>
  <c r="S260" i="3" s="1" a="1"/>
  <c r="S260" i="3" s="1"/>
  <c r="U260" i="3" s="1"/>
  <c r="CK57" i="3"/>
  <c r="CS99" i="3" s="1"/>
  <c r="CJ57" i="3"/>
  <c r="CR99" i="3" s="1"/>
  <c r="CQ99" i="3"/>
  <c r="CL57" i="3"/>
  <c r="CT99" i="3" s="1"/>
  <c r="BF48" i="3"/>
  <c r="AZ6" i="3"/>
  <c r="BM50" i="3" s="1"/>
  <c r="AX6" i="3"/>
  <c r="AW7" i="3"/>
  <c r="AY6" i="3"/>
  <c r="CQ74" i="3"/>
  <c r="CL32" i="3"/>
  <c r="CT74" i="3" s="1"/>
  <c r="CK32" i="3"/>
  <c r="CS74" i="3" s="1"/>
  <c r="CJ32" i="3"/>
  <c r="CR74" i="3" s="1"/>
  <c r="DU86" i="3"/>
  <c r="DP44" i="3"/>
  <c r="EB88" i="3" s="1"/>
  <c r="DO44" i="3"/>
  <c r="DN44" i="3"/>
  <c r="DU70" i="3"/>
  <c r="DO28" i="3"/>
  <c r="DN28" i="3"/>
  <c r="DP28" i="3"/>
  <c r="EB72" i="3" s="1"/>
  <c r="BM49" i="3"/>
  <c r="BP49" i="3"/>
  <c r="BI47" i="3"/>
  <c r="ED74" i="3"/>
  <c r="DW72" i="3"/>
  <c r="DP40" i="3"/>
  <c r="EB84" i="3" s="1"/>
  <c r="DO40" i="3"/>
  <c r="DU82" i="3"/>
  <c r="DN40" i="3"/>
  <c r="DO50" i="3"/>
  <c r="DN50" i="3"/>
  <c r="DU92" i="3"/>
  <c r="DP50" i="3"/>
  <c r="EB94" i="3" s="1"/>
  <c r="DP47" i="3"/>
  <c r="EB91" i="3" s="1"/>
  <c r="DO47" i="3"/>
  <c r="DN47" i="3"/>
  <c r="DU89" i="3"/>
  <c r="DV77" i="3"/>
  <c r="DU95" i="3"/>
  <c r="DP53" i="3"/>
  <c r="EB97" i="3" s="1"/>
  <c r="DO53" i="3"/>
  <c r="DN53" i="3"/>
  <c r="CQ95" i="3"/>
  <c r="CL53" i="3"/>
  <c r="CT95" i="3" s="1"/>
  <c r="CK53" i="3"/>
  <c r="CS95" i="3" s="1"/>
  <c r="CJ53" i="3"/>
  <c r="CR95" i="3" s="1"/>
  <c r="DU76" i="3"/>
  <c r="DN34" i="3"/>
  <c r="DO34" i="3"/>
  <c r="DP34" i="3"/>
  <c r="EB78" i="3" s="1"/>
  <c r="BN49" i="3"/>
  <c r="BG47" i="3"/>
  <c r="DO56" i="3"/>
  <c r="DP56" i="3"/>
  <c r="EB100" i="3" s="1"/>
  <c r="DN56" i="3"/>
  <c r="DU98" i="3"/>
  <c r="ED92" i="3"/>
  <c r="DW90" i="3"/>
  <c r="DV78" i="3"/>
  <c r="CJ40" i="3"/>
  <c r="CR82" i="3" s="1"/>
  <c r="CQ82" i="3"/>
  <c r="CL40" i="3"/>
  <c r="CT82" i="3" s="1"/>
  <c r="CK40" i="3"/>
  <c r="CS82" i="3" s="1"/>
  <c r="CQ85" i="3"/>
  <c r="CJ43" i="3"/>
  <c r="CR85" i="3" s="1"/>
  <c r="CL43" i="3"/>
  <c r="CT85" i="3" s="1"/>
  <c r="CK43" i="3"/>
  <c r="CS85" i="3" s="1"/>
  <c r="AK48" i="3"/>
  <c r="DU60" i="3"/>
  <c r="EE96" i="3"/>
  <c r="DX94" i="3"/>
  <c r="DX84" i="3"/>
  <c r="EE86" i="3"/>
  <c r="DV63" i="3"/>
  <c r="DU93" i="3"/>
  <c r="DO51" i="3"/>
  <c r="DN51" i="3"/>
  <c r="DP51" i="3"/>
  <c r="EB95" i="3" s="1"/>
  <c r="ED86" i="3"/>
  <c r="BT56" i="3"/>
  <c r="BT51" i="3"/>
  <c r="BT50" i="3"/>
  <c r="BT57" i="3"/>
  <c r="H49" i="3"/>
  <c r="BT44" i="3"/>
  <c r="BT41" i="3"/>
  <c r="BT55" i="3"/>
  <c r="BT49" i="3"/>
  <c r="BT46" i="3"/>
  <c r="BT20" i="3"/>
  <c r="BT40" i="3"/>
  <c r="BT34" i="3"/>
  <c r="BT31" i="3"/>
  <c r="BT29" i="3"/>
  <c r="BT23" i="3"/>
  <c r="BT18" i="3"/>
  <c r="BT53" i="3"/>
  <c r="BT47" i="3"/>
  <c r="BT21" i="3"/>
  <c r="BT19" i="3"/>
  <c r="BT16" i="3"/>
  <c r="BT28" i="3"/>
  <c r="BT22" i="3"/>
  <c r="BT30" i="3"/>
  <c r="BT27" i="3"/>
  <c r="BT8" i="3"/>
  <c r="BT7" i="3"/>
  <c r="BT52" i="3"/>
  <c r="BT15" i="3"/>
  <c r="BT6" i="3"/>
  <c r="BT25" i="3"/>
  <c r="BT9" i="3"/>
  <c r="BT5" i="3"/>
  <c r="BT48" i="3"/>
  <c r="BT39" i="3"/>
  <c r="BT36" i="3"/>
  <c r="BT10" i="3"/>
  <c r="BT38" i="3"/>
  <c r="BT35" i="3"/>
  <c r="BT11" i="3"/>
  <c r="BT33" i="3"/>
  <c r="BT12" i="3"/>
  <c r="BT24" i="3"/>
  <c r="BT17" i="3"/>
  <c r="BT54" i="3"/>
  <c r="BT42" i="3"/>
  <c r="BT43" i="3"/>
  <c r="BT13" i="3"/>
  <c r="BT14" i="3"/>
  <c r="BT45" i="3"/>
  <c r="BT37" i="3"/>
  <c r="BT26" i="3"/>
  <c r="BT32" i="3"/>
  <c r="DU56" i="3"/>
  <c r="DU96" i="3"/>
  <c r="DO54" i="3"/>
  <c r="DN54" i="3"/>
  <c r="DP54" i="3"/>
  <c r="EB98" i="3" s="1"/>
  <c r="CQ87" i="3"/>
  <c r="CJ45" i="3"/>
  <c r="CR87" i="3" s="1"/>
  <c r="CL45" i="3"/>
  <c r="CT87" i="3" s="1"/>
  <c r="CK45" i="3"/>
  <c r="CS87" i="3" s="1"/>
  <c r="DU91" i="3"/>
  <c r="DN49" i="3"/>
  <c r="DO49" i="3"/>
  <c r="DP49" i="3"/>
  <c r="H10" i="3"/>
  <c r="G11" i="3" s="1"/>
  <c r="DW74" i="3"/>
  <c r="AL47" i="3"/>
  <c r="AS49" i="3"/>
  <c r="AP49" i="3"/>
  <c r="AJ47" i="3"/>
  <c r="AQ49" i="3"/>
  <c r="BO49" i="3"/>
  <c r="DW71" i="3"/>
  <c r="DU80" i="3"/>
  <c r="DO38" i="3"/>
  <c r="DP38" i="3"/>
  <c r="EB82" i="3" s="1"/>
  <c r="DN38" i="3"/>
  <c r="DU75" i="3"/>
  <c r="DP33" i="3"/>
  <c r="EB77" i="3" s="1"/>
  <c r="DO33" i="3"/>
  <c r="DN33" i="3"/>
  <c r="DU99" i="3"/>
  <c r="DO57" i="3"/>
  <c r="DN57" i="3"/>
  <c r="DP57" i="3"/>
  <c r="I9" i="3"/>
  <c r="HE17" i="1"/>
  <c r="HE18" i="1"/>
  <c r="HE19" i="1"/>
  <c r="HE20" i="1"/>
  <c r="EB67" i="3" l="1"/>
  <c r="EE67" i="3"/>
  <c r="ED67" i="3"/>
  <c r="DX65" i="3"/>
  <c r="ED66" i="3"/>
  <c r="S10" i="3" a="1"/>
  <c r="S10" i="3" s="1"/>
  <c r="U10" i="3" s="1"/>
  <c r="S121" i="3" a="1"/>
  <c r="S121" i="3" s="1"/>
  <c r="U121" i="3" s="1"/>
  <c r="S50" i="3" a="1"/>
  <c r="S50" i="3" s="1"/>
  <c r="U50" i="3" s="1"/>
  <c r="S110" i="3" a="1"/>
  <c r="S110" i="3" s="1"/>
  <c r="U110" i="3" s="1"/>
  <c r="AQ50" i="3"/>
  <c r="S68" i="3" a="1"/>
  <c r="S68" i="3" s="1"/>
  <c r="U68" i="3" s="1"/>
  <c r="S19" i="3" a="1"/>
  <c r="S19" i="3" s="1"/>
  <c r="U19" i="3" s="1"/>
  <c r="AJ48" i="3"/>
  <c r="EC76" i="3"/>
  <c r="ED71" i="3"/>
  <c r="S211" i="3" a="1"/>
  <c r="S211" i="3" s="1"/>
  <c r="U211" i="3" s="1"/>
  <c r="DW97" i="3"/>
  <c r="DV67" i="3"/>
  <c r="S206" i="3" a="1"/>
  <c r="S206" i="3" s="1"/>
  <c r="U206" i="3" s="1"/>
  <c r="EC65" i="3"/>
  <c r="S266" i="3" a="1"/>
  <c r="S266" i="3" s="1"/>
  <c r="U266" i="3" s="1"/>
  <c r="DW73" i="3"/>
  <c r="DX71" i="3"/>
  <c r="S7" i="3" a="1"/>
  <c r="S7" i="3" s="1"/>
  <c r="U7" i="3" s="1"/>
  <c r="S73" i="3" a="1"/>
  <c r="S73" i="3" s="1"/>
  <c r="U73" i="3" s="1"/>
  <c r="EC73" i="3"/>
  <c r="EC74" i="3"/>
  <c r="DV74" i="3"/>
  <c r="S79" i="3" a="1"/>
  <c r="S79" i="3" s="1"/>
  <c r="U79" i="3" s="1"/>
  <c r="S103" i="3" a="1"/>
  <c r="S103" i="3" s="1"/>
  <c r="U103" i="3" s="1"/>
  <c r="DV69" i="3"/>
  <c r="S75" i="3" a="1"/>
  <c r="S75" i="3" s="1"/>
  <c r="U75" i="3" s="1"/>
  <c r="S189" i="3" a="1"/>
  <c r="S189" i="3" s="1"/>
  <c r="U189" i="3" s="1"/>
  <c r="EB73" i="3"/>
  <c r="S239" i="3" a="1"/>
  <c r="S239" i="3" s="1"/>
  <c r="U239" i="3" s="1"/>
  <c r="EE73" i="3"/>
  <c r="S24" i="3" a="1"/>
  <c r="S24" i="3" s="1"/>
  <c r="U24" i="3" s="1"/>
  <c r="S168" i="3" a="1"/>
  <c r="S168" i="3" s="1"/>
  <c r="U168" i="3" s="1"/>
  <c r="S242" i="3" a="1"/>
  <c r="S242" i="3" s="1"/>
  <c r="U242" i="3" s="1"/>
  <c r="DX77" i="3"/>
  <c r="S101" i="3" a="1"/>
  <c r="S101" i="3" s="1"/>
  <c r="U101" i="3" s="1"/>
  <c r="S285" i="3" a="1"/>
  <c r="S285" i="3" s="1"/>
  <c r="U285" i="3" s="1"/>
  <c r="EC86" i="3"/>
  <c r="S61" i="3" a="1"/>
  <c r="S61" i="3" s="1"/>
  <c r="U61" i="3" s="1"/>
  <c r="S149" i="3" a="1"/>
  <c r="S149" i="3" s="1"/>
  <c r="U149" i="3" s="1"/>
  <c r="ED83" i="3"/>
  <c r="AA8" i="3"/>
  <c r="AI50" i="3" s="1"/>
  <c r="S160" i="3" a="1"/>
  <c r="S160" i="3" s="1"/>
  <c r="U160" i="3" s="1"/>
  <c r="S268" i="3" a="1"/>
  <c r="S268" i="3" s="1"/>
  <c r="U268" i="3" s="1"/>
  <c r="EE87" i="3"/>
  <c r="ED87" i="3"/>
  <c r="EE65" i="3"/>
  <c r="AC7" i="3"/>
  <c r="AK49" i="3" s="1"/>
  <c r="DX63" i="3"/>
  <c r="AI49" i="3"/>
  <c r="ED65" i="3"/>
  <c r="DX85" i="3"/>
  <c r="ED79" i="3"/>
  <c r="AD7" i="3"/>
  <c r="AQ51" i="3" s="1"/>
  <c r="EC79" i="3"/>
  <c r="DW79" i="3"/>
  <c r="S132" i="3" a="1"/>
  <c r="S132" i="3" s="1"/>
  <c r="U132" i="3" s="1"/>
  <c r="S210" i="3" a="1"/>
  <c r="S210" i="3" s="1"/>
  <c r="U210" i="3" s="1"/>
  <c r="EE79" i="3"/>
  <c r="DW77" i="3"/>
  <c r="EC83" i="3"/>
  <c r="DW67" i="3"/>
  <c r="DW85" i="3"/>
  <c r="EC66" i="3"/>
  <c r="EE66" i="3"/>
  <c r="AS50" i="3"/>
  <c r="S217" i="3" a="1"/>
  <c r="S217" i="3" s="1"/>
  <c r="U217" i="3" s="1"/>
  <c r="S283" i="3" a="1"/>
  <c r="S283" i="3" s="1"/>
  <c r="U283" i="3" s="1"/>
  <c r="AL48" i="3"/>
  <c r="S5" i="3" a="1"/>
  <c r="S5" i="3" s="1"/>
  <c r="U5" i="3" s="1"/>
  <c r="S78" i="3" a="1"/>
  <c r="S78" i="3" s="1"/>
  <c r="U78" i="3" s="1"/>
  <c r="S232" i="3" a="1"/>
  <c r="S232" i="3" s="1"/>
  <c r="U232" i="3" s="1"/>
  <c r="EC70" i="3"/>
  <c r="DX81" i="3"/>
  <c r="S114" i="3" a="1"/>
  <c r="S114" i="3" s="1"/>
  <c r="U114" i="3" s="1"/>
  <c r="S115" i="3" a="1"/>
  <c r="S115" i="3" s="1"/>
  <c r="U115" i="3" s="1"/>
  <c r="S165" i="3" a="1"/>
  <c r="S165" i="3" s="1"/>
  <c r="U165" i="3" s="1"/>
  <c r="DV97" i="3"/>
  <c r="DX64" i="3"/>
  <c r="DV79" i="3"/>
  <c r="S22" i="3" a="1"/>
  <c r="S22" i="3" s="1"/>
  <c r="U22" i="3" s="1"/>
  <c r="S181" i="3" a="1"/>
  <c r="S181" i="3" s="1"/>
  <c r="U181" i="3" s="1"/>
  <c r="EE83" i="3"/>
  <c r="EE80" i="3"/>
  <c r="S90" i="3" a="1"/>
  <c r="S90" i="3" s="1"/>
  <c r="U90" i="3" s="1"/>
  <c r="S175" i="3" a="1"/>
  <c r="S175" i="3" s="1"/>
  <c r="U175" i="3" s="1"/>
  <c r="S108" i="3" a="1"/>
  <c r="S108" i="3" s="1"/>
  <c r="U108" i="3" s="1"/>
  <c r="EB66" i="3"/>
  <c r="AR50" i="3"/>
  <c r="S130" i="3" a="1"/>
  <c r="S130" i="3" s="1"/>
  <c r="U130" i="3" s="1"/>
  <c r="S98" i="3" a="1"/>
  <c r="S98" i="3" s="1"/>
  <c r="U98" i="3" s="1"/>
  <c r="S28" i="3" a="1"/>
  <c r="S28" i="3" s="1"/>
  <c r="U28" i="3" s="1"/>
  <c r="S85" i="3" a="1"/>
  <c r="S85" i="3" s="1"/>
  <c r="U85" i="3" s="1"/>
  <c r="S170" i="3" a="1"/>
  <c r="S170" i="3" s="1"/>
  <c r="U170" i="3" s="1"/>
  <c r="S99" i="3" a="1"/>
  <c r="S99" i="3" s="1"/>
  <c r="U99" i="3" s="1"/>
  <c r="S269" i="3" a="1"/>
  <c r="S269" i="3" s="1"/>
  <c r="U269" i="3" s="1"/>
  <c r="S14" i="3" a="1"/>
  <c r="S14" i="3" s="1"/>
  <c r="U14" i="3" s="1"/>
  <c r="S107" i="3" a="1"/>
  <c r="S107" i="3" s="1"/>
  <c r="U107" i="3" s="1"/>
  <c r="S280" i="3" a="1"/>
  <c r="S280" i="3" s="1"/>
  <c r="U280" i="3" s="1"/>
  <c r="S258" i="3" a="1"/>
  <c r="S258" i="3" s="1"/>
  <c r="U258" i="3" s="1"/>
  <c r="S32" i="3" a="1"/>
  <c r="S32" i="3" s="1"/>
  <c r="U32" i="3" s="1"/>
  <c r="S46" i="3" a="1"/>
  <c r="S46" i="3" s="1"/>
  <c r="U46" i="3" s="1"/>
  <c r="S199" i="3" a="1"/>
  <c r="S199" i="3" s="1"/>
  <c r="U199" i="3" s="1"/>
  <c r="S272" i="3" a="1"/>
  <c r="S272" i="3" s="1"/>
  <c r="U272" i="3" s="1"/>
  <c r="DV71" i="3"/>
  <c r="S9" i="3" a="1"/>
  <c r="S9" i="3" s="1"/>
  <c r="U9" i="3" s="1"/>
  <c r="S77" i="3" a="1"/>
  <c r="S77" i="3" s="1"/>
  <c r="U77" i="3" s="1"/>
  <c r="S11" i="3" a="1"/>
  <c r="S11" i="3" s="1"/>
  <c r="U11" i="3" s="1"/>
  <c r="S173" i="3" a="1"/>
  <c r="S173" i="3" s="1"/>
  <c r="U173" i="3" s="1"/>
  <c r="S69" i="3" a="1"/>
  <c r="S69" i="3" s="1"/>
  <c r="U69" i="3" s="1"/>
  <c r="S105" i="3" a="1"/>
  <c r="S105" i="3" s="1"/>
  <c r="U105" i="3" s="1"/>
  <c r="S161" i="3" a="1"/>
  <c r="S161" i="3" s="1"/>
  <c r="U161" i="3" s="1"/>
  <c r="S228" i="3" a="1"/>
  <c r="S228" i="3" s="1"/>
  <c r="U228" i="3" s="1"/>
  <c r="S219" i="3" a="1"/>
  <c r="S219" i="3" s="1"/>
  <c r="U219" i="3" s="1"/>
  <c r="DX74" i="3"/>
  <c r="S13" i="3" a="1"/>
  <c r="S13" i="3" s="1"/>
  <c r="U13" i="3" s="1"/>
  <c r="S87" i="3" a="1"/>
  <c r="S87" i="3" s="1"/>
  <c r="U87" i="3" s="1"/>
  <c r="S245" i="3" a="1"/>
  <c r="S245" i="3" s="1"/>
  <c r="U245" i="3" s="1"/>
  <c r="S231" i="3" a="1"/>
  <c r="S231" i="3" s="1"/>
  <c r="U231" i="3" s="1"/>
  <c r="S284" i="3" a="1"/>
  <c r="S284" i="3" s="1"/>
  <c r="U284" i="3" s="1"/>
  <c r="DV73" i="3"/>
  <c r="S23" i="3" a="1"/>
  <c r="S23" i="3" s="1"/>
  <c r="U23" i="3" s="1"/>
  <c r="S27" i="3" a="1"/>
  <c r="S27" i="3" s="1"/>
  <c r="U27" i="3" s="1"/>
  <c r="S237" i="3" a="1"/>
  <c r="S237" i="3" s="1"/>
  <c r="U237" i="3" s="1"/>
  <c r="S118" i="3" a="1"/>
  <c r="S118" i="3" s="1"/>
  <c r="U118" i="3" s="1"/>
  <c r="S183" i="3" a="1"/>
  <c r="S183" i="3" s="1"/>
  <c r="U183" i="3" s="1"/>
  <c r="S38" i="3" a="1"/>
  <c r="S38" i="3" s="1"/>
  <c r="U38" i="3" s="1"/>
  <c r="S133" i="3" a="1"/>
  <c r="S133" i="3" s="1"/>
  <c r="U133" i="3" s="1"/>
  <c r="S106" i="3" a="1"/>
  <c r="S106" i="3" s="1"/>
  <c r="U106" i="3" s="1"/>
  <c r="S54" i="3" a="1"/>
  <c r="S54" i="3" s="1"/>
  <c r="U54" i="3" s="1"/>
  <c r="S164" i="3" a="1"/>
  <c r="S164" i="3" s="1"/>
  <c r="U164" i="3" s="1"/>
  <c r="S55" i="3" a="1"/>
  <c r="S55" i="3" s="1"/>
  <c r="U55" i="3" s="1"/>
  <c r="S56" i="3" a="1"/>
  <c r="S56" i="3" s="1"/>
  <c r="U56" i="3" s="1"/>
  <c r="S72" i="3" a="1"/>
  <c r="S72" i="3" s="1"/>
  <c r="U72" i="3" s="1"/>
  <c r="S147" i="3" a="1"/>
  <c r="S147" i="3" s="1"/>
  <c r="U147" i="3" s="1"/>
  <c r="S125" i="3" a="1"/>
  <c r="S125" i="3" s="1"/>
  <c r="U125" i="3" s="1"/>
  <c r="S157" i="3" a="1"/>
  <c r="S157" i="3" s="1"/>
  <c r="U157" i="3" s="1"/>
  <c r="S127" i="3" a="1"/>
  <c r="S127" i="3" s="1"/>
  <c r="U127" i="3" s="1"/>
  <c r="S187" i="3" a="1"/>
  <c r="S187" i="3" s="1"/>
  <c r="U187" i="3" s="1"/>
  <c r="S281" i="3" a="1"/>
  <c r="S281" i="3" s="1"/>
  <c r="U281" i="3" s="1"/>
  <c r="S238" i="3" a="1"/>
  <c r="S238" i="3" s="1"/>
  <c r="U238" i="3" s="1"/>
  <c r="EE76" i="3"/>
  <c r="S88" i="3" a="1"/>
  <c r="S88" i="3" s="1"/>
  <c r="U88" i="3" s="1"/>
  <c r="S278" i="3" a="1"/>
  <c r="S278" i="3" s="1"/>
  <c r="U278" i="3" s="1"/>
  <c r="S275" i="3" a="1"/>
  <c r="S275" i="3" s="1"/>
  <c r="U275" i="3" s="1"/>
  <c r="S89" i="3" a="1"/>
  <c r="S89" i="3" s="1"/>
  <c r="U89" i="3" s="1"/>
  <c r="S45" i="3" a="1"/>
  <c r="S45" i="3" s="1"/>
  <c r="U45" i="3" s="1"/>
  <c r="S262" i="3" a="1"/>
  <c r="S262" i="3" s="1"/>
  <c r="U262" i="3" s="1"/>
  <c r="S6" i="3" a="1"/>
  <c r="S6" i="3" s="1"/>
  <c r="U6" i="3" s="1"/>
  <c r="S156" i="3" a="1"/>
  <c r="S156" i="3" s="1"/>
  <c r="U156" i="3" s="1"/>
  <c r="S250" i="3" a="1"/>
  <c r="S250" i="3" s="1"/>
  <c r="U250" i="3" s="1"/>
  <c r="S229" i="3" a="1"/>
  <c r="S229" i="3" s="1"/>
  <c r="U229" i="3" s="1"/>
  <c r="S279" i="3" a="1"/>
  <c r="S279" i="3" s="1"/>
  <c r="U279" i="3" s="1"/>
  <c r="S95" i="3" a="1"/>
  <c r="S95" i="3" s="1"/>
  <c r="U95" i="3" s="1"/>
  <c r="S191" i="3" a="1"/>
  <c r="S191" i="3" s="1"/>
  <c r="U191" i="3" s="1"/>
  <c r="S30" i="3" a="1"/>
  <c r="S30" i="3" s="1"/>
  <c r="U30" i="3" s="1"/>
  <c r="S131" i="3" a="1"/>
  <c r="S131" i="3" s="1"/>
  <c r="U131" i="3" s="1"/>
  <c r="S144" i="3" a="1"/>
  <c r="S144" i="3" s="1"/>
  <c r="U144" i="3" s="1"/>
  <c r="S248" i="3" a="1"/>
  <c r="S248" i="3" s="1"/>
  <c r="U248" i="3" s="1"/>
  <c r="S21" i="3" a="1"/>
  <c r="S21" i="3" s="1"/>
  <c r="U21" i="3" s="1"/>
  <c r="S188" i="3" a="1"/>
  <c r="S188" i="3" s="1"/>
  <c r="U188" i="3" s="1"/>
  <c r="S236" i="3" a="1"/>
  <c r="S236" i="3" s="1"/>
  <c r="U236" i="3" s="1"/>
  <c r="S148" i="3" a="1"/>
  <c r="S148" i="3" s="1"/>
  <c r="U148" i="3" s="1"/>
  <c r="S270" i="3" a="1"/>
  <c r="S270" i="3" s="1"/>
  <c r="U270" i="3" s="1"/>
  <c r="S36" i="3" a="1"/>
  <c r="S36" i="3" s="1"/>
  <c r="U36" i="3" s="1"/>
  <c r="S81" i="3" a="1"/>
  <c r="S81" i="3" s="1"/>
  <c r="U81" i="3" s="1"/>
  <c r="S154" i="3" a="1"/>
  <c r="S154" i="3" s="1"/>
  <c r="U154" i="3" s="1"/>
  <c r="S41" i="3" a="1"/>
  <c r="S41" i="3" s="1"/>
  <c r="U41" i="3" s="1"/>
  <c r="S62" i="3" a="1"/>
  <c r="S62" i="3" s="1"/>
  <c r="U62" i="3" s="1"/>
  <c r="S112" i="3" a="1"/>
  <c r="S112" i="3" s="1"/>
  <c r="U112" i="3" s="1"/>
  <c r="S40" i="3" a="1"/>
  <c r="S40" i="3" s="1"/>
  <c r="U40" i="3" s="1"/>
  <c r="S109" i="3" a="1"/>
  <c r="S109" i="3" s="1"/>
  <c r="U109" i="3" s="1"/>
  <c r="S198" i="3" a="1"/>
  <c r="S198" i="3" s="1"/>
  <c r="U198" i="3" s="1"/>
  <c r="S122" i="3" a="1"/>
  <c r="S122" i="3" s="1"/>
  <c r="U122" i="3" s="1"/>
  <c r="S180" i="3" a="1"/>
  <c r="S180" i="3" s="1"/>
  <c r="U180" i="3" s="1"/>
  <c r="S129" i="3" a="1"/>
  <c r="S129" i="3" s="1"/>
  <c r="U129" i="3" s="1"/>
  <c r="S273" i="3" a="1"/>
  <c r="S273" i="3" s="1"/>
  <c r="U273" i="3" s="1"/>
  <c r="S243" i="3" a="1"/>
  <c r="S243" i="3" s="1"/>
  <c r="U243" i="3" s="1"/>
  <c r="ED80" i="3"/>
  <c r="S137" i="3" a="1"/>
  <c r="S137" i="3" s="1"/>
  <c r="U137" i="3" s="1"/>
  <c r="S223" i="3" a="1"/>
  <c r="S223" i="3" s="1"/>
  <c r="U223" i="3" s="1"/>
  <c r="S18" i="3" a="1"/>
  <c r="S18" i="3" s="1"/>
  <c r="U18" i="3" s="1"/>
  <c r="S111" i="3" a="1"/>
  <c r="S111" i="3" s="1"/>
  <c r="U111" i="3" s="1"/>
  <c r="S203" i="3" a="1"/>
  <c r="S203" i="3" s="1"/>
  <c r="U203" i="3" s="1"/>
  <c r="S8" i="3" a="1"/>
  <c r="S8" i="3" s="1"/>
  <c r="U8" i="3" s="1"/>
  <c r="S43" i="3" a="1"/>
  <c r="S43" i="3" s="1"/>
  <c r="U43" i="3" s="1"/>
  <c r="S178" i="3" a="1"/>
  <c r="S178" i="3" s="1"/>
  <c r="U178" i="3" s="1"/>
  <c r="S151" i="3" a="1"/>
  <c r="S151" i="3" s="1"/>
  <c r="U151" i="3" s="1"/>
  <c r="S205" i="3" a="1"/>
  <c r="S205" i="3" s="1"/>
  <c r="U205" i="3" s="1"/>
  <c r="S247" i="3" a="1"/>
  <c r="S247" i="3" s="1"/>
  <c r="U247" i="3" s="1"/>
  <c r="S29" i="3" a="1"/>
  <c r="S29" i="3" s="1"/>
  <c r="U29" i="3" s="1"/>
  <c r="S25" i="3" a="1"/>
  <c r="S25" i="3" s="1"/>
  <c r="U25" i="3" s="1"/>
  <c r="S91" i="3" a="1"/>
  <c r="S91" i="3" s="1"/>
  <c r="U91" i="3" s="1"/>
  <c r="S263" i="3" a="1"/>
  <c r="S263" i="3" s="1"/>
  <c r="U263" i="3" s="1"/>
  <c r="S35" i="3" a="1"/>
  <c r="S35" i="3" s="1"/>
  <c r="U35" i="3" s="1"/>
  <c r="ED76" i="3"/>
  <c r="S37" i="3" a="1"/>
  <c r="S37" i="3" s="1"/>
  <c r="U37" i="3" s="1"/>
  <c r="S59" i="3" a="1"/>
  <c r="S59" i="3" s="1"/>
  <c r="U59" i="3" s="1"/>
  <c r="S66" i="3" a="1"/>
  <c r="S66" i="3" s="1"/>
  <c r="U66" i="3" s="1"/>
  <c r="S119" i="3" a="1"/>
  <c r="S119" i="3" s="1"/>
  <c r="U119" i="3" s="1"/>
  <c r="S174" i="3" a="1"/>
  <c r="S174" i="3" s="1"/>
  <c r="U174" i="3" s="1"/>
  <c r="S261" i="3" a="1"/>
  <c r="S261" i="3" s="1"/>
  <c r="U261" i="3" s="1"/>
  <c r="S120" i="3" a="1"/>
  <c r="S120" i="3" s="1"/>
  <c r="U120" i="3" s="1"/>
  <c r="S152" i="3" a="1"/>
  <c r="S152" i="3" s="1"/>
  <c r="U152" i="3" s="1"/>
  <c r="S209" i="3" a="1"/>
  <c r="S209" i="3" s="1"/>
  <c r="U209" i="3" s="1"/>
  <c r="EC87" i="3"/>
  <c r="EE70" i="3"/>
  <c r="S51" i="3" a="1"/>
  <c r="S51" i="3" s="1"/>
  <c r="U51" i="3" s="1"/>
  <c r="S49" i="3" a="1"/>
  <c r="S49" i="3" s="1"/>
  <c r="U49" i="3" s="1"/>
  <c r="S96" i="3" a="1"/>
  <c r="S96" i="3" s="1"/>
  <c r="U96" i="3" s="1"/>
  <c r="S104" i="3" a="1"/>
  <c r="S104" i="3" s="1"/>
  <c r="U104" i="3" s="1"/>
  <c r="S274" i="3" a="1"/>
  <c r="S274" i="3" s="1"/>
  <c r="U274" i="3" s="1"/>
  <c r="S271" i="3" a="1"/>
  <c r="S271" i="3" s="1"/>
  <c r="U271" i="3" s="1"/>
  <c r="DW78" i="3"/>
  <c r="EB70" i="3"/>
  <c r="EC96" i="3"/>
  <c r="DX68" i="3"/>
  <c r="ED70" i="3"/>
  <c r="S39" i="3" a="1"/>
  <c r="S39" i="3" s="1"/>
  <c r="U39" i="3" s="1"/>
  <c r="S172" i="3" a="1"/>
  <c r="S172" i="3" s="1"/>
  <c r="U172" i="3" s="1"/>
  <c r="S117" i="3" a="1"/>
  <c r="S117" i="3" s="1"/>
  <c r="U117" i="3" s="1"/>
  <c r="S128" i="3" a="1"/>
  <c r="S128" i="3" s="1"/>
  <c r="U128" i="3" s="1"/>
  <c r="S142" i="3" a="1"/>
  <c r="S142" i="3" s="1"/>
  <c r="U142" i="3" s="1"/>
  <c r="S194" i="3" a="1"/>
  <c r="S194" i="3" s="1"/>
  <c r="U194" i="3" s="1"/>
  <c r="S176" i="3" a="1"/>
  <c r="S176" i="3" s="1"/>
  <c r="U176" i="3" s="1"/>
  <c r="S153" i="3" a="1"/>
  <c r="S153" i="3" s="1"/>
  <c r="U153" i="3" s="1"/>
  <c r="S215" i="3" a="1"/>
  <c r="S215" i="3" s="1"/>
  <c r="U215" i="3" s="1"/>
  <c r="S276" i="3" a="1"/>
  <c r="S276" i="3" s="1"/>
  <c r="U276" i="3" s="1"/>
  <c r="EC80" i="3"/>
  <c r="S57" i="3" a="1"/>
  <c r="S57" i="3" s="1"/>
  <c r="U57" i="3" s="1"/>
  <c r="S33" i="3" a="1"/>
  <c r="S33" i="3" s="1"/>
  <c r="U33" i="3" s="1"/>
  <c r="S145" i="3" a="1"/>
  <c r="S145" i="3" s="1"/>
  <c r="U145" i="3" s="1"/>
  <c r="S166" i="3" a="1"/>
  <c r="S166" i="3" s="1"/>
  <c r="U166" i="3" s="1"/>
  <c r="S216" i="3" a="1"/>
  <c r="S216" i="3" s="1"/>
  <c r="U216" i="3" s="1"/>
  <c r="S267" i="3" a="1"/>
  <c r="S267" i="3" s="1"/>
  <c r="U267" i="3" s="1"/>
  <c r="S214" i="3" a="1"/>
  <c r="S214" i="3" s="1"/>
  <c r="U214" i="3" s="1"/>
  <c r="S169" i="3" a="1"/>
  <c r="S169" i="3" s="1"/>
  <c r="U169" i="3" s="1"/>
  <c r="S251" i="3" a="1"/>
  <c r="S251" i="3" s="1"/>
  <c r="U251" i="3" s="1"/>
  <c r="S226" i="3" a="1"/>
  <c r="S226" i="3" s="1"/>
  <c r="U226" i="3" s="1"/>
  <c r="I10" i="3"/>
  <c r="DW94" i="3"/>
  <c r="DX78" i="3"/>
  <c r="S80" i="3" a="1"/>
  <c r="S80" i="3" s="1"/>
  <c r="U80" i="3" s="1"/>
  <c r="S53" i="3" a="1"/>
  <c r="S53" i="3" s="1"/>
  <c r="U53" i="3" s="1"/>
  <c r="S171" i="3" a="1"/>
  <c r="S171" i="3" s="1"/>
  <c r="U171" i="3" s="1"/>
  <c r="S230" i="3" a="1"/>
  <c r="S230" i="3" s="1"/>
  <c r="U230" i="3" s="1"/>
  <c r="S220" i="3" a="1"/>
  <c r="S220" i="3" s="1"/>
  <c r="U220" i="3" s="1"/>
  <c r="S235" i="3" a="1"/>
  <c r="S235" i="3" s="1"/>
  <c r="U235" i="3" s="1"/>
  <c r="S212" i="3" a="1"/>
  <c r="S212" i="3" s="1"/>
  <c r="U212" i="3" s="1"/>
  <c r="S253" i="3" a="1"/>
  <c r="S253" i="3" s="1"/>
  <c r="U253" i="3" s="1"/>
  <c r="CB51" i="3"/>
  <c r="DV92" i="3"/>
  <c r="EC94" i="3"/>
  <c r="ED101" i="3"/>
  <c r="DW99" i="3"/>
  <c r="EE93" i="3"/>
  <c r="DX91" i="3"/>
  <c r="ED98" i="3"/>
  <c r="DW96" i="3"/>
  <c r="CB59" i="3"/>
  <c r="EC93" i="3"/>
  <c r="DV91" i="3"/>
  <c r="DW93" i="3"/>
  <c r="ED95" i="3"/>
  <c r="I20" i="3"/>
  <c r="EB93" i="3"/>
  <c r="CB75" i="3"/>
  <c r="BW33" i="3"/>
  <c r="CE75" i="3" s="1"/>
  <c r="BV33" i="3"/>
  <c r="CD75" i="3" s="1"/>
  <c r="BU33" i="3"/>
  <c r="CC75" i="3" s="1"/>
  <c r="CB69" i="3"/>
  <c r="BU27" i="3"/>
  <c r="CC69" i="3" s="1"/>
  <c r="BV27" i="3"/>
  <c r="CD69" i="3" s="1"/>
  <c r="BW27" i="3"/>
  <c r="CE69" i="3" s="1"/>
  <c r="CB88" i="3"/>
  <c r="BW46" i="3"/>
  <c r="CE88" i="3" s="1"/>
  <c r="BV46" i="3"/>
  <c r="CD88" i="3" s="1"/>
  <c r="BU46" i="3"/>
  <c r="CC88" i="3" s="1"/>
  <c r="EE78" i="3"/>
  <c r="DX76" i="3"/>
  <c r="BI48" i="3"/>
  <c r="BP50" i="3"/>
  <c r="S16" i="3" a="1"/>
  <c r="S16" i="3" s="1"/>
  <c r="U16" i="3" s="1"/>
  <c r="S31" i="3" a="1"/>
  <c r="S31" i="3" s="1"/>
  <c r="U31" i="3" s="1"/>
  <c r="S58" i="3" a="1"/>
  <c r="S58" i="3" s="1"/>
  <c r="U58" i="3" s="1"/>
  <c r="S17" i="3" a="1"/>
  <c r="S17" i="3" s="1"/>
  <c r="U17" i="3" s="1"/>
  <c r="S150" i="3" a="1"/>
  <c r="S150" i="3" s="1"/>
  <c r="U150" i="3" s="1"/>
  <c r="S48" i="3" a="1"/>
  <c r="S48" i="3" s="1"/>
  <c r="U48" i="3" s="1"/>
  <c r="S102" i="3" a="1"/>
  <c r="S102" i="3" s="1"/>
  <c r="U102" i="3" s="1"/>
  <c r="S94" i="3" a="1"/>
  <c r="S94" i="3" s="1"/>
  <c r="U94" i="3" s="1"/>
  <c r="S167" i="3" a="1"/>
  <c r="S167" i="3" s="1"/>
  <c r="U167" i="3" s="1"/>
  <c r="S197" i="3" a="1"/>
  <c r="S197" i="3" s="1"/>
  <c r="U197" i="3" s="1"/>
  <c r="S134" i="3" a="1"/>
  <c r="S134" i="3" s="1"/>
  <c r="U134" i="3" s="1"/>
  <c r="S190" i="3" a="1"/>
  <c r="S190" i="3" s="1"/>
  <c r="U190" i="3" s="1"/>
  <c r="S192" i="3" a="1"/>
  <c r="S192" i="3" s="1"/>
  <c r="U192" i="3" s="1"/>
  <c r="S136" i="3" a="1"/>
  <c r="S136" i="3" s="1"/>
  <c r="U136" i="3" s="1"/>
  <c r="S233" i="3" a="1"/>
  <c r="S233" i="3" s="1"/>
  <c r="U233" i="3" s="1"/>
  <c r="S227" i="3" a="1"/>
  <c r="S227" i="3" s="1"/>
  <c r="U227" i="3" s="1"/>
  <c r="S282" i="3" a="1"/>
  <c r="S282" i="3" s="1"/>
  <c r="U282" i="3" s="1"/>
  <c r="S255" i="3" a="1"/>
  <c r="S255" i="3" s="1"/>
  <c r="U255" i="3" s="1"/>
  <c r="DX99" i="3"/>
  <c r="EE101" i="3"/>
  <c r="BH48" i="3"/>
  <c r="BO50" i="3"/>
  <c r="BF49" i="3"/>
  <c r="AY7" i="3"/>
  <c r="AW8" i="3"/>
  <c r="AZ7" i="3"/>
  <c r="BM51" i="3" s="1"/>
  <c r="AX7" i="3"/>
  <c r="BG48" i="3"/>
  <c r="BN50" i="3"/>
  <c r="CB62" i="3"/>
  <c r="CB91" i="3"/>
  <c r="BV49" i="3"/>
  <c r="CD91" i="3" s="1"/>
  <c r="BU49" i="3"/>
  <c r="CC91" i="3" s="1"/>
  <c r="BW49" i="3"/>
  <c r="CE91" i="3" s="1"/>
  <c r="CB74" i="3"/>
  <c r="BV32" i="3"/>
  <c r="CD74" i="3" s="1"/>
  <c r="BW32" i="3"/>
  <c r="CE74" i="3" s="1"/>
  <c r="BU32" i="3"/>
  <c r="CC74" i="3" s="1"/>
  <c r="CB52" i="3"/>
  <c r="CB58" i="3"/>
  <c r="CB86" i="3"/>
  <c r="BV44" i="3"/>
  <c r="CD86" i="3" s="1"/>
  <c r="BU44" i="3"/>
  <c r="CC86" i="3" s="1"/>
  <c r="BW44" i="3"/>
  <c r="CE86" i="3" s="1"/>
  <c r="DW89" i="3"/>
  <c r="ED91" i="3"/>
  <c r="EC88" i="3"/>
  <c r="DV86" i="3"/>
  <c r="S26" i="3" a="1"/>
  <c r="S26" i="3" s="1"/>
  <c r="U26" i="3" s="1"/>
  <c r="S47" i="3" a="1"/>
  <c r="S47" i="3" s="1"/>
  <c r="U47" i="3" s="1"/>
  <c r="S44" i="3" a="1"/>
  <c r="S44" i="3" s="1"/>
  <c r="U44" i="3" s="1"/>
  <c r="S63" i="3" a="1"/>
  <c r="S63" i="3" s="1"/>
  <c r="U63" i="3" s="1"/>
  <c r="S60" i="3" a="1"/>
  <c r="S60" i="3" s="1"/>
  <c r="U60" i="3" s="1"/>
  <c r="S52" i="3" a="1"/>
  <c r="S52" i="3" s="1"/>
  <c r="U52" i="3" s="1"/>
  <c r="S182" i="3" a="1"/>
  <c r="S182" i="3" s="1"/>
  <c r="U182" i="3" s="1"/>
  <c r="S135" i="3" a="1"/>
  <c r="S135" i="3" s="1"/>
  <c r="U135" i="3" s="1"/>
  <c r="S113" i="3" a="1"/>
  <c r="S113" i="3" s="1"/>
  <c r="U113" i="3" s="1"/>
  <c r="S208" i="3" a="1"/>
  <c r="S208" i="3" s="1"/>
  <c r="U208" i="3" s="1"/>
  <c r="S123" i="3" a="1"/>
  <c r="S123" i="3" s="1"/>
  <c r="U123" i="3" s="1"/>
  <c r="S222" i="3" a="1"/>
  <c r="S222" i="3" s="1"/>
  <c r="U222" i="3" s="1"/>
  <c r="S141" i="3" a="1"/>
  <c r="S141" i="3" s="1"/>
  <c r="U141" i="3" s="1"/>
  <c r="S143" i="3" a="1"/>
  <c r="S143" i="3" s="1"/>
  <c r="U143" i="3" s="1"/>
  <c r="S201" i="3" a="1"/>
  <c r="S201" i="3" s="1"/>
  <c r="U201" i="3" s="1"/>
  <c r="S218" i="3" a="1"/>
  <c r="S218" i="3" s="1"/>
  <c r="U218" i="3" s="1"/>
  <c r="S225" i="3" a="1"/>
  <c r="S225" i="3" s="1"/>
  <c r="U225" i="3" s="1"/>
  <c r="S234" i="3" a="1"/>
  <c r="S234" i="3" s="1"/>
  <c r="U234" i="3" s="1"/>
  <c r="EE90" i="3"/>
  <c r="DX88" i="3"/>
  <c r="EI52" i="3"/>
  <c r="EI56" i="3"/>
  <c r="EI51" i="3"/>
  <c r="EI50" i="3"/>
  <c r="EI37" i="3"/>
  <c r="EI57" i="3"/>
  <c r="EI48" i="3"/>
  <c r="EI42" i="3"/>
  <c r="EI39" i="3"/>
  <c r="EI33" i="3"/>
  <c r="EI47" i="3"/>
  <c r="EI45" i="3"/>
  <c r="EI41" i="3"/>
  <c r="EI29" i="3"/>
  <c r="EI25" i="3"/>
  <c r="EI32" i="3"/>
  <c r="EI30" i="3"/>
  <c r="EI17" i="3"/>
  <c r="EI11" i="3"/>
  <c r="EI22" i="3"/>
  <c r="EI55" i="3"/>
  <c r="EI15" i="3"/>
  <c r="EI12" i="3"/>
  <c r="EI46" i="3"/>
  <c r="EI10" i="3"/>
  <c r="EI18" i="3"/>
  <c r="EI13" i="3"/>
  <c r="EI40" i="3"/>
  <c r="EI31" i="3"/>
  <c r="EI26" i="3"/>
  <c r="EI44" i="3"/>
  <c r="EI23" i="3"/>
  <c r="EI19" i="3"/>
  <c r="EI9" i="3"/>
  <c r="EI54" i="3"/>
  <c r="EI27" i="3"/>
  <c r="EI43" i="3"/>
  <c r="EI38" i="3"/>
  <c r="EI16" i="3"/>
  <c r="EI49" i="3"/>
  <c r="EI28" i="3"/>
  <c r="EI35" i="3"/>
  <c r="EI24" i="3"/>
  <c r="EI20" i="3"/>
  <c r="EI7" i="3"/>
  <c r="EI14" i="3"/>
  <c r="EI6" i="3"/>
  <c r="EI5" i="3"/>
  <c r="EI8" i="3"/>
  <c r="EI36" i="3"/>
  <c r="EI21" i="3"/>
  <c r="EI53" i="3"/>
  <c r="EI34" i="3"/>
  <c r="CB98" i="3"/>
  <c r="BU56" i="3"/>
  <c r="CC98" i="3" s="1"/>
  <c r="BW56" i="3"/>
  <c r="CE98" i="3" s="1"/>
  <c r="BV56" i="3"/>
  <c r="CD98" i="3" s="1"/>
  <c r="DW66" i="3"/>
  <c r="ED68" i="3"/>
  <c r="EE98" i="3"/>
  <c r="DX96" i="3"/>
  <c r="EC98" i="3"/>
  <c r="DV96" i="3"/>
  <c r="BV31" i="3"/>
  <c r="CD73" i="3" s="1"/>
  <c r="BU31" i="3"/>
  <c r="CC73" i="3" s="1"/>
  <c r="CB73" i="3"/>
  <c r="BW31" i="3"/>
  <c r="CE73" i="3" s="1"/>
  <c r="BV40" i="3"/>
  <c r="CD82" i="3" s="1"/>
  <c r="BU40" i="3"/>
  <c r="CC82" i="3" s="1"/>
  <c r="CB82" i="3"/>
  <c r="BW40" i="3"/>
  <c r="CE82" i="3" s="1"/>
  <c r="CB72" i="3"/>
  <c r="BU30" i="3"/>
  <c r="CC72" i="3" s="1"/>
  <c r="BW30" i="3"/>
  <c r="CE72" i="3" s="1"/>
  <c r="BV30" i="3"/>
  <c r="CD72" i="3" s="1"/>
  <c r="ED78" i="3"/>
  <c r="DW76" i="3"/>
  <c r="DV75" i="3"/>
  <c r="EC77" i="3"/>
  <c r="EC78" i="3"/>
  <c r="DV76" i="3"/>
  <c r="EE77" i="3"/>
  <c r="DX75" i="3"/>
  <c r="CB68" i="3"/>
  <c r="BU26" i="3"/>
  <c r="CC68" i="3" s="1"/>
  <c r="BW26" i="3"/>
  <c r="CE68" i="3" s="1"/>
  <c r="BV26" i="3"/>
  <c r="CD68" i="3" s="1"/>
  <c r="BU36" i="3"/>
  <c r="CC78" i="3" s="1"/>
  <c r="CB78" i="3"/>
  <c r="BW36" i="3"/>
  <c r="CE78" i="3" s="1"/>
  <c r="BV36" i="3"/>
  <c r="CD78" i="3" s="1"/>
  <c r="CB61" i="3"/>
  <c r="G50" i="3"/>
  <c r="R80" i="3" s="1" a="1"/>
  <c r="R80" i="3" s="1"/>
  <c r="T80" i="3" s="1"/>
  <c r="DX89" i="3"/>
  <c r="EE91" i="3"/>
  <c r="EC84" i="3"/>
  <c r="DV82" i="3"/>
  <c r="ED88" i="3"/>
  <c r="DW86" i="3"/>
  <c r="S163" i="3" a="1"/>
  <c r="S163" i="3" s="1"/>
  <c r="U163" i="3" s="1"/>
  <c r="S12" i="3" a="1"/>
  <c r="S12" i="3" s="1"/>
  <c r="U12" i="3" s="1"/>
  <c r="S64" i="3" a="1"/>
  <c r="S64" i="3" s="1"/>
  <c r="U64" i="3" s="1"/>
  <c r="S65" i="3" a="1"/>
  <c r="S65" i="3" s="1"/>
  <c r="U65" i="3" s="1"/>
  <c r="S70" i="3" a="1"/>
  <c r="S70" i="3" s="1"/>
  <c r="U70" i="3" s="1"/>
  <c r="CX56" i="3"/>
  <c r="CX48" i="3"/>
  <c r="CX42" i="3"/>
  <c r="CX39" i="3"/>
  <c r="CX51" i="3"/>
  <c r="CX50" i="3"/>
  <c r="CX57" i="3"/>
  <c r="CX53" i="3"/>
  <c r="CX49" i="3"/>
  <c r="CX30" i="3"/>
  <c r="CX26" i="3"/>
  <c r="CX11" i="3"/>
  <c r="CX22" i="3"/>
  <c r="CX15" i="3"/>
  <c r="CX12" i="3"/>
  <c r="CX52" i="3"/>
  <c r="CX36" i="3"/>
  <c r="CX43" i="3"/>
  <c r="CX38" i="3"/>
  <c r="CX37" i="3"/>
  <c r="CX35" i="3"/>
  <c r="CX27" i="3"/>
  <c r="CX13" i="3"/>
  <c r="CX54" i="3"/>
  <c r="CX20" i="3"/>
  <c r="CX46" i="3"/>
  <c r="CX45" i="3"/>
  <c r="CX40" i="3"/>
  <c r="CX33" i="3"/>
  <c r="CX14" i="3"/>
  <c r="CX23" i="3"/>
  <c r="CX32" i="3"/>
  <c r="CX10" i="3"/>
  <c r="CX55" i="3"/>
  <c r="CX24" i="3"/>
  <c r="CX16" i="3"/>
  <c r="CX34" i="3"/>
  <c r="CX6" i="3"/>
  <c r="CX25" i="3"/>
  <c r="CX44" i="3"/>
  <c r="CX47" i="3"/>
  <c r="CX29" i="3"/>
  <c r="CX28" i="3"/>
  <c r="CX7" i="3"/>
  <c r="CX8" i="3"/>
  <c r="CX41" i="3"/>
  <c r="CX18" i="3"/>
  <c r="CX5" i="3"/>
  <c r="CX21" i="3"/>
  <c r="CX31" i="3"/>
  <c r="CX19" i="3"/>
  <c r="CX9" i="3"/>
  <c r="CX17" i="3"/>
  <c r="S139" i="3" a="1"/>
  <c r="S139" i="3" s="1"/>
  <c r="U139" i="3" s="1"/>
  <c r="S146" i="3" a="1"/>
  <c r="S146" i="3" s="1"/>
  <c r="U146" i="3" s="1"/>
  <c r="S259" i="3" a="1"/>
  <c r="S259" i="3" s="1"/>
  <c r="U259" i="3" s="1"/>
  <c r="S138" i="3" a="1"/>
  <c r="S138" i="3" s="1"/>
  <c r="U138" i="3" s="1"/>
  <c r="S193" i="3" a="1"/>
  <c r="S193" i="3" s="1"/>
  <c r="U193" i="3" s="1"/>
  <c r="S177" i="3" a="1"/>
  <c r="S177" i="3" s="1"/>
  <c r="U177" i="3" s="1"/>
  <c r="S159" i="3" a="1"/>
  <c r="S159" i="3" s="1"/>
  <c r="U159" i="3" s="1"/>
  <c r="S241" i="3" a="1"/>
  <c r="S241" i="3" s="1"/>
  <c r="U241" i="3" s="1"/>
  <c r="S240" i="3" a="1"/>
  <c r="S240" i="3" s="1"/>
  <c r="U240" i="3" s="1"/>
  <c r="S254" i="3" a="1"/>
  <c r="S254" i="3" s="1"/>
  <c r="U254" i="3" s="1"/>
  <c r="EC90" i="3"/>
  <c r="DV88" i="3"/>
  <c r="CB85" i="3"/>
  <c r="BV43" i="3"/>
  <c r="CD85" i="3" s="1"/>
  <c r="BU43" i="3"/>
  <c r="CC85" i="3" s="1"/>
  <c r="BW43" i="3"/>
  <c r="CE85" i="3" s="1"/>
  <c r="ED97" i="3"/>
  <c r="DW95" i="3"/>
  <c r="EE68" i="3"/>
  <c r="DX66" i="3"/>
  <c r="DV99" i="3"/>
  <c r="EC101" i="3"/>
  <c r="CB71" i="3"/>
  <c r="BV29" i="3"/>
  <c r="CD71" i="3" s="1"/>
  <c r="BU29" i="3"/>
  <c r="CC71" i="3" s="1"/>
  <c r="BW29" i="3"/>
  <c r="CE71" i="3" s="1"/>
  <c r="CB57" i="3"/>
  <c r="DV93" i="3"/>
  <c r="EC95" i="3"/>
  <c r="BW52" i="3"/>
  <c r="CE94" i="3" s="1"/>
  <c r="CB94" i="3"/>
  <c r="BV52" i="3"/>
  <c r="CD94" i="3" s="1"/>
  <c r="BU52" i="3"/>
  <c r="CC94" i="3" s="1"/>
  <c r="CB54" i="3"/>
  <c r="DX83" i="3"/>
  <c r="EE85" i="3"/>
  <c r="CB77" i="3"/>
  <c r="BU35" i="3"/>
  <c r="CC77" i="3" s="1"/>
  <c r="BV35" i="3"/>
  <c r="CD77" i="3" s="1"/>
  <c r="BW35" i="3"/>
  <c r="CE77" i="3" s="1"/>
  <c r="EC85" i="3"/>
  <c r="DV83" i="3"/>
  <c r="CB80" i="3"/>
  <c r="BV38" i="3"/>
  <c r="CD80" i="3" s="1"/>
  <c r="BU38" i="3"/>
  <c r="CC80" i="3" s="1"/>
  <c r="BW38" i="3"/>
  <c r="CE80" i="3" s="1"/>
  <c r="ED85" i="3"/>
  <c r="DW83" i="3"/>
  <c r="EC82" i="3"/>
  <c r="DV80" i="3"/>
  <c r="CB79" i="3"/>
  <c r="BW37" i="3"/>
  <c r="CE79" i="3" s="1"/>
  <c r="BV37" i="3"/>
  <c r="CD79" i="3" s="1"/>
  <c r="BU37" i="3"/>
  <c r="CC79" i="3" s="1"/>
  <c r="CB81" i="3"/>
  <c r="BW39" i="3"/>
  <c r="CE81" i="3" s="1"/>
  <c r="BV39" i="3"/>
  <c r="CD81" i="3" s="1"/>
  <c r="BU39" i="3"/>
  <c r="CC81" i="3" s="1"/>
  <c r="CB63" i="3"/>
  <c r="BU21" i="3"/>
  <c r="CC63" i="3" s="1"/>
  <c r="BV21" i="3"/>
  <c r="CD63" i="3" s="1"/>
  <c r="BW21" i="3"/>
  <c r="CE63" i="3" s="1"/>
  <c r="CB99" i="3"/>
  <c r="BU57" i="3"/>
  <c r="CC99" i="3" s="1"/>
  <c r="BW57" i="3"/>
  <c r="CE99" i="3" s="1"/>
  <c r="BV57" i="3"/>
  <c r="CD99" i="3" s="1"/>
  <c r="EC100" i="3"/>
  <c r="DV98" i="3"/>
  <c r="DX70" i="3"/>
  <c r="EE72" i="3"/>
  <c r="DX86" i="3"/>
  <c r="EE88" i="3"/>
  <c r="S15" i="3" a="1"/>
  <c r="S15" i="3" s="1"/>
  <c r="U15" i="3" s="1"/>
  <c r="S83" i="3" a="1"/>
  <c r="S83" i="3" s="1"/>
  <c r="U83" i="3" s="1"/>
  <c r="S82" i="3" a="1"/>
  <c r="S82" i="3" s="1"/>
  <c r="U82" i="3" s="1"/>
  <c r="S86" i="3" a="1"/>
  <c r="S86" i="3" s="1"/>
  <c r="U86" i="3" s="1"/>
  <c r="S67" i="3" a="1"/>
  <c r="S67" i="3" s="1"/>
  <c r="U67" i="3" s="1"/>
  <c r="S93" i="3" a="1"/>
  <c r="S93" i="3" s="1"/>
  <c r="U93" i="3" s="1"/>
  <c r="S162" i="3" a="1"/>
  <c r="S162" i="3" s="1"/>
  <c r="U162" i="3" s="1"/>
  <c r="S92" i="3" a="1"/>
  <c r="S92" i="3" s="1"/>
  <c r="U92" i="3" s="1"/>
  <c r="S140" i="3" a="1"/>
  <c r="S140" i="3" s="1"/>
  <c r="U140" i="3" s="1"/>
  <c r="S195" i="3" a="1"/>
  <c r="S195" i="3" s="1"/>
  <c r="U195" i="3" s="1"/>
  <c r="S221" i="3" a="1"/>
  <c r="S221" i="3" s="1"/>
  <c r="U221" i="3" s="1"/>
  <c r="S179" i="3" a="1"/>
  <c r="S179" i="3" s="1"/>
  <c r="U179" i="3" s="1"/>
  <c r="S256" i="3" a="1"/>
  <c r="S256" i="3" s="1"/>
  <c r="U256" i="3" s="1"/>
  <c r="S224" i="3" a="1"/>
  <c r="S224" i="3" s="1"/>
  <c r="U224" i="3" s="1"/>
  <c r="S265" i="3" a="1"/>
  <c r="S265" i="3" s="1"/>
  <c r="U265" i="3" s="1"/>
  <c r="EC89" i="3"/>
  <c r="DV87" i="3"/>
  <c r="CB60" i="3"/>
  <c r="CB67" i="3"/>
  <c r="BW25" i="3"/>
  <c r="CE67" i="3" s="1"/>
  <c r="BV25" i="3"/>
  <c r="CD67" i="3" s="1"/>
  <c r="BU25" i="3"/>
  <c r="CC67" i="3" s="1"/>
  <c r="CB48" i="3"/>
  <c r="CB96" i="3"/>
  <c r="BW54" i="3"/>
  <c r="CE96" i="3" s="1"/>
  <c r="BV54" i="3"/>
  <c r="CD96" i="3" s="1"/>
  <c r="BU54" i="3"/>
  <c r="CC96" i="3" s="1"/>
  <c r="ED93" i="3"/>
  <c r="DW91" i="3"/>
  <c r="H21" i="3"/>
  <c r="G22" i="3" s="1"/>
  <c r="CB66" i="3"/>
  <c r="BW24" i="3"/>
  <c r="CE66" i="3" s="1"/>
  <c r="BU24" i="3"/>
  <c r="CC66" i="3" s="1"/>
  <c r="BV24" i="3"/>
  <c r="CD66" i="3" s="1"/>
  <c r="CB64" i="3"/>
  <c r="BW22" i="3"/>
  <c r="CE64" i="3" s="1"/>
  <c r="BV22" i="3"/>
  <c r="CD64" i="3" s="1"/>
  <c r="BU22" i="3"/>
  <c r="CC64" i="3" s="1"/>
  <c r="CB70" i="3"/>
  <c r="BW28" i="3"/>
  <c r="CE70" i="3" s="1"/>
  <c r="BV28" i="3"/>
  <c r="CD70" i="3" s="1"/>
  <c r="BU28" i="3"/>
  <c r="CC70" i="3" s="1"/>
  <c r="ED90" i="3"/>
  <c r="DW88" i="3"/>
  <c r="EE82" i="3"/>
  <c r="DX80" i="3"/>
  <c r="BW45" i="3"/>
  <c r="CE87" i="3" s="1"/>
  <c r="BV45" i="3"/>
  <c r="CD87" i="3" s="1"/>
  <c r="CB87" i="3"/>
  <c r="BU45" i="3"/>
  <c r="CC87" i="3" s="1"/>
  <c r="CB90" i="3"/>
  <c r="BW48" i="3"/>
  <c r="CE90" i="3" s="1"/>
  <c r="BV48" i="3"/>
  <c r="CD90" i="3" s="1"/>
  <c r="BU48" i="3"/>
  <c r="CC90" i="3" s="1"/>
  <c r="CB89" i="3"/>
  <c r="BV47" i="3"/>
  <c r="CD89" i="3" s="1"/>
  <c r="BU47" i="3"/>
  <c r="CC89" i="3" s="1"/>
  <c r="BW47" i="3"/>
  <c r="CE89" i="3" s="1"/>
  <c r="CB92" i="3"/>
  <c r="BV50" i="3"/>
  <c r="CD92" i="3" s="1"/>
  <c r="BU50" i="3"/>
  <c r="CC92" i="3" s="1"/>
  <c r="BW50" i="3"/>
  <c r="CE92" i="3" s="1"/>
  <c r="EE100" i="3"/>
  <c r="DX98" i="3"/>
  <c r="DX92" i="3"/>
  <c r="EE94" i="3"/>
  <c r="ED84" i="3"/>
  <c r="DW82" i="3"/>
  <c r="EC72" i="3"/>
  <c r="DV70" i="3"/>
  <c r="S20" i="3" a="1"/>
  <c r="S20" i="3" s="1"/>
  <c r="U20" i="3" s="1"/>
  <c r="S84" i="3" a="1"/>
  <c r="S84" i="3" s="1"/>
  <c r="U84" i="3" s="1"/>
  <c r="S76" i="3" a="1"/>
  <c r="S76" i="3" s="1"/>
  <c r="U76" i="3" s="1"/>
  <c r="S249" i="3" a="1"/>
  <c r="S249" i="3" s="1"/>
  <c r="U249" i="3" s="1"/>
  <c r="S71" i="3" a="1"/>
  <c r="S71" i="3" s="1"/>
  <c r="U71" i="3" s="1"/>
  <c r="S126" i="3" a="1"/>
  <c r="S126" i="3" s="1"/>
  <c r="U126" i="3" s="1"/>
  <c r="S196" i="3" a="1"/>
  <c r="S196" i="3" s="1"/>
  <c r="U196" i="3" s="1"/>
  <c r="S116" i="3" a="1"/>
  <c r="S116" i="3" s="1"/>
  <c r="U116" i="3" s="1"/>
  <c r="S155" i="3" a="1"/>
  <c r="S155" i="3" s="1"/>
  <c r="U155" i="3" s="1"/>
  <c r="S200" i="3" a="1"/>
  <c r="S200" i="3" s="1"/>
  <c r="U200" i="3" s="1"/>
  <c r="S186" i="3" a="1"/>
  <c r="S186" i="3" s="1"/>
  <c r="U186" i="3" s="1"/>
  <c r="S185" i="3" a="1"/>
  <c r="S185" i="3" s="1"/>
  <c r="U185" i="3" s="1"/>
  <c r="S246" i="3" a="1"/>
  <c r="S246" i="3" s="1"/>
  <c r="U246" i="3" s="1"/>
  <c r="S244" i="3" a="1"/>
  <c r="S244" i="3" s="1"/>
  <c r="U244" i="3" s="1"/>
  <c r="ED89" i="3"/>
  <c r="DW87" i="3"/>
  <c r="EB90" i="3"/>
  <c r="CB55" i="3"/>
  <c r="EC97" i="3"/>
  <c r="DV95" i="3"/>
  <c r="BV23" i="3"/>
  <c r="CD65" i="3" s="1"/>
  <c r="BU23" i="3"/>
  <c r="CC65" i="3" s="1"/>
  <c r="CB65" i="3"/>
  <c r="BW23" i="3"/>
  <c r="CE65" i="3" s="1"/>
  <c r="ED94" i="3"/>
  <c r="DW92" i="3"/>
  <c r="CB84" i="3"/>
  <c r="BW42" i="3"/>
  <c r="CE84" i="3" s="1"/>
  <c r="BV42" i="3"/>
  <c r="CD84" i="3" s="1"/>
  <c r="BU42" i="3"/>
  <c r="CC84" i="3" s="1"/>
  <c r="EE95" i="3"/>
  <c r="DX93" i="3"/>
  <c r="EE97" i="3"/>
  <c r="DX95" i="3"/>
  <c r="AJ49" i="3"/>
  <c r="EB68" i="3"/>
  <c r="EB101" i="3"/>
  <c r="CB76" i="3"/>
  <c r="BV34" i="3"/>
  <c r="CD76" i="3" s="1"/>
  <c r="BU34" i="3"/>
  <c r="CC76" i="3" s="1"/>
  <c r="BW34" i="3"/>
  <c r="CE76" i="3" s="1"/>
  <c r="CB49" i="3"/>
  <c r="CB50" i="3"/>
  <c r="CB53" i="3"/>
  <c r="CB97" i="3"/>
  <c r="BW55" i="3"/>
  <c r="CE97" i="3" s="1"/>
  <c r="BV55" i="3"/>
  <c r="CD97" i="3" s="1"/>
  <c r="BU55" i="3"/>
  <c r="CC97" i="3" s="1"/>
  <c r="DW75" i="3"/>
  <c r="ED77" i="3"/>
  <c r="BV41" i="3"/>
  <c r="CD83" i="3" s="1"/>
  <c r="BU41" i="3"/>
  <c r="CC83" i="3" s="1"/>
  <c r="CB83" i="3"/>
  <c r="BW41" i="3"/>
  <c r="CE83" i="3" s="1"/>
  <c r="EC91" i="3"/>
  <c r="DV89" i="3"/>
  <c r="ED82" i="3"/>
  <c r="DW80" i="3"/>
  <c r="H11" i="3"/>
  <c r="G12" i="3" s="1"/>
  <c r="CB56" i="3"/>
  <c r="CB47" i="3"/>
  <c r="BW53" i="3"/>
  <c r="CE95" i="3" s="1"/>
  <c r="BV53" i="3"/>
  <c r="CD95" i="3" s="1"/>
  <c r="BU53" i="3"/>
  <c r="CC95" i="3" s="1"/>
  <c r="CB95" i="3"/>
  <c r="CB93" i="3"/>
  <c r="BV51" i="3"/>
  <c r="CD93" i="3" s="1"/>
  <c r="BU51" i="3"/>
  <c r="CC93" i="3" s="1"/>
  <c r="BW51" i="3"/>
  <c r="CE93" i="3" s="1"/>
  <c r="ED100" i="3"/>
  <c r="DW98" i="3"/>
  <c r="DX82" i="3"/>
  <c r="EE84" i="3"/>
  <c r="ED72" i="3"/>
  <c r="DW70" i="3"/>
  <c r="S34" i="3" a="1"/>
  <c r="S34" i="3" s="1"/>
  <c r="U34" i="3" s="1"/>
  <c r="S264" i="3" a="1"/>
  <c r="S264" i="3" s="1"/>
  <c r="U264" i="3" s="1"/>
  <c r="S97" i="3" a="1"/>
  <c r="S97" i="3" s="1"/>
  <c r="U97" i="3" s="1"/>
  <c r="S42" i="3" a="1"/>
  <c r="S42" i="3" s="1"/>
  <c r="U42" i="3" s="1"/>
  <c r="S74" i="3" a="1"/>
  <c r="S74" i="3" s="1"/>
  <c r="U74" i="3" s="1"/>
  <c r="S158" i="3" a="1"/>
  <c r="S158" i="3" s="1"/>
  <c r="U158" i="3" s="1"/>
  <c r="S277" i="3" a="1"/>
  <c r="S277" i="3" s="1"/>
  <c r="U277" i="3" s="1"/>
  <c r="S124" i="3" a="1"/>
  <c r="S124" i="3" s="1"/>
  <c r="U124" i="3" s="1"/>
  <c r="S100" i="3" a="1"/>
  <c r="S100" i="3" s="1"/>
  <c r="U100" i="3" s="1"/>
  <c r="S184" i="3" a="1"/>
  <c r="S184" i="3" s="1"/>
  <c r="U184" i="3" s="1"/>
  <c r="S204" i="3" a="1"/>
  <c r="S204" i="3" s="1"/>
  <c r="U204" i="3" s="1"/>
  <c r="S202" i="3" a="1"/>
  <c r="S202" i="3" s="1"/>
  <c r="U202" i="3" s="1"/>
  <c r="S207" i="3" a="1"/>
  <c r="S207" i="3" s="1"/>
  <c r="U207" i="3" s="1"/>
  <c r="S213" i="3" a="1"/>
  <c r="S213" i="3" s="1"/>
  <c r="U213" i="3" s="1"/>
  <c r="S257" i="3" a="1"/>
  <c r="S257" i="3" s="1"/>
  <c r="U257" i="3" s="1"/>
  <c r="S252" i="3" a="1"/>
  <c r="S252" i="3" s="1"/>
  <c r="U252" i="3" s="1"/>
  <c r="EE89" i="3"/>
  <c r="DX87" i="3"/>
  <c r="DV66" i="3"/>
  <c r="EC68" i="3"/>
  <c r="AC18" i="2"/>
  <c r="ER3" i="2"/>
  <c r="R201" i="3" l="1" a="1"/>
  <c r="R201" i="3" s="1"/>
  <c r="R228" i="3" a="1"/>
  <c r="R228" i="3" s="1"/>
  <c r="R289" i="3" a="1"/>
  <c r="R289" i="3" s="1"/>
  <c r="T289" i="3" s="1"/>
  <c r="R344" i="3" a="1"/>
  <c r="R344" i="3" s="1"/>
  <c r="T344" i="3" s="1"/>
  <c r="R233" i="3" a="1"/>
  <c r="R233" i="3" s="1"/>
  <c r="AA9" i="3"/>
  <c r="AD9" i="3" s="1"/>
  <c r="AP53" i="3" s="1"/>
  <c r="R174" i="3" a="1"/>
  <c r="R174" i="3" s="1"/>
  <c r="T174" i="3" s="1"/>
  <c r="AB8" i="3"/>
  <c r="AJ50" i="3" s="1"/>
  <c r="R313" i="3" a="1"/>
  <c r="R313" i="3" s="1"/>
  <c r="T313" i="3" s="1"/>
  <c r="AD8" i="3"/>
  <c r="AP52" i="3" s="1"/>
  <c r="R40" i="3" a="1"/>
  <c r="R40" i="3" s="1"/>
  <c r="T40" i="3" s="1"/>
  <c r="AC8" i="3"/>
  <c r="AK50" i="3" s="1"/>
  <c r="R335" i="3" a="1"/>
  <c r="R335" i="3" s="1"/>
  <c r="T335" i="3" s="1"/>
  <c r="R244" i="3" a="1"/>
  <c r="R244" i="3" s="1"/>
  <c r="R92" i="3" a="1"/>
  <c r="R92" i="3" s="1"/>
  <c r="T92" i="3" s="1"/>
  <c r="R100" i="3" a="1"/>
  <c r="R100" i="3" s="1"/>
  <c r="T100" i="3" s="1"/>
  <c r="R331" i="3" a="1"/>
  <c r="R331" i="3" s="1"/>
  <c r="T331" i="3" s="1"/>
  <c r="R141" i="3" a="1"/>
  <c r="R141" i="3" s="1"/>
  <c r="T141" i="3" s="1"/>
  <c r="R97" i="3" a="1"/>
  <c r="R97" i="3" s="1"/>
  <c r="T97" i="3" s="1"/>
  <c r="R356" i="3" a="1"/>
  <c r="R356" i="3" s="1"/>
  <c r="T356" i="3" s="1"/>
  <c r="AL49" i="3"/>
  <c r="R329" i="3" a="1"/>
  <c r="R329" i="3" s="1"/>
  <c r="T329" i="3" s="1"/>
  <c r="AP51" i="3"/>
  <c r="AS51" i="3"/>
  <c r="R262" i="3" a="1"/>
  <c r="R262" i="3" s="1"/>
  <c r="T262" i="3" s="1"/>
  <c r="AR51" i="3"/>
  <c r="R338" i="3" a="1"/>
  <c r="R338" i="3" s="1"/>
  <c r="T338" i="3" s="1"/>
  <c r="R251" i="3" a="1"/>
  <c r="R251" i="3" s="1"/>
  <c r="T251" i="3" s="1"/>
  <c r="R108" i="3" a="1"/>
  <c r="R108" i="3" s="1"/>
  <c r="T108" i="3" s="1"/>
  <c r="R98" i="3" a="1"/>
  <c r="R98" i="3" s="1"/>
  <c r="T98" i="3" s="1"/>
  <c r="R307" i="3" a="1"/>
  <c r="R307" i="3" s="1"/>
  <c r="T307" i="3" s="1"/>
  <c r="R221" i="3" a="1"/>
  <c r="R221" i="3" s="1"/>
  <c r="R162" i="3" a="1"/>
  <c r="R162" i="3" s="1"/>
  <c r="T162" i="3" s="1"/>
  <c r="R12" i="3" a="1"/>
  <c r="R12" i="3" s="1"/>
  <c r="T12" i="3" s="1"/>
  <c r="R85" i="3" a="1"/>
  <c r="R85" i="3" s="1"/>
  <c r="T85" i="3" s="1"/>
  <c r="R235" i="3" a="1"/>
  <c r="R235" i="3" s="1"/>
  <c r="R246" i="3" a="1"/>
  <c r="R246" i="3" s="1"/>
  <c r="R343" i="3" a="1"/>
  <c r="R343" i="3" s="1"/>
  <c r="T343" i="3" s="1"/>
  <c r="R33" i="3" a="1"/>
  <c r="R33" i="3" s="1"/>
  <c r="T33" i="3" s="1"/>
  <c r="R58" i="3" a="1"/>
  <c r="R58" i="3" s="1"/>
  <c r="T58" i="3" s="1"/>
  <c r="R157" i="3" a="1"/>
  <c r="R157" i="3" s="1"/>
  <c r="T157" i="3" s="1"/>
  <c r="R254" i="3" a="1"/>
  <c r="R254" i="3" s="1"/>
  <c r="T254" i="3" s="1"/>
  <c r="R142" i="3" a="1"/>
  <c r="R142" i="3" s="1"/>
  <c r="T142" i="3" s="1"/>
  <c r="R207" i="3" a="1"/>
  <c r="R207" i="3" s="1"/>
  <c r="R134" i="3" a="1"/>
  <c r="R134" i="3" s="1"/>
  <c r="T134" i="3" s="1"/>
  <c r="R238" i="3" a="1"/>
  <c r="R238" i="3" s="1"/>
  <c r="R143" i="3" a="1"/>
  <c r="R143" i="3" s="1"/>
  <c r="T143" i="3" s="1"/>
  <c r="R350" i="3" a="1"/>
  <c r="R350" i="3" s="1"/>
  <c r="T350" i="3" s="1"/>
  <c r="R191" i="3" a="1"/>
  <c r="R191" i="3" s="1"/>
  <c r="T191" i="3" s="1"/>
  <c r="R212" i="3" a="1"/>
  <c r="R212" i="3" s="1"/>
  <c r="R144" i="3" a="1"/>
  <c r="R144" i="3" s="1"/>
  <c r="T144" i="3" s="1"/>
  <c r="R66" i="3" a="1"/>
  <c r="R66" i="3" s="1"/>
  <c r="T66" i="3" s="1"/>
  <c r="R34" i="3" a="1"/>
  <c r="R34" i="3" s="1"/>
  <c r="T34" i="3" s="1"/>
  <c r="R42" i="3" a="1"/>
  <c r="R42" i="3" s="1"/>
  <c r="T42" i="3" s="1"/>
  <c r="R190" i="3" a="1"/>
  <c r="R190" i="3" s="1"/>
  <c r="T190" i="3" s="1"/>
  <c r="R129" i="3" a="1"/>
  <c r="R129" i="3" s="1"/>
  <c r="T129" i="3" s="1"/>
  <c r="R109" i="3" a="1"/>
  <c r="R109" i="3" s="1"/>
  <c r="T109" i="3" s="1"/>
  <c r="R263" i="3" a="1"/>
  <c r="R263" i="3" s="1"/>
  <c r="T263" i="3" s="1"/>
  <c r="R136" i="3" a="1"/>
  <c r="R136" i="3" s="1"/>
  <c r="T136" i="3" s="1"/>
  <c r="R204" i="3" a="1"/>
  <c r="R204" i="3" s="1"/>
  <c r="R193" i="3" a="1"/>
  <c r="R193" i="3" s="1"/>
  <c r="T193" i="3" s="1"/>
  <c r="R187" i="3" a="1"/>
  <c r="R187" i="3" s="1"/>
  <c r="T187" i="3" s="1"/>
  <c r="R271" i="3" a="1"/>
  <c r="R271" i="3" s="1"/>
  <c r="T271" i="3" s="1"/>
  <c r="R137" i="3" a="1"/>
  <c r="R137" i="3" s="1"/>
  <c r="T137" i="3" s="1"/>
  <c r="R347" i="3" a="1"/>
  <c r="R347" i="3" s="1"/>
  <c r="T347" i="3" s="1"/>
  <c r="R203" i="3" a="1"/>
  <c r="R203" i="3" s="1"/>
  <c r="R186" i="3" a="1"/>
  <c r="R186" i="3" s="1"/>
  <c r="T186" i="3" s="1"/>
  <c r="R316" i="3" a="1"/>
  <c r="R316" i="3" s="1"/>
  <c r="T316" i="3" s="1"/>
  <c r="R18" i="3" a="1"/>
  <c r="R18" i="3" s="1"/>
  <c r="T18" i="3" s="1"/>
  <c r="R253" i="3" a="1"/>
  <c r="R253" i="3" s="1"/>
  <c r="T253" i="3" s="1"/>
  <c r="R152" i="3" a="1"/>
  <c r="R152" i="3" s="1"/>
  <c r="T152" i="3" s="1"/>
  <c r="R89" i="3" a="1"/>
  <c r="R89" i="3" s="1"/>
  <c r="T89" i="3" s="1"/>
  <c r="R293" i="3" a="1"/>
  <c r="R293" i="3" s="1"/>
  <c r="T293" i="3" s="1"/>
  <c r="R55" i="3" a="1"/>
  <c r="R55" i="3" s="1"/>
  <c r="T55" i="3" s="1"/>
  <c r="R273" i="3" a="1"/>
  <c r="R273" i="3" s="1"/>
  <c r="T273" i="3" s="1"/>
  <c r="R182" i="3" a="1"/>
  <c r="R182" i="3" s="1"/>
  <c r="T182" i="3" s="1"/>
  <c r="R192" i="3" a="1"/>
  <c r="R192" i="3" s="1"/>
  <c r="T192" i="3" s="1"/>
  <c r="R266" i="3" a="1"/>
  <c r="R266" i="3" s="1"/>
  <c r="T266" i="3" s="1"/>
  <c r="R23" i="3" a="1"/>
  <c r="R23" i="3" s="1"/>
  <c r="T23" i="3" s="1"/>
  <c r="R20" i="3" a="1"/>
  <c r="R20" i="3" s="1"/>
  <c r="T20" i="3" s="1"/>
  <c r="R26" i="3" a="1"/>
  <c r="R26" i="3" s="1"/>
  <c r="T26" i="3" s="1"/>
  <c r="R210" i="3" a="1"/>
  <c r="R210" i="3" s="1"/>
  <c r="R21" i="3" a="1"/>
  <c r="R21" i="3" s="1"/>
  <c r="T21" i="3" s="1"/>
  <c r="R290" i="3" a="1"/>
  <c r="R290" i="3" s="1"/>
  <c r="T290" i="3" s="1"/>
  <c r="R330" i="3" a="1"/>
  <c r="R330" i="3" s="1"/>
  <c r="T330" i="3" s="1"/>
  <c r="R312" i="3" a="1"/>
  <c r="R312" i="3" s="1"/>
  <c r="T312" i="3" s="1"/>
  <c r="R76" i="3" a="1"/>
  <c r="R76" i="3" s="1"/>
  <c r="T76" i="3" s="1"/>
  <c r="R183" i="3" a="1"/>
  <c r="R183" i="3" s="1"/>
  <c r="T183" i="3" s="1"/>
  <c r="R31" i="3" a="1"/>
  <c r="R31" i="3" s="1"/>
  <c r="T31" i="3" s="1"/>
  <c r="R45" i="3" a="1"/>
  <c r="R45" i="3" s="1"/>
  <c r="T45" i="3" s="1"/>
  <c r="R208" i="3" a="1"/>
  <c r="R208" i="3" s="1"/>
  <c r="R72" i="3" a="1"/>
  <c r="R72" i="3" s="1"/>
  <c r="T72" i="3" s="1"/>
  <c r="R38" i="3" a="1"/>
  <c r="R38" i="3" s="1"/>
  <c r="T38" i="3" s="1"/>
  <c r="R334" i="3" a="1"/>
  <c r="R334" i="3" s="1"/>
  <c r="T334" i="3" s="1"/>
  <c r="R74" i="3" a="1"/>
  <c r="R74" i="3" s="1"/>
  <c r="T74" i="3" s="1"/>
  <c r="U294" i="3"/>
  <c r="R153" i="3" a="1"/>
  <c r="R153" i="3" s="1"/>
  <c r="T153" i="3" s="1"/>
  <c r="R167" i="3" a="1"/>
  <c r="R167" i="3" s="1"/>
  <c r="T167" i="3" s="1"/>
  <c r="R298" i="3" a="1"/>
  <c r="R298" i="3" s="1"/>
  <c r="T298" i="3" s="1"/>
  <c r="R286" i="3" a="1"/>
  <c r="R286" i="3" s="1"/>
  <c r="T286" i="3" s="1"/>
  <c r="R285" i="3" a="1"/>
  <c r="R285" i="3" s="1"/>
  <c r="T285" i="3" s="1"/>
  <c r="R150" i="3" a="1"/>
  <c r="R150" i="3" s="1"/>
  <c r="T150" i="3" s="1"/>
  <c r="R274" i="3" a="1"/>
  <c r="R274" i="3" s="1"/>
  <c r="T274" i="3" s="1"/>
  <c r="R46" i="3" a="1"/>
  <c r="R46" i="3" s="1"/>
  <c r="T46" i="3" s="1"/>
  <c r="R30" i="3" a="1"/>
  <c r="R30" i="3" s="1"/>
  <c r="T30" i="3" s="1"/>
  <c r="R68" i="3" a="1"/>
  <c r="R68" i="3" s="1"/>
  <c r="T68" i="3" s="1"/>
  <c r="R308" i="3" a="1"/>
  <c r="R308" i="3" s="1"/>
  <c r="T308" i="3" s="1"/>
  <c r="R171" i="3" a="1"/>
  <c r="R171" i="3" s="1"/>
  <c r="T171" i="3" s="1"/>
  <c r="R82" i="3" a="1"/>
  <c r="R82" i="3" s="1"/>
  <c r="T82" i="3" s="1"/>
  <c r="R62" i="3" a="1"/>
  <c r="R62" i="3" s="1"/>
  <c r="T62" i="3" s="1"/>
  <c r="R148" i="3" a="1"/>
  <c r="R148" i="3" s="1"/>
  <c r="T148" i="3" s="1"/>
  <c r="R176" i="3" a="1"/>
  <c r="R176" i="3" s="1"/>
  <c r="T176" i="3" s="1"/>
  <c r="R123" i="3" a="1"/>
  <c r="R123" i="3" s="1"/>
  <c r="T123" i="3" s="1"/>
  <c r="R90" i="3" a="1"/>
  <c r="R90" i="3" s="1"/>
  <c r="T90" i="3" s="1"/>
  <c r="R49" i="3" a="1"/>
  <c r="R49" i="3" s="1"/>
  <c r="T49" i="3" s="1"/>
  <c r="R39" i="3" a="1"/>
  <c r="R39" i="3" s="1"/>
  <c r="T39" i="3" s="1"/>
  <c r="R113" i="3" a="1"/>
  <c r="R113" i="3" s="1"/>
  <c r="T113" i="3" s="1"/>
  <c r="R284" i="3" a="1"/>
  <c r="R284" i="3" s="1"/>
  <c r="T284" i="3" s="1"/>
  <c r="R159" i="3" a="1"/>
  <c r="R159" i="3" s="1"/>
  <c r="T159" i="3" s="1"/>
  <c r="R112" i="3" a="1"/>
  <c r="R112" i="3" s="1"/>
  <c r="T112" i="3" s="1"/>
  <c r="R219" i="3" a="1"/>
  <c r="R219" i="3" s="1"/>
  <c r="R16" i="3" a="1"/>
  <c r="R16" i="3" s="1"/>
  <c r="T16" i="3" s="1"/>
  <c r="R61" i="3" a="1"/>
  <c r="R61" i="3" s="1"/>
  <c r="T61" i="3" s="1"/>
  <c r="R265" i="3" a="1"/>
  <c r="R265" i="3" s="1"/>
  <c r="T265" i="3" s="1"/>
  <c r="R70" i="3" a="1"/>
  <c r="R70" i="3" s="1"/>
  <c r="T70" i="3" s="1"/>
  <c r="R264" i="3" a="1"/>
  <c r="R264" i="3" s="1"/>
  <c r="T264" i="3" s="1"/>
  <c r="R189" i="3" a="1"/>
  <c r="R189" i="3" s="1"/>
  <c r="T189" i="3" s="1"/>
  <c r="R269" i="3" a="1"/>
  <c r="R269" i="3" s="1"/>
  <c r="T269" i="3" s="1"/>
  <c r="R54" i="3" a="1"/>
  <c r="R54" i="3" s="1"/>
  <c r="T54" i="3" s="1"/>
  <c r="R282" i="3" a="1"/>
  <c r="R282" i="3" s="1"/>
  <c r="T282" i="3" s="1"/>
  <c r="R180" i="3" a="1"/>
  <c r="R180" i="3" s="1"/>
  <c r="T180" i="3" s="1"/>
  <c r="R326" i="3" a="1"/>
  <c r="R326" i="3" s="1"/>
  <c r="T326" i="3" s="1"/>
  <c r="R317" i="3" a="1"/>
  <c r="R317" i="3" s="1"/>
  <c r="T317" i="3" s="1"/>
  <c r="R15" i="3" a="1"/>
  <c r="R15" i="3" s="1"/>
  <c r="T15" i="3" s="1"/>
  <c r="R110" i="3" a="1"/>
  <c r="R110" i="3" s="1"/>
  <c r="T110" i="3" s="1"/>
  <c r="R297" i="3" a="1"/>
  <c r="R297" i="3" s="1"/>
  <c r="T297" i="3" s="1"/>
  <c r="R302" i="3" a="1"/>
  <c r="R302" i="3" s="1"/>
  <c r="T302" i="3" s="1"/>
  <c r="R87" i="3" a="1"/>
  <c r="R87" i="3" s="1"/>
  <c r="T87" i="3" s="1"/>
  <c r="R260" i="3" a="1"/>
  <c r="R260" i="3" s="1"/>
  <c r="T260" i="3" s="1"/>
  <c r="R6" i="3" a="1"/>
  <c r="R6" i="3" s="1"/>
  <c r="T6" i="3" s="1"/>
  <c r="R84" i="3" a="1"/>
  <c r="R84" i="3" s="1"/>
  <c r="T84" i="3" s="1"/>
  <c r="R172" i="3" a="1"/>
  <c r="R172" i="3" s="1"/>
  <c r="T172" i="3" s="1"/>
  <c r="R132" i="3" a="1"/>
  <c r="R132" i="3" s="1"/>
  <c r="T132" i="3" s="1"/>
  <c r="R114" i="3" a="1"/>
  <c r="R114" i="3" s="1"/>
  <c r="T114" i="3" s="1"/>
  <c r="R81" i="3" a="1"/>
  <c r="R81" i="3" s="1"/>
  <c r="T81" i="3" s="1"/>
  <c r="R175" i="3" a="1"/>
  <c r="R175" i="3" s="1"/>
  <c r="T175" i="3" s="1"/>
  <c r="R324" i="3" a="1"/>
  <c r="R324" i="3" s="1"/>
  <c r="T324" i="3" s="1"/>
  <c r="R247" i="3" a="1"/>
  <c r="R247" i="3" s="1"/>
  <c r="R7" i="3" a="1"/>
  <c r="R7" i="3" s="1"/>
  <c r="T7" i="3" s="1"/>
  <c r="R151" i="3" a="1"/>
  <c r="R151" i="3" s="1"/>
  <c r="T151" i="3" s="1"/>
  <c r="R79" i="3" a="1"/>
  <c r="R79" i="3" s="1"/>
  <c r="T79" i="3" s="1"/>
  <c r="R277" i="3" a="1"/>
  <c r="R277" i="3" s="1"/>
  <c r="T277" i="3" s="1"/>
  <c r="R328" i="3" a="1"/>
  <c r="R328" i="3" s="1"/>
  <c r="T328" i="3" s="1"/>
  <c r="R131" i="3" a="1"/>
  <c r="R131" i="3" s="1"/>
  <c r="T131" i="3" s="1"/>
  <c r="R140" i="3" a="1"/>
  <c r="R140" i="3" s="1"/>
  <c r="T140" i="3" s="1"/>
  <c r="R299" i="3" a="1"/>
  <c r="R299" i="3" s="1"/>
  <c r="T299" i="3" s="1"/>
  <c r="R216" i="3" a="1"/>
  <c r="R216" i="3" s="1"/>
  <c r="R224" i="3" a="1"/>
  <c r="R224" i="3" s="1"/>
  <c r="R139" i="3" a="1"/>
  <c r="R139" i="3" s="1"/>
  <c r="T139" i="3" s="1"/>
  <c r="R333" i="3" a="1"/>
  <c r="R333" i="3" s="1"/>
  <c r="T333" i="3" s="1"/>
  <c r="R78" i="3" a="1"/>
  <c r="R78" i="3" s="1"/>
  <c r="T78" i="3" s="1"/>
  <c r="R52" i="3" a="1"/>
  <c r="R52" i="3" s="1"/>
  <c r="T52" i="3" s="1"/>
  <c r="U297" i="3"/>
  <c r="DF49" i="3"/>
  <c r="U309" i="3"/>
  <c r="CY26" i="3"/>
  <c r="DG68" i="3" s="1"/>
  <c r="DA26" i="3"/>
  <c r="DI68" i="3" s="1"/>
  <c r="CZ26" i="3"/>
  <c r="DH68" i="3" s="1"/>
  <c r="DF68" i="3"/>
  <c r="EQ85" i="3"/>
  <c r="U287" i="3"/>
  <c r="U312" i="3"/>
  <c r="EQ53" i="3"/>
  <c r="DF86" i="3"/>
  <c r="DA44" i="3"/>
  <c r="DI86" i="3" s="1"/>
  <c r="CY44" i="3"/>
  <c r="DG86" i="3" s="1"/>
  <c r="CZ44" i="3"/>
  <c r="DH86" i="3" s="1"/>
  <c r="EQ51" i="3"/>
  <c r="I21" i="3"/>
  <c r="U289" i="3"/>
  <c r="U296" i="3"/>
  <c r="U315" i="3"/>
  <c r="DF48" i="3"/>
  <c r="DF69" i="3"/>
  <c r="DA27" i="3"/>
  <c r="DI69" i="3" s="1"/>
  <c r="CZ27" i="3"/>
  <c r="DH69" i="3" s="1"/>
  <c r="CY27" i="3"/>
  <c r="DG69" i="3" s="1"/>
  <c r="DF92" i="3"/>
  <c r="CZ50" i="3"/>
  <c r="DH92" i="3" s="1"/>
  <c r="CY50" i="3"/>
  <c r="DG92" i="3" s="1"/>
  <c r="DA50" i="3"/>
  <c r="DI92" i="3" s="1"/>
  <c r="R202" i="3" a="1"/>
  <c r="R202" i="3" s="1"/>
  <c r="R211" i="3" a="1"/>
  <c r="R211" i="3" s="1"/>
  <c r="R272" i="3" a="1"/>
  <c r="R272" i="3" s="1"/>
  <c r="T272" i="3" s="1"/>
  <c r="R232" i="3" a="1"/>
  <c r="R232" i="3" s="1"/>
  <c r="R352" i="3" a="1"/>
  <c r="R352" i="3" s="1"/>
  <c r="T352" i="3" s="1"/>
  <c r="R267" i="3" a="1"/>
  <c r="R267" i="3" s="1"/>
  <c r="T267" i="3" s="1"/>
  <c r="R170" i="3" a="1"/>
  <c r="R170" i="3" s="1"/>
  <c r="T170" i="3" s="1"/>
  <c r="R268" i="3" a="1"/>
  <c r="R268" i="3" s="1"/>
  <c r="T268" i="3" s="1"/>
  <c r="R231" i="3" a="1"/>
  <c r="R231" i="3" s="1"/>
  <c r="R105" i="3" a="1"/>
  <c r="R105" i="3" s="1"/>
  <c r="T105" i="3" s="1"/>
  <c r="R147" i="3" a="1"/>
  <c r="R147" i="3" s="1"/>
  <c r="T147" i="3" s="1"/>
  <c r="R102" i="3" a="1"/>
  <c r="R102" i="3" s="1"/>
  <c r="T102" i="3" s="1"/>
  <c r="R245" i="3" a="1"/>
  <c r="R245" i="3" s="1"/>
  <c r="R252" i="3" a="1"/>
  <c r="R252" i="3" s="1"/>
  <c r="T252" i="3" s="1"/>
  <c r="R336" i="3" a="1"/>
  <c r="R336" i="3" s="1"/>
  <c r="T336" i="3" s="1"/>
  <c r="R276" i="3" a="1"/>
  <c r="R276" i="3" s="1"/>
  <c r="T276" i="3" s="1"/>
  <c r="R64" i="3" a="1"/>
  <c r="R64" i="3" s="1"/>
  <c r="T64" i="3" s="1"/>
  <c r="R24" i="3" a="1"/>
  <c r="R24" i="3" s="1"/>
  <c r="T24" i="3" s="1"/>
  <c r="R22" i="3" a="1"/>
  <c r="R22" i="3" s="1"/>
  <c r="T22" i="3" s="1"/>
  <c r="R29" i="3" a="1"/>
  <c r="R29" i="3" s="1"/>
  <c r="T29" i="3" s="1"/>
  <c r="R196" i="3" a="1"/>
  <c r="R196" i="3" s="1"/>
  <c r="T196" i="3" s="1"/>
  <c r="R47" i="3" a="1"/>
  <c r="R47" i="3" s="1"/>
  <c r="T47" i="3" s="1"/>
  <c r="EQ47" i="3"/>
  <c r="EQ65" i="3"/>
  <c r="EQ74" i="3"/>
  <c r="U300" i="3"/>
  <c r="I11" i="3"/>
  <c r="DF59" i="3"/>
  <c r="DF76" i="3"/>
  <c r="DA34" i="3"/>
  <c r="DI76" i="3" s="1"/>
  <c r="CZ34" i="3"/>
  <c r="DH76" i="3" s="1"/>
  <c r="CY34" i="3"/>
  <c r="DG76" i="3" s="1"/>
  <c r="DA35" i="3"/>
  <c r="DI77" i="3" s="1"/>
  <c r="CZ35" i="3"/>
  <c r="DH77" i="3" s="1"/>
  <c r="CY35" i="3"/>
  <c r="DG77" i="3" s="1"/>
  <c r="DF77" i="3"/>
  <c r="CZ51" i="3"/>
  <c r="DH93" i="3" s="1"/>
  <c r="CY51" i="3"/>
  <c r="DG93" i="3" s="1"/>
  <c r="DF93" i="3"/>
  <c r="DA51" i="3"/>
  <c r="DI93" i="3" s="1"/>
  <c r="R168" i="3" a="1"/>
  <c r="R168" i="3" s="1"/>
  <c r="T168" i="3" s="1"/>
  <c r="R94" i="3" a="1"/>
  <c r="R94" i="3" s="1"/>
  <c r="T94" i="3" s="1"/>
  <c r="R103" i="3" a="1"/>
  <c r="R103" i="3" s="1"/>
  <c r="T103" i="3" s="1"/>
  <c r="R71" i="3" a="1"/>
  <c r="R71" i="3" s="1"/>
  <c r="T71" i="3" s="1"/>
  <c r="R242" i="3" a="1"/>
  <c r="R242" i="3" s="1"/>
  <c r="R296" i="3" a="1"/>
  <c r="R296" i="3" s="1"/>
  <c r="T296" i="3" s="1"/>
  <c r="R304" i="3" a="1"/>
  <c r="R304" i="3" s="1"/>
  <c r="T304" i="3" s="1"/>
  <c r="R301" i="3" a="1"/>
  <c r="R301" i="3" s="1"/>
  <c r="T301" i="3" s="1"/>
  <c r="R292" i="3" a="1"/>
  <c r="R292" i="3" s="1"/>
  <c r="T292" i="3" s="1"/>
  <c r="R357" i="3" a="1"/>
  <c r="R357" i="3" s="1"/>
  <c r="T357" i="3" s="1"/>
  <c r="R119" i="3" a="1"/>
  <c r="R119" i="3" s="1"/>
  <c r="T119" i="3" s="1"/>
  <c r="R351" i="3" a="1"/>
  <c r="R351" i="3" s="1"/>
  <c r="T351" i="3" s="1"/>
  <c r="R295" i="3" a="1"/>
  <c r="R295" i="3" s="1"/>
  <c r="T295" i="3" s="1"/>
  <c r="R353" i="3" a="1"/>
  <c r="R353" i="3" s="1"/>
  <c r="T353" i="3" s="1"/>
  <c r="R280" i="3" a="1"/>
  <c r="R280" i="3" s="1"/>
  <c r="T280" i="3" s="1"/>
  <c r="R124" i="3" a="1"/>
  <c r="R124" i="3" s="1"/>
  <c r="T124" i="3" s="1"/>
  <c r="R294" i="3" a="1"/>
  <c r="R294" i="3" s="1"/>
  <c r="T294" i="3" s="1"/>
  <c r="R19" i="3" a="1"/>
  <c r="R19" i="3" s="1"/>
  <c r="T19" i="3" s="1"/>
  <c r="R57" i="3" a="1"/>
  <c r="R57" i="3" s="1"/>
  <c r="T57" i="3" s="1"/>
  <c r="R118" i="3" a="1"/>
  <c r="R118" i="3" s="1"/>
  <c r="T118" i="3" s="1"/>
  <c r="R36" i="3" a="1"/>
  <c r="R36" i="3" s="1"/>
  <c r="T36" i="3" s="1"/>
  <c r="R60" i="3" a="1"/>
  <c r="R60" i="3" s="1"/>
  <c r="T60" i="3" s="1"/>
  <c r="R37" i="3" a="1"/>
  <c r="R37" i="3" s="1"/>
  <c r="T37" i="3" s="1"/>
  <c r="EQ48" i="3"/>
  <c r="EQ86" i="3"/>
  <c r="EQ67" i="3"/>
  <c r="U316" i="3"/>
  <c r="EQ57" i="3"/>
  <c r="EQ69" i="3"/>
  <c r="EQ63" i="3"/>
  <c r="EQ98" i="3"/>
  <c r="EQ72" i="3"/>
  <c r="DF58" i="3"/>
  <c r="U306" i="3"/>
  <c r="EQ68" i="3"/>
  <c r="DA38" i="3"/>
  <c r="DI80" i="3" s="1"/>
  <c r="CZ38" i="3"/>
  <c r="DH80" i="3" s="1"/>
  <c r="CY38" i="3"/>
  <c r="DG80" i="3" s="1"/>
  <c r="DF80" i="3"/>
  <c r="R279" i="3" a="1"/>
  <c r="R279" i="3" s="1"/>
  <c r="T279" i="3" s="1"/>
  <c r="R214" i="3" a="1"/>
  <c r="R214" i="3" s="1"/>
  <c r="R248" i="3" a="1"/>
  <c r="R248" i="3" s="1"/>
  <c r="R355" i="3" a="1"/>
  <c r="R355" i="3" s="1"/>
  <c r="T355" i="3" s="1"/>
  <c r="DF90" i="3"/>
  <c r="CY48" i="3"/>
  <c r="DG90" i="3" s="1"/>
  <c r="CZ48" i="3"/>
  <c r="DH90" i="3" s="1"/>
  <c r="DA48" i="3"/>
  <c r="DI90" i="3" s="1"/>
  <c r="R321" i="3" a="1"/>
  <c r="R321" i="3" s="1"/>
  <c r="T321" i="3" s="1"/>
  <c r="R101" i="3" a="1"/>
  <c r="R101" i="3" s="1"/>
  <c r="T101" i="3" s="1"/>
  <c r="R181" i="3" a="1"/>
  <c r="R181" i="3" s="1"/>
  <c r="T181" i="3" s="1"/>
  <c r="R77" i="3" a="1"/>
  <c r="R77" i="3" s="1"/>
  <c r="T77" i="3" s="1"/>
  <c r="R51" i="3" a="1"/>
  <c r="R51" i="3" s="1"/>
  <c r="T51" i="3" s="1"/>
  <c r="DF63" i="3"/>
  <c r="DA21" i="3"/>
  <c r="DI63" i="3" s="1"/>
  <c r="CY21" i="3"/>
  <c r="DG63" i="3" s="1"/>
  <c r="CZ21" i="3"/>
  <c r="DH63" i="3" s="1"/>
  <c r="DF52" i="3"/>
  <c r="DA36" i="3"/>
  <c r="DI78" i="3" s="1"/>
  <c r="CZ36" i="3"/>
  <c r="DH78" i="3" s="1"/>
  <c r="DF78" i="3"/>
  <c r="CY36" i="3"/>
  <c r="DG78" i="3" s="1"/>
  <c r="CY56" i="3"/>
  <c r="DG98" i="3" s="1"/>
  <c r="DF98" i="3"/>
  <c r="CZ56" i="3"/>
  <c r="DH98" i="3" s="1"/>
  <c r="DA56" i="3"/>
  <c r="DI98" i="3" s="1"/>
  <c r="R320" i="3" a="1"/>
  <c r="R320" i="3" s="1"/>
  <c r="T320" i="3" s="1"/>
  <c r="R209" i="3" a="1"/>
  <c r="R209" i="3" s="1"/>
  <c r="R198" i="3" a="1"/>
  <c r="R198" i="3" s="1"/>
  <c r="T198" i="3" s="1"/>
  <c r="R185" i="3" a="1"/>
  <c r="R185" i="3" s="1"/>
  <c r="T185" i="3" s="1"/>
  <c r="R120" i="3" a="1"/>
  <c r="R120" i="3" s="1"/>
  <c r="T120" i="3" s="1"/>
  <c r="R270" i="3" a="1"/>
  <c r="R270" i="3" s="1"/>
  <c r="T270" i="3" s="1"/>
  <c r="R323" i="3" a="1"/>
  <c r="R323" i="3" s="1"/>
  <c r="T323" i="3" s="1"/>
  <c r="R177" i="3" a="1"/>
  <c r="R177" i="3" s="1"/>
  <c r="T177" i="3" s="1"/>
  <c r="R342" i="3" a="1"/>
  <c r="R342" i="3" s="1"/>
  <c r="T342" i="3" s="1"/>
  <c r="R106" i="3" a="1"/>
  <c r="R106" i="3" s="1"/>
  <c r="T106" i="3" s="1"/>
  <c r="R200" i="3" a="1"/>
  <c r="R200" i="3" s="1"/>
  <c r="T200" i="3" s="1"/>
  <c r="R83" i="3" a="1"/>
  <c r="R83" i="3" s="1"/>
  <c r="T83" i="3" s="1"/>
  <c r="R226" i="3" a="1"/>
  <c r="R226" i="3" s="1"/>
  <c r="R318" i="3" a="1"/>
  <c r="R318" i="3" s="1"/>
  <c r="T318" i="3" s="1"/>
  <c r="R309" i="3" a="1"/>
  <c r="R309" i="3" s="1"/>
  <c r="T309" i="3" s="1"/>
  <c r="R146" i="3" a="1"/>
  <c r="R146" i="3" s="1"/>
  <c r="T146" i="3" s="1"/>
  <c r="R206" i="3" a="1"/>
  <c r="R206" i="3" s="1"/>
  <c r="R27" i="3" a="1"/>
  <c r="R27" i="3" s="1"/>
  <c r="T27" i="3" s="1"/>
  <c r="R9" i="3" a="1"/>
  <c r="R9" i="3" s="1"/>
  <c r="T9" i="3" s="1"/>
  <c r="R215" i="3" a="1"/>
  <c r="R215" i="3" s="1"/>
  <c r="R225" i="3" a="1"/>
  <c r="R225" i="3" s="1"/>
  <c r="R96" i="3" a="1"/>
  <c r="R96" i="3" s="1"/>
  <c r="T96" i="3" s="1"/>
  <c r="EQ66" i="3"/>
  <c r="EQ55" i="3"/>
  <c r="EQ89" i="3"/>
  <c r="DF53" i="3"/>
  <c r="EQ80" i="3"/>
  <c r="EJ57" i="3"/>
  <c r="EL57" i="3"/>
  <c r="EK57" i="3"/>
  <c r="U291" i="3"/>
  <c r="DF70" i="3"/>
  <c r="DA28" i="3"/>
  <c r="DI70" i="3" s="1"/>
  <c r="CZ28" i="3"/>
  <c r="DH70" i="3" s="1"/>
  <c r="CY28" i="3"/>
  <c r="DG70" i="3" s="1"/>
  <c r="EQ76" i="3"/>
  <c r="DF88" i="3"/>
  <c r="DA46" i="3"/>
  <c r="DI88" i="3" s="1"/>
  <c r="CZ46" i="3"/>
  <c r="DH88" i="3" s="1"/>
  <c r="CY46" i="3"/>
  <c r="DG88" i="3" s="1"/>
  <c r="EQ95" i="3"/>
  <c r="EQ92" i="3"/>
  <c r="DF62" i="3"/>
  <c r="EQ50" i="3"/>
  <c r="H12" i="3"/>
  <c r="G13" i="3" s="1"/>
  <c r="DF81" i="3"/>
  <c r="CY39" i="3"/>
  <c r="DG81" i="3" s="1"/>
  <c r="DA39" i="3"/>
  <c r="DI81" i="3" s="1"/>
  <c r="CZ39" i="3"/>
  <c r="DH81" i="3" s="1"/>
  <c r="R310" i="3" a="1"/>
  <c r="R310" i="3" s="1"/>
  <c r="T310" i="3" s="1"/>
  <c r="R315" i="3" a="1"/>
  <c r="R315" i="3" s="1"/>
  <c r="T315" i="3" s="1"/>
  <c r="R116" i="3" a="1"/>
  <c r="R116" i="3" s="1"/>
  <c r="T116" i="3" s="1"/>
  <c r="R75" i="3" a="1"/>
  <c r="R75" i="3" s="1"/>
  <c r="T75" i="3" s="1"/>
  <c r="R53" i="3" a="1"/>
  <c r="R53" i="3" s="1"/>
  <c r="T53" i="3" s="1"/>
  <c r="DF85" i="3"/>
  <c r="DA43" i="3"/>
  <c r="DI85" i="3" s="1"/>
  <c r="CZ43" i="3"/>
  <c r="DH85" i="3" s="1"/>
  <c r="CY43" i="3"/>
  <c r="DG85" i="3" s="1"/>
  <c r="R128" i="3" a="1"/>
  <c r="R128" i="3" s="1"/>
  <c r="T128" i="3" s="1"/>
  <c r="R205" i="3" a="1"/>
  <c r="R205" i="3" s="1"/>
  <c r="R241" i="3" a="1"/>
  <c r="R241" i="3" s="1"/>
  <c r="R50" i="3" a="1"/>
  <c r="R50" i="3" s="1"/>
  <c r="T50" i="3" s="1"/>
  <c r="R99" i="3" a="1"/>
  <c r="R99" i="3" s="1"/>
  <c r="T99" i="3" s="1"/>
  <c r="EQ87" i="3"/>
  <c r="U290" i="3"/>
  <c r="DF47" i="3"/>
  <c r="DF74" i="3"/>
  <c r="DA32" i="3"/>
  <c r="DI74" i="3" s="1"/>
  <c r="CZ32" i="3"/>
  <c r="DH74" i="3" s="1"/>
  <c r="CY32" i="3"/>
  <c r="DG74" i="3" s="1"/>
  <c r="DA52" i="3"/>
  <c r="DI94" i="3" s="1"/>
  <c r="DF94" i="3"/>
  <c r="CZ52" i="3"/>
  <c r="DH94" i="3" s="1"/>
  <c r="CY52" i="3"/>
  <c r="DG94" i="3" s="1"/>
  <c r="R306" i="3" a="1"/>
  <c r="R306" i="3" s="1"/>
  <c r="T306" i="3" s="1"/>
  <c r="R322" i="3" a="1"/>
  <c r="R322" i="3" s="1"/>
  <c r="T322" i="3" s="1"/>
  <c r="R222" i="3" a="1"/>
  <c r="R222" i="3" s="1"/>
  <c r="R130" i="3" a="1"/>
  <c r="R130" i="3" s="1"/>
  <c r="T130" i="3" s="1"/>
  <c r="R188" i="3" a="1"/>
  <c r="R188" i="3" s="1"/>
  <c r="T188" i="3" s="1"/>
  <c r="R121" i="3" a="1"/>
  <c r="R121" i="3" s="1"/>
  <c r="T121" i="3" s="1"/>
  <c r="R237" i="3" a="1"/>
  <c r="R237" i="3" s="1"/>
  <c r="R145" i="3" a="1"/>
  <c r="R145" i="3" s="1"/>
  <c r="T145" i="3" s="1"/>
  <c r="R95" i="3" a="1"/>
  <c r="R95" i="3" s="1"/>
  <c r="T95" i="3" s="1"/>
  <c r="R117" i="3" a="1"/>
  <c r="R117" i="3" s="1"/>
  <c r="T117" i="3" s="1"/>
  <c r="R161" i="3" a="1"/>
  <c r="R161" i="3" s="1"/>
  <c r="T161" i="3" s="1"/>
  <c r="R199" i="3" a="1"/>
  <c r="R199" i="3" s="1"/>
  <c r="T199" i="3" s="1"/>
  <c r="R156" i="3" a="1"/>
  <c r="R156" i="3" s="1"/>
  <c r="T156" i="3" s="1"/>
  <c r="R345" i="3" a="1"/>
  <c r="R345" i="3" s="1"/>
  <c r="T345" i="3" s="1"/>
  <c r="R230" i="3" a="1"/>
  <c r="R230" i="3" s="1"/>
  <c r="R165" i="3" a="1"/>
  <c r="R165" i="3" s="1"/>
  <c r="T165" i="3" s="1"/>
  <c r="R32" i="3" a="1"/>
  <c r="R32" i="3" s="1"/>
  <c r="T32" i="3" s="1"/>
  <c r="R86" i="3" a="1"/>
  <c r="R86" i="3" s="1"/>
  <c r="T86" i="3" s="1"/>
  <c r="R111" i="3" a="1"/>
  <c r="R111" i="3" s="1"/>
  <c r="T111" i="3" s="1"/>
  <c r="R17" i="3" a="1"/>
  <c r="R17" i="3" s="1"/>
  <c r="T17" i="3" s="1"/>
  <c r="R127" i="3" a="1"/>
  <c r="R127" i="3" s="1"/>
  <c r="T127" i="3" s="1"/>
  <c r="R135" i="3" a="1"/>
  <c r="R135" i="3" s="1"/>
  <c r="T135" i="3" s="1"/>
  <c r="EQ77" i="3"/>
  <c r="EQ60" i="3"/>
  <c r="EQ75" i="3"/>
  <c r="BN51" i="3"/>
  <c r="BG49" i="3"/>
  <c r="EQ97" i="3"/>
  <c r="DF71" i="3"/>
  <c r="CY29" i="3"/>
  <c r="DG71" i="3" s="1"/>
  <c r="CZ29" i="3"/>
  <c r="DH71" i="3" s="1"/>
  <c r="DA29" i="3"/>
  <c r="DI71" i="3" s="1"/>
  <c r="EQ64" i="3"/>
  <c r="DF91" i="3"/>
  <c r="DA49" i="3"/>
  <c r="DI91" i="3" s="1"/>
  <c r="CZ49" i="3"/>
  <c r="DH91" i="3" s="1"/>
  <c r="CY49" i="3"/>
  <c r="DG91" i="3" s="1"/>
  <c r="U310" i="3"/>
  <c r="EQ59" i="3"/>
  <c r="DF67" i="3"/>
  <c r="CY25" i="3"/>
  <c r="DG67" i="3" s="1"/>
  <c r="DA25" i="3"/>
  <c r="DI67" i="3" s="1"/>
  <c r="CZ25" i="3"/>
  <c r="DH67" i="3" s="1"/>
  <c r="EQ61" i="3"/>
  <c r="U299" i="3"/>
  <c r="EQ56" i="3"/>
  <c r="U295" i="3"/>
  <c r="U317" i="3"/>
  <c r="CY42" i="3"/>
  <c r="DG84" i="3" s="1"/>
  <c r="DF84" i="3"/>
  <c r="DA42" i="3"/>
  <c r="DI84" i="3" s="1"/>
  <c r="CZ42" i="3"/>
  <c r="DH84" i="3" s="1"/>
  <c r="R154" i="3" a="1"/>
  <c r="R154" i="3" s="1"/>
  <c r="T154" i="3" s="1"/>
  <c r="R288" i="3" a="1"/>
  <c r="R288" i="3" s="1"/>
  <c r="T288" i="3" s="1"/>
  <c r="R194" i="3" a="1"/>
  <c r="R194" i="3" s="1"/>
  <c r="T194" i="3" s="1"/>
  <c r="R43" i="3" a="1"/>
  <c r="R43" i="3" s="1"/>
  <c r="T43" i="3" s="1"/>
  <c r="EQ49" i="3"/>
  <c r="DA31" i="3"/>
  <c r="DI73" i="3" s="1"/>
  <c r="CZ31" i="3"/>
  <c r="DH73" i="3" s="1"/>
  <c r="DF73" i="3"/>
  <c r="CY31" i="3"/>
  <c r="DG73" i="3" s="1"/>
  <c r="R218" i="3" a="1"/>
  <c r="R218" i="3" s="1"/>
  <c r="R300" i="3" a="1"/>
  <c r="R300" i="3" s="1"/>
  <c r="T300" i="3" s="1"/>
  <c r="R257" i="3" a="1"/>
  <c r="R257" i="3" s="1"/>
  <c r="T257" i="3" s="1"/>
  <c r="R5" i="3" a="1"/>
  <c r="R5" i="3" s="1"/>
  <c r="T5" i="3" s="1"/>
  <c r="EQ62" i="3"/>
  <c r="U293" i="3"/>
  <c r="DF60" i="3"/>
  <c r="DF65" i="3"/>
  <c r="DA23" i="3"/>
  <c r="DI65" i="3" s="1"/>
  <c r="CZ23" i="3"/>
  <c r="DH65" i="3" s="1"/>
  <c r="CY23" i="3"/>
  <c r="DG65" i="3" s="1"/>
  <c r="DF54" i="3"/>
  <c r="R255" i="3" a="1"/>
  <c r="R255" i="3" s="1"/>
  <c r="T255" i="3" s="1"/>
  <c r="R256" i="3" a="1"/>
  <c r="R256" i="3" s="1"/>
  <c r="T256" i="3" s="1"/>
  <c r="R122" i="3" a="1"/>
  <c r="R122" i="3" s="1"/>
  <c r="T122" i="3" s="1"/>
  <c r="R217" i="3" a="1"/>
  <c r="R217" i="3" s="1"/>
  <c r="R234" i="3" a="1"/>
  <c r="R234" i="3" s="1"/>
  <c r="R327" i="3" a="1"/>
  <c r="R327" i="3" s="1"/>
  <c r="T327" i="3" s="1"/>
  <c r="R281" i="3" a="1"/>
  <c r="R281" i="3" s="1"/>
  <c r="T281" i="3" s="1"/>
  <c r="R213" i="3" a="1"/>
  <c r="R213" i="3" s="1"/>
  <c r="R243" i="3" a="1"/>
  <c r="R243" i="3" s="1"/>
  <c r="R337" i="3" a="1"/>
  <c r="R337" i="3" s="1"/>
  <c r="T337" i="3" s="1"/>
  <c r="R259" i="3" a="1"/>
  <c r="R259" i="3" s="1"/>
  <c r="T259" i="3" s="1"/>
  <c r="R91" i="3" a="1"/>
  <c r="R91" i="3" s="1"/>
  <c r="T91" i="3" s="1"/>
  <c r="R346" i="3" a="1"/>
  <c r="R346" i="3" s="1"/>
  <c r="T346" i="3" s="1"/>
  <c r="R354" i="3" a="1"/>
  <c r="R354" i="3" s="1"/>
  <c r="T354" i="3" s="1"/>
  <c r="R138" i="3" a="1"/>
  <c r="R138" i="3" s="1"/>
  <c r="T138" i="3" s="1"/>
  <c r="R223" i="3" a="1"/>
  <c r="R223" i="3" s="1"/>
  <c r="R63" i="3" a="1"/>
  <c r="R63" i="3" s="1"/>
  <c r="T63" i="3" s="1"/>
  <c r="R56" i="3" a="1"/>
  <c r="R56" i="3" s="1"/>
  <c r="T56" i="3" s="1"/>
  <c r="R10" i="3" a="1"/>
  <c r="R10" i="3" s="1"/>
  <c r="T10" i="3" s="1"/>
  <c r="R25" i="3" a="1"/>
  <c r="R25" i="3" s="1"/>
  <c r="T25" i="3" s="1"/>
  <c r="R149" i="3" a="1"/>
  <c r="R149" i="3" s="1"/>
  <c r="T149" i="3" s="1"/>
  <c r="R178" i="3" a="1"/>
  <c r="R178" i="3" s="1"/>
  <c r="T178" i="3" s="1"/>
  <c r="EQ70" i="3"/>
  <c r="EQ52" i="3"/>
  <c r="EQ81" i="3"/>
  <c r="BP51" i="3"/>
  <c r="BI49" i="3"/>
  <c r="DA40" i="3"/>
  <c r="DI82" i="3" s="1"/>
  <c r="CZ40" i="3"/>
  <c r="DH82" i="3" s="1"/>
  <c r="CY40" i="3"/>
  <c r="DG82" i="3" s="1"/>
  <c r="DF82" i="3"/>
  <c r="U314" i="3"/>
  <c r="DF72" i="3"/>
  <c r="CZ30" i="3"/>
  <c r="DH72" i="3" s="1"/>
  <c r="DA30" i="3"/>
  <c r="DI72" i="3" s="1"/>
  <c r="CY30" i="3"/>
  <c r="DG72" i="3" s="1"/>
  <c r="U301" i="3"/>
  <c r="EQ93" i="3"/>
  <c r="DA54" i="3"/>
  <c r="DI96" i="3" s="1"/>
  <c r="CZ54" i="3"/>
  <c r="DH96" i="3" s="1"/>
  <c r="CY54" i="3"/>
  <c r="DG96" i="3" s="1"/>
  <c r="DF96" i="3"/>
  <c r="DF55" i="3"/>
  <c r="DF51" i="3"/>
  <c r="R195" i="3" a="1"/>
  <c r="R195" i="3" s="1"/>
  <c r="T195" i="3" s="1"/>
  <c r="EQ71" i="3"/>
  <c r="U305" i="3"/>
  <c r="DF66" i="3"/>
  <c r="CZ24" i="3"/>
  <c r="DH66" i="3" s="1"/>
  <c r="DA24" i="3"/>
  <c r="DI66" i="3" s="1"/>
  <c r="CY24" i="3"/>
  <c r="DG66" i="3" s="1"/>
  <c r="R303" i="3" a="1"/>
  <c r="R303" i="3" s="1"/>
  <c r="T303" i="3" s="1"/>
  <c r="R158" i="3" a="1"/>
  <c r="R158" i="3" s="1"/>
  <c r="T158" i="3" s="1"/>
  <c r="R88" i="3" a="1"/>
  <c r="R88" i="3" s="1"/>
  <c r="T88" i="3" s="1"/>
  <c r="R11" i="3" a="1"/>
  <c r="R11" i="3" s="1"/>
  <c r="T11" i="3" s="1"/>
  <c r="U313" i="3"/>
  <c r="EQ83" i="3"/>
  <c r="U302" i="3"/>
  <c r="U311" i="3"/>
  <c r="R125" i="3" a="1"/>
  <c r="R125" i="3" s="1"/>
  <c r="T125" i="3" s="1"/>
  <c r="R348" i="3" a="1"/>
  <c r="R348" i="3" s="1"/>
  <c r="T348" i="3" s="1"/>
  <c r="R278" i="3" a="1"/>
  <c r="R278" i="3" s="1"/>
  <c r="T278" i="3" s="1"/>
  <c r="AI51" i="3"/>
  <c r="EQ82" i="3"/>
  <c r="U288" i="3"/>
  <c r="DA41" i="3"/>
  <c r="DI83" i="3" s="1"/>
  <c r="DF83" i="3"/>
  <c r="CY41" i="3"/>
  <c r="DG83" i="3" s="1"/>
  <c r="CZ41" i="3"/>
  <c r="DH83" i="3" s="1"/>
  <c r="DF56" i="3"/>
  <c r="DF57" i="3"/>
  <c r="R160" i="3" a="1"/>
  <c r="R160" i="3" s="1"/>
  <c r="T160" i="3" s="1"/>
  <c r="R240" i="3" a="1"/>
  <c r="R240" i="3" s="1"/>
  <c r="R227" i="3" a="1"/>
  <c r="R227" i="3" s="1"/>
  <c r="R249" i="3" a="1"/>
  <c r="R249" i="3" s="1"/>
  <c r="T249" i="3" s="1"/>
  <c r="R115" i="3" a="1"/>
  <c r="R115" i="3" s="1"/>
  <c r="T115" i="3" s="1"/>
  <c r="R287" i="3" a="1"/>
  <c r="R287" i="3" s="1"/>
  <c r="T287" i="3" s="1"/>
  <c r="R126" i="3" a="1"/>
  <c r="R126" i="3" s="1"/>
  <c r="T126" i="3" s="1"/>
  <c r="R229" i="3" a="1"/>
  <c r="R229" i="3" s="1"/>
  <c r="R133" i="3" a="1"/>
  <c r="R133" i="3" s="1"/>
  <c r="T133" i="3" s="1"/>
  <c r="R258" i="3" a="1"/>
  <c r="R258" i="3" s="1"/>
  <c r="T258" i="3" s="1"/>
  <c r="R236" i="3" a="1"/>
  <c r="R236" i="3" s="1"/>
  <c r="R155" i="3" a="1"/>
  <c r="R155" i="3" s="1"/>
  <c r="T155" i="3" s="1"/>
  <c r="R275" i="3" a="1"/>
  <c r="R275" i="3" s="1"/>
  <c r="T275" i="3" s="1"/>
  <c r="R291" i="3" a="1"/>
  <c r="R291" i="3" s="1"/>
  <c r="T291" i="3" s="1"/>
  <c r="R305" i="3" a="1"/>
  <c r="R305" i="3" s="1"/>
  <c r="T305" i="3" s="1"/>
  <c r="R179" i="3" a="1"/>
  <c r="R179" i="3" s="1"/>
  <c r="T179" i="3" s="1"/>
  <c r="R13" i="3" a="1"/>
  <c r="R13" i="3" s="1"/>
  <c r="T13" i="3" s="1"/>
  <c r="R166" i="3" a="1"/>
  <c r="R166" i="3" s="1"/>
  <c r="T166" i="3" s="1"/>
  <c r="R8" i="3" a="1"/>
  <c r="R8" i="3" s="1"/>
  <c r="T8" i="3" s="1"/>
  <c r="R35" i="3" a="1"/>
  <c r="R35" i="3" s="1"/>
  <c r="T35" i="3" s="1"/>
  <c r="R67" i="3" a="1"/>
  <c r="R67" i="3" s="1"/>
  <c r="T67" i="3" s="1"/>
  <c r="R261" i="3" a="1"/>
  <c r="R261" i="3" s="1"/>
  <c r="T261" i="3" s="1"/>
  <c r="EQ91" i="3"/>
  <c r="EQ88" i="3"/>
  <c r="EQ84" i="3"/>
  <c r="AZ8" i="3"/>
  <c r="BM52" i="3" s="1"/>
  <c r="AY8" i="3"/>
  <c r="BF50" i="3"/>
  <c r="AX8" i="3"/>
  <c r="AW9" i="3"/>
  <c r="DF87" i="3"/>
  <c r="DA45" i="3"/>
  <c r="DI87" i="3" s="1"/>
  <c r="CZ45" i="3"/>
  <c r="DH87" i="3" s="1"/>
  <c r="CY45" i="3"/>
  <c r="DG87" i="3" s="1"/>
  <c r="EQ79" i="3"/>
  <c r="DF89" i="3"/>
  <c r="CY47" i="3"/>
  <c r="DG89" i="3" s="1"/>
  <c r="DA47" i="3"/>
  <c r="DI89" i="3" s="1"/>
  <c r="CZ47" i="3"/>
  <c r="DH89" i="3" s="1"/>
  <c r="EQ96" i="3"/>
  <c r="DF95" i="3"/>
  <c r="DA53" i="3"/>
  <c r="DI95" i="3" s="1"/>
  <c r="CZ53" i="3"/>
  <c r="DH95" i="3" s="1"/>
  <c r="CY53" i="3"/>
  <c r="DG95" i="3" s="1"/>
  <c r="EQ78" i="3"/>
  <c r="H22" i="3"/>
  <c r="G23" i="3" s="1"/>
  <c r="DF99" i="3"/>
  <c r="DA57" i="3"/>
  <c r="DI99" i="3" s="1"/>
  <c r="CZ57" i="3"/>
  <c r="DH99" i="3" s="1"/>
  <c r="CY57" i="3"/>
  <c r="DG99" i="3" s="1"/>
  <c r="U308" i="3"/>
  <c r="EQ94" i="3"/>
  <c r="DF79" i="3"/>
  <c r="DA37" i="3"/>
  <c r="DI79" i="3" s="1"/>
  <c r="CZ37" i="3"/>
  <c r="DH79" i="3" s="1"/>
  <c r="CY37" i="3"/>
  <c r="DG79" i="3" s="1"/>
  <c r="U292" i="3"/>
  <c r="DF61" i="3"/>
  <c r="R169" i="3" a="1"/>
  <c r="R169" i="3" s="1"/>
  <c r="T169" i="3" s="1"/>
  <c r="R325" i="3" a="1"/>
  <c r="R325" i="3" s="1"/>
  <c r="T325" i="3" s="1"/>
  <c r="R163" i="3" a="1"/>
  <c r="R163" i="3" s="1"/>
  <c r="T163" i="3" s="1"/>
  <c r="R28" i="3" a="1"/>
  <c r="R28" i="3" s="1"/>
  <c r="T28" i="3" s="1"/>
  <c r="R69" i="3" a="1"/>
  <c r="R69" i="3" s="1"/>
  <c r="T69" i="3" s="1"/>
  <c r="EQ73" i="3"/>
  <c r="DF97" i="3"/>
  <c r="DA55" i="3"/>
  <c r="DI97" i="3" s="1"/>
  <c r="CZ55" i="3"/>
  <c r="DH97" i="3" s="1"/>
  <c r="CY55" i="3"/>
  <c r="DG97" i="3" s="1"/>
  <c r="R164" i="3" a="1"/>
  <c r="R164" i="3" s="1"/>
  <c r="T164" i="3" s="1"/>
  <c r="R332" i="3" a="1"/>
  <c r="R332" i="3" s="1"/>
  <c r="T332" i="3" s="1"/>
  <c r="R311" i="3" a="1"/>
  <c r="R311" i="3" s="1"/>
  <c r="T311" i="3" s="1"/>
  <c r="R48" i="3" a="1"/>
  <c r="R48" i="3" s="1"/>
  <c r="T48" i="3" s="1"/>
  <c r="R59" i="3" a="1"/>
  <c r="R59" i="3" s="1"/>
  <c r="T59" i="3" s="1"/>
  <c r="U307" i="3"/>
  <c r="U298" i="3"/>
  <c r="DF50" i="3"/>
  <c r="CZ33" i="3"/>
  <c r="DH75" i="3" s="1"/>
  <c r="DF75" i="3"/>
  <c r="CY33" i="3"/>
  <c r="DG75" i="3" s="1"/>
  <c r="DA33" i="3"/>
  <c r="DI75" i="3" s="1"/>
  <c r="DF64" i="3"/>
  <c r="CY22" i="3"/>
  <c r="DG64" i="3" s="1"/>
  <c r="DA22" i="3"/>
  <c r="DI64" i="3" s="1"/>
  <c r="CZ22" i="3"/>
  <c r="DH64" i="3" s="1"/>
  <c r="R220" i="3" a="1"/>
  <c r="R220" i="3" s="1"/>
  <c r="R319" i="3" a="1"/>
  <c r="R319" i="3" s="1"/>
  <c r="T319" i="3" s="1"/>
  <c r="R250" i="3" a="1"/>
  <c r="R250" i="3" s="1"/>
  <c r="T250" i="3" s="1"/>
  <c r="R104" i="3" a="1"/>
  <c r="R104" i="3" s="1"/>
  <c r="T104" i="3" s="1"/>
  <c r="R93" i="3" a="1"/>
  <c r="R93" i="3" s="1"/>
  <c r="T93" i="3" s="1"/>
  <c r="R197" i="3" a="1"/>
  <c r="R197" i="3" s="1"/>
  <c r="T197" i="3" s="1"/>
  <c r="R239" i="3" a="1"/>
  <c r="R239" i="3" s="1"/>
  <c r="R339" i="3" a="1"/>
  <c r="R339" i="3" s="1"/>
  <c r="T339" i="3" s="1"/>
  <c r="R173" i="3" a="1"/>
  <c r="R173" i="3" s="1"/>
  <c r="T173" i="3" s="1"/>
  <c r="R107" i="3" a="1"/>
  <c r="R107" i="3" s="1"/>
  <c r="T107" i="3" s="1"/>
  <c r="R341" i="3" a="1"/>
  <c r="R341" i="3" s="1"/>
  <c r="T341" i="3" s="1"/>
  <c r="R340" i="3" a="1"/>
  <c r="R340" i="3" s="1"/>
  <c r="T340" i="3" s="1"/>
  <c r="R65" i="3" a="1"/>
  <c r="R65" i="3" s="1"/>
  <c r="T65" i="3" s="1"/>
  <c r="R349" i="3" a="1"/>
  <c r="R349" i="3" s="1"/>
  <c r="T349" i="3" s="1"/>
  <c r="R283" i="3" a="1"/>
  <c r="R283" i="3" s="1"/>
  <c r="T283" i="3" s="1"/>
  <c r="R314" i="3" a="1"/>
  <c r="R314" i="3" s="1"/>
  <c r="T314" i="3" s="1"/>
  <c r="R41" i="3" a="1"/>
  <c r="R41" i="3" s="1"/>
  <c r="T41" i="3" s="1"/>
  <c r="R184" i="3" a="1"/>
  <c r="R184" i="3" s="1"/>
  <c r="T184" i="3" s="1"/>
  <c r="R14" i="3" a="1"/>
  <c r="R14" i="3" s="1"/>
  <c r="T14" i="3" s="1"/>
  <c r="R44" i="3" a="1"/>
  <c r="R44" i="3" s="1"/>
  <c r="T44" i="3" s="1"/>
  <c r="R73" i="3" a="1"/>
  <c r="R73" i="3" s="1"/>
  <c r="T73" i="3" s="1"/>
  <c r="U286" i="3"/>
  <c r="EQ58" i="3"/>
  <c r="EQ54" i="3"/>
  <c r="EQ90" i="3"/>
  <c r="U303" i="3"/>
  <c r="BO51" i="3"/>
  <c r="BH49" i="3"/>
  <c r="U304" i="3"/>
  <c r="CM116" i="2"/>
  <c r="CL116" i="2"/>
  <c r="CK116" i="2"/>
  <c r="CJ116" i="2"/>
  <c r="CM115" i="2"/>
  <c r="CL115" i="2"/>
  <c r="CK115" i="2"/>
  <c r="CJ115" i="2"/>
  <c r="CM114" i="2"/>
  <c r="CL114" i="2"/>
  <c r="CK114" i="2"/>
  <c r="CJ114" i="2"/>
  <c r="CM113" i="2"/>
  <c r="CL113" i="2"/>
  <c r="CK113" i="2"/>
  <c r="CJ113" i="2"/>
  <c r="CM112" i="2"/>
  <c r="CL112" i="2"/>
  <c r="CK112" i="2"/>
  <c r="CJ112" i="2"/>
  <c r="CM111" i="2"/>
  <c r="CL111" i="2"/>
  <c r="CK111" i="2"/>
  <c r="CJ111" i="2"/>
  <c r="CM110" i="2"/>
  <c r="CL110" i="2"/>
  <c r="CK110" i="2"/>
  <c r="CJ110" i="2"/>
  <c r="CM109" i="2"/>
  <c r="CL109" i="2"/>
  <c r="CK109" i="2"/>
  <c r="CJ109" i="2"/>
  <c r="CM108" i="2"/>
  <c r="CL108" i="2"/>
  <c r="CK108" i="2"/>
  <c r="CJ108" i="2"/>
  <c r="CM107" i="2"/>
  <c r="CL107" i="2"/>
  <c r="CK107" i="2"/>
  <c r="CJ107" i="2"/>
  <c r="CM106" i="2"/>
  <c r="CL106" i="2"/>
  <c r="CK106" i="2"/>
  <c r="CJ106" i="2"/>
  <c r="CM105" i="2"/>
  <c r="CL105" i="2"/>
  <c r="CK105" i="2"/>
  <c r="CJ105" i="2"/>
  <c r="EH104" i="2"/>
  <c r="EG104" i="2"/>
  <c r="EF104" i="2"/>
  <c r="EE104" i="2"/>
  <c r="CM104" i="2"/>
  <c r="CL104" i="2"/>
  <c r="CK104" i="2"/>
  <c r="CJ104" i="2"/>
  <c r="EH103" i="2"/>
  <c r="EG103" i="2"/>
  <c r="EF103" i="2"/>
  <c r="EE103" i="2"/>
  <c r="CM103" i="2"/>
  <c r="CL103" i="2"/>
  <c r="CK103" i="2"/>
  <c r="CJ103" i="2"/>
  <c r="EH102" i="2"/>
  <c r="EG102" i="2"/>
  <c r="EF102" i="2"/>
  <c r="EE102" i="2"/>
  <c r="CM102" i="2"/>
  <c r="CL102" i="2"/>
  <c r="CK102" i="2"/>
  <c r="CJ102" i="2"/>
  <c r="EH101" i="2"/>
  <c r="EG101" i="2"/>
  <c r="EF101" i="2"/>
  <c r="EE101" i="2"/>
  <c r="DR101" i="2"/>
  <c r="DQ101" i="2"/>
  <c r="DP101" i="2"/>
  <c r="DO101" i="2"/>
  <c r="CM101" i="2"/>
  <c r="CL101" i="2"/>
  <c r="CK101" i="2"/>
  <c r="CJ101" i="2"/>
  <c r="EH100" i="2"/>
  <c r="EG100" i="2"/>
  <c r="EF100" i="2"/>
  <c r="EE100" i="2"/>
  <c r="DR100" i="2"/>
  <c r="DQ100" i="2"/>
  <c r="DP100" i="2"/>
  <c r="DO100" i="2"/>
  <c r="CM100" i="2"/>
  <c r="CL100" i="2"/>
  <c r="CK100" i="2"/>
  <c r="CJ100" i="2"/>
  <c r="EH99" i="2"/>
  <c r="EG99" i="2"/>
  <c r="EF99" i="2"/>
  <c r="EE99" i="2"/>
  <c r="DR99" i="2"/>
  <c r="DQ99" i="2"/>
  <c r="DP99" i="2"/>
  <c r="DO99" i="2"/>
  <c r="CM99" i="2"/>
  <c r="CL99" i="2"/>
  <c r="CK99" i="2"/>
  <c r="CJ99" i="2"/>
  <c r="EH98" i="2"/>
  <c r="EG98" i="2"/>
  <c r="EF98" i="2"/>
  <c r="EE98" i="2"/>
  <c r="DR98" i="2"/>
  <c r="DQ98" i="2"/>
  <c r="DP98" i="2"/>
  <c r="DO98" i="2"/>
  <c r="CM98" i="2"/>
  <c r="CL98" i="2"/>
  <c r="CK98" i="2"/>
  <c r="CJ98" i="2"/>
  <c r="EH97" i="2"/>
  <c r="EG97" i="2"/>
  <c r="EF97" i="2"/>
  <c r="EE97" i="2"/>
  <c r="DR97" i="2"/>
  <c r="DQ97" i="2"/>
  <c r="DP97" i="2"/>
  <c r="DO97" i="2"/>
  <c r="CM97" i="2"/>
  <c r="CL97" i="2"/>
  <c r="CK97" i="2"/>
  <c r="CJ97" i="2"/>
  <c r="AT97" i="2"/>
  <c r="AS97" i="2"/>
  <c r="AR97" i="2"/>
  <c r="AQ97" i="2"/>
  <c r="EH96" i="2"/>
  <c r="EG96" i="2"/>
  <c r="EF96" i="2"/>
  <c r="EE96" i="2"/>
  <c r="DR96" i="2"/>
  <c r="DQ96" i="2"/>
  <c r="DP96" i="2"/>
  <c r="DO96" i="2"/>
  <c r="CM96" i="2"/>
  <c r="CL96" i="2"/>
  <c r="CK96" i="2"/>
  <c r="CJ96" i="2"/>
  <c r="BI96" i="2"/>
  <c r="BH96" i="2"/>
  <c r="BG96" i="2"/>
  <c r="BF96" i="2"/>
  <c r="AT96" i="2"/>
  <c r="AS96" i="2"/>
  <c r="AR96" i="2"/>
  <c r="AQ96" i="2"/>
  <c r="AE96" i="2"/>
  <c r="AD96" i="2"/>
  <c r="AC96" i="2"/>
  <c r="AB96" i="2"/>
  <c r="P96" i="2"/>
  <c r="O96" i="2"/>
  <c r="N96" i="2"/>
  <c r="M96" i="2"/>
  <c r="EH95" i="2"/>
  <c r="EG95" i="2"/>
  <c r="EF95" i="2"/>
  <c r="EE95" i="2"/>
  <c r="DR95" i="2"/>
  <c r="DQ95" i="2"/>
  <c r="DP95" i="2"/>
  <c r="DO95" i="2"/>
  <c r="CM95" i="2"/>
  <c r="CL95" i="2"/>
  <c r="CK95" i="2"/>
  <c r="CJ95" i="2"/>
  <c r="BI95" i="2"/>
  <c r="BH95" i="2"/>
  <c r="BG95" i="2"/>
  <c r="BF95" i="2"/>
  <c r="AT95" i="2"/>
  <c r="AS95" i="2"/>
  <c r="AR95" i="2"/>
  <c r="AQ95" i="2"/>
  <c r="AE95" i="2"/>
  <c r="AD95" i="2"/>
  <c r="AC95" i="2"/>
  <c r="AB95" i="2"/>
  <c r="P95" i="2"/>
  <c r="O95" i="2"/>
  <c r="N95" i="2"/>
  <c r="M95" i="2"/>
  <c r="EH94" i="2"/>
  <c r="EG94" i="2"/>
  <c r="EF94" i="2"/>
  <c r="EE94" i="2"/>
  <c r="DR94" i="2"/>
  <c r="DQ94" i="2"/>
  <c r="DP94" i="2"/>
  <c r="DO94" i="2"/>
  <c r="CM94" i="2"/>
  <c r="CL94" i="2"/>
  <c r="CK94" i="2"/>
  <c r="CJ94" i="2"/>
  <c r="BI94" i="2"/>
  <c r="BH94" i="2"/>
  <c r="BG94" i="2"/>
  <c r="BF94" i="2"/>
  <c r="AT94" i="2"/>
  <c r="AS94" i="2"/>
  <c r="AR94" i="2"/>
  <c r="AQ94" i="2"/>
  <c r="AE94" i="2"/>
  <c r="AD94" i="2"/>
  <c r="AC94" i="2"/>
  <c r="AB94" i="2"/>
  <c r="P94" i="2"/>
  <c r="O94" i="2"/>
  <c r="N94" i="2"/>
  <c r="M94" i="2"/>
  <c r="EH93" i="2"/>
  <c r="EG93" i="2"/>
  <c r="EF93" i="2"/>
  <c r="EE93" i="2"/>
  <c r="DR93" i="2"/>
  <c r="DQ93" i="2"/>
  <c r="DP93" i="2"/>
  <c r="DO93" i="2"/>
  <c r="CM93" i="2"/>
  <c r="CL93" i="2"/>
  <c r="CK93" i="2"/>
  <c r="CJ93" i="2"/>
  <c r="BI93" i="2"/>
  <c r="BH93" i="2"/>
  <c r="BG93" i="2"/>
  <c r="BF93" i="2"/>
  <c r="AT93" i="2"/>
  <c r="AS93" i="2"/>
  <c r="AR93" i="2"/>
  <c r="AQ93" i="2"/>
  <c r="AE93" i="2"/>
  <c r="AD93" i="2"/>
  <c r="AC93" i="2"/>
  <c r="AB93" i="2"/>
  <c r="P93" i="2"/>
  <c r="O93" i="2"/>
  <c r="N93" i="2"/>
  <c r="M93" i="2"/>
  <c r="EH92" i="2"/>
  <c r="EG92" i="2"/>
  <c r="EF92" i="2"/>
  <c r="EE92" i="2"/>
  <c r="DR92" i="2"/>
  <c r="DQ92" i="2"/>
  <c r="DP92" i="2"/>
  <c r="DO92" i="2"/>
  <c r="CM92" i="2"/>
  <c r="CL92" i="2"/>
  <c r="CK92" i="2"/>
  <c r="CJ92" i="2"/>
  <c r="BI92" i="2"/>
  <c r="BH92" i="2"/>
  <c r="BG92" i="2"/>
  <c r="BF92" i="2"/>
  <c r="AT92" i="2"/>
  <c r="AS92" i="2"/>
  <c r="AR92" i="2"/>
  <c r="AQ92" i="2"/>
  <c r="AE92" i="2"/>
  <c r="AD92" i="2"/>
  <c r="AC92" i="2"/>
  <c r="AB92" i="2"/>
  <c r="P92" i="2"/>
  <c r="O92" i="2"/>
  <c r="N92" i="2"/>
  <c r="M92" i="2"/>
  <c r="EH91" i="2"/>
  <c r="EG91" i="2"/>
  <c r="EF91" i="2"/>
  <c r="EE91" i="2"/>
  <c r="DR91" i="2"/>
  <c r="DQ91" i="2"/>
  <c r="DP91" i="2"/>
  <c r="DO91" i="2"/>
  <c r="CM91" i="2"/>
  <c r="CL91" i="2"/>
  <c r="CK91" i="2"/>
  <c r="CJ91" i="2"/>
  <c r="BI91" i="2"/>
  <c r="BH91" i="2"/>
  <c r="BG91" i="2"/>
  <c r="BF91" i="2"/>
  <c r="AT91" i="2"/>
  <c r="AS91" i="2"/>
  <c r="AR91" i="2"/>
  <c r="AQ91" i="2"/>
  <c r="AE91" i="2"/>
  <c r="AD91" i="2"/>
  <c r="AC91" i="2"/>
  <c r="AB91" i="2"/>
  <c r="P91" i="2"/>
  <c r="O91" i="2"/>
  <c r="N91" i="2"/>
  <c r="M91" i="2"/>
  <c r="EH90" i="2"/>
  <c r="EG90" i="2"/>
  <c r="EF90" i="2"/>
  <c r="EE90" i="2"/>
  <c r="DR90" i="2"/>
  <c r="DQ90" i="2"/>
  <c r="DP90" i="2"/>
  <c r="DO90" i="2"/>
  <c r="CM90" i="2"/>
  <c r="CL90" i="2"/>
  <c r="CK90" i="2"/>
  <c r="CJ90" i="2"/>
  <c r="BI90" i="2"/>
  <c r="BH90" i="2"/>
  <c r="BG90" i="2"/>
  <c r="BF90" i="2"/>
  <c r="AT90" i="2"/>
  <c r="AS90" i="2"/>
  <c r="AR90" i="2"/>
  <c r="AQ90" i="2"/>
  <c r="AE90" i="2"/>
  <c r="AD90" i="2"/>
  <c r="AC90" i="2"/>
  <c r="AB90" i="2"/>
  <c r="P90" i="2"/>
  <c r="O90" i="2"/>
  <c r="N90" i="2"/>
  <c r="M90" i="2"/>
  <c r="EH89" i="2"/>
  <c r="EG89" i="2"/>
  <c r="EF89" i="2"/>
  <c r="EE89" i="2"/>
  <c r="DR89" i="2"/>
  <c r="DQ89" i="2"/>
  <c r="DP89" i="2"/>
  <c r="DO89" i="2"/>
  <c r="CM89" i="2"/>
  <c r="CL89" i="2"/>
  <c r="CK89" i="2"/>
  <c r="CJ89" i="2"/>
  <c r="BX89" i="2"/>
  <c r="BW89" i="2"/>
  <c r="BV89" i="2"/>
  <c r="BU89" i="2"/>
  <c r="BI89" i="2"/>
  <c r="BH89" i="2"/>
  <c r="BG89" i="2"/>
  <c r="BF89" i="2"/>
  <c r="AT89" i="2"/>
  <c r="AS89" i="2"/>
  <c r="AR89" i="2"/>
  <c r="AQ89" i="2"/>
  <c r="AE89" i="2"/>
  <c r="AD89" i="2"/>
  <c r="AC89" i="2"/>
  <c r="AB89" i="2"/>
  <c r="P89" i="2"/>
  <c r="O89" i="2"/>
  <c r="N89" i="2"/>
  <c r="M89" i="2"/>
  <c r="EH88" i="2"/>
  <c r="EG88" i="2"/>
  <c r="EF88" i="2"/>
  <c r="EE88" i="2"/>
  <c r="DR88" i="2"/>
  <c r="DQ88" i="2"/>
  <c r="DP88" i="2"/>
  <c r="DO88" i="2"/>
  <c r="CM88" i="2"/>
  <c r="CL88" i="2"/>
  <c r="CK88" i="2"/>
  <c r="CJ88" i="2"/>
  <c r="BX88" i="2"/>
  <c r="BW88" i="2"/>
  <c r="BV88" i="2"/>
  <c r="BU88" i="2"/>
  <c r="BI88" i="2"/>
  <c r="BH88" i="2"/>
  <c r="BG88" i="2"/>
  <c r="BF88" i="2"/>
  <c r="AT88" i="2"/>
  <c r="AS88" i="2"/>
  <c r="AR88" i="2"/>
  <c r="AQ88" i="2"/>
  <c r="AE88" i="2"/>
  <c r="AD88" i="2"/>
  <c r="AC88" i="2"/>
  <c r="AB88" i="2"/>
  <c r="P88" i="2"/>
  <c r="O88" i="2"/>
  <c r="N88" i="2"/>
  <c r="M88" i="2"/>
  <c r="EH87" i="2"/>
  <c r="EG87" i="2"/>
  <c r="EF87" i="2"/>
  <c r="EE87" i="2"/>
  <c r="DR87" i="2"/>
  <c r="DQ87" i="2"/>
  <c r="DP87" i="2"/>
  <c r="DO87" i="2"/>
  <c r="CM87" i="2"/>
  <c r="CL87" i="2"/>
  <c r="CK87" i="2"/>
  <c r="CJ87" i="2"/>
  <c r="BX87" i="2"/>
  <c r="BW87" i="2"/>
  <c r="BV87" i="2"/>
  <c r="BU87" i="2"/>
  <c r="BI87" i="2"/>
  <c r="BH87" i="2"/>
  <c r="BG87" i="2"/>
  <c r="BF87" i="2"/>
  <c r="AT87" i="2"/>
  <c r="AS87" i="2"/>
  <c r="AR87" i="2"/>
  <c r="AQ87" i="2"/>
  <c r="AE87" i="2"/>
  <c r="AD87" i="2"/>
  <c r="AC87" i="2"/>
  <c r="AB87" i="2"/>
  <c r="P87" i="2"/>
  <c r="O87" i="2"/>
  <c r="N87" i="2"/>
  <c r="M87" i="2"/>
  <c r="EH86" i="2"/>
  <c r="EG86" i="2"/>
  <c r="EF86" i="2"/>
  <c r="EE86" i="2"/>
  <c r="DR86" i="2"/>
  <c r="DQ86" i="2"/>
  <c r="DP86" i="2"/>
  <c r="DO86" i="2"/>
  <c r="CM86" i="2"/>
  <c r="CL86" i="2"/>
  <c r="CK86" i="2"/>
  <c r="CJ86" i="2"/>
  <c r="BX86" i="2"/>
  <c r="BW86" i="2"/>
  <c r="BV86" i="2"/>
  <c r="BU86" i="2"/>
  <c r="BI86" i="2"/>
  <c r="BH86" i="2"/>
  <c r="BG86" i="2"/>
  <c r="BF86" i="2"/>
  <c r="AT86" i="2"/>
  <c r="AS86" i="2"/>
  <c r="AR86" i="2"/>
  <c r="AQ86" i="2"/>
  <c r="AE86" i="2"/>
  <c r="AD86" i="2"/>
  <c r="AC86" i="2"/>
  <c r="AB86" i="2"/>
  <c r="P86" i="2"/>
  <c r="O86" i="2"/>
  <c r="N86" i="2"/>
  <c r="M86" i="2"/>
  <c r="EH85" i="2"/>
  <c r="EG85" i="2"/>
  <c r="EF85" i="2"/>
  <c r="EE85" i="2"/>
  <c r="DR85" i="2"/>
  <c r="DQ85" i="2"/>
  <c r="DP85" i="2"/>
  <c r="DO85" i="2"/>
  <c r="CM85" i="2"/>
  <c r="CL85" i="2"/>
  <c r="CK85" i="2"/>
  <c r="CJ85" i="2"/>
  <c r="BX85" i="2"/>
  <c r="BW85" i="2"/>
  <c r="BV85" i="2"/>
  <c r="BU85" i="2"/>
  <c r="BI85" i="2"/>
  <c r="BH85" i="2"/>
  <c r="BG85" i="2"/>
  <c r="BF85" i="2"/>
  <c r="AT85" i="2"/>
  <c r="AS85" i="2"/>
  <c r="AR85" i="2"/>
  <c r="AQ85" i="2"/>
  <c r="AE85" i="2"/>
  <c r="AD85" i="2"/>
  <c r="AC85" i="2"/>
  <c r="AB85" i="2"/>
  <c r="P85" i="2"/>
  <c r="O85" i="2"/>
  <c r="N85" i="2"/>
  <c r="M85" i="2"/>
  <c r="EH84" i="2"/>
  <c r="EG84" i="2"/>
  <c r="EF84" i="2"/>
  <c r="EE84" i="2"/>
  <c r="DR84" i="2"/>
  <c r="DQ84" i="2"/>
  <c r="DP84" i="2"/>
  <c r="DO84" i="2"/>
  <c r="CM84" i="2"/>
  <c r="CL84" i="2"/>
  <c r="CK84" i="2"/>
  <c r="CJ84" i="2"/>
  <c r="BX84" i="2"/>
  <c r="BW84" i="2"/>
  <c r="BV84" i="2"/>
  <c r="BU84" i="2"/>
  <c r="BI84" i="2"/>
  <c r="BH84" i="2"/>
  <c r="BG84" i="2"/>
  <c r="BF84" i="2"/>
  <c r="AT84" i="2"/>
  <c r="AS84" i="2"/>
  <c r="AR84" i="2"/>
  <c r="AQ84" i="2"/>
  <c r="AE84" i="2"/>
  <c r="AD84" i="2"/>
  <c r="AC84" i="2"/>
  <c r="AB84" i="2"/>
  <c r="P84" i="2"/>
  <c r="O84" i="2"/>
  <c r="N84" i="2"/>
  <c r="M84" i="2"/>
  <c r="EH83" i="2"/>
  <c r="EG83" i="2"/>
  <c r="EF83" i="2"/>
  <c r="EE83" i="2"/>
  <c r="DR83" i="2"/>
  <c r="DQ83" i="2"/>
  <c r="DP83" i="2"/>
  <c r="DO83" i="2"/>
  <c r="CM83" i="2"/>
  <c r="CL83" i="2"/>
  <c r="CK83" i="2"/>
  <c r="CJ83" i="2"/>
  <c r="BX83" i="2"/>
  <c r="BW83" i="2"/>
  <c r="BV83" i="2"/>
  <c r="BU83" i="2"/>
  <c r="BI83" i="2"/>
  <c r="BH83" i="2"/>
  <c r="BG83" i="2"/>
  <c r="BF83" i="2"/>
  <c r="AT83" i="2"/>
  <c r="AS83" i="2"/>
  <c r="AR83" i="2"/>
  <c r="AQ83" i="2"/>
  <c r="AE83" i="2"/>
  <c r="AD83" i="2"/>
  <c r="AC83" i="2"/>
  <c r="AB83" i="2"/>
  <c r="P83" i="2"/>
  <c r="O83" i="2"/>
  <c r="N83" i="2"/>
  <c r="M83" i="2"/>
  <c r="EH82" i="2"/>
  <c r="EG82" i="2"/>
  <c r="EF82" i="2"/>
  <c r="EE82" i="2"/>
  <c r="DR82" i="2"/>
  <c r="DQ82" i="2"/>
  <c r="DP82" i="2"/>
  <c r="DO82" i="2"/>
  <c r="CM82" i="2"/>
  <c r="CL82" i="2"/>
  <c r="CK82" i="2"/>
  <c r="CJ82" i="2"/>
  <c r="BX82" i="2"/>
  <c r="BW82" i="2"/>
  <c r="BV82" i="2"/>
  <c r="BU82" i="2"/>
  <c r="BI82" i="2"/>
  <c r="BH82" i="2"/>
  <c r="BG82" i="2"/>
  <c r="BF82" i="2"/>
  <c r="AT82" i="2"/>
  <c r="AS82" i="2"/>
  <c r="AR82" i="2"/>
  <c r="AQ82" i="2"/>
  <c r="AE82" i="2"/>
  <c r="AD82" i="2"/>
  <c r="AC82" i="2"/>
  <c r="AB82" i="2"/>
  <c r="P82" i="2"/>
  <c r="O82" i="2"/>
  <c r="N82" i="2"/>
  <c r="M82" i="2"/>
  <c r="EH81" i="2"/>
  <c r="EG81" i="2"/>
  <c r="EF81" i="2"/>
  <c r="EE81" i="2"/>
  <c r="DR81" i="2"/>
  <c r="DQ81" i="2"/>
  <c r="DP81" i="2"/>
  <c r="DO81" i="2"/>
  <c r="CM81" i="2"/>
  <c r="CL81" i="2"/>
  <c r="CK81" i="2"/>
  <c r="CJ81" i="2"/>
  <c r="BX81" i="2"/>
  <c r="BW81" i="2"/>
  <c r="BV81" i="2"/>
  <c r="BU81" i="2"/>
  <c r="BI81" i="2"/>
  <c r="BH81" i="2"/>
  <c r="BG81" i="2"/>
  <c r="BF81" i="2"/>
  <c r="AT81" i="2"/>
  <c r="AS81" i="2"/>
  <c r="AR81" i="2"/>
  <c r="AQ81" i="2"/>
  <c r="AE81" i="2"/>
  <c r="AD81" i="2"/>
  <c r="AC81" i="2"/>
  <c r="AB81" i="2"/>
  <c r="P81" i="2"/>
  <c r="O81" i="2"/>
  <c r="N81" i="2"/>
  <c r="M81" i="2"/>
  <c r="EH80" i="2"/>
  <c r="EG80" i="2"/>
  <c r="EF80" i="2"/>
  <c r="EE80" i="2"/>
  <c r="DR80" i="2"/>
  <c r="DQ80" i="2"/>
  <c r="DP80" i="2"/>
  <c r="DO80" i="2"/>
  <c r="CM80" i="2"/>
  <c r="CL80" i="2"/>
  <c r="CK80" i="2"/>
  <c r="CJ80" i="2"/>
  <c r="BX80" i="2"/>
  <c r="BW80" i="2"/>
  <c r="BV80" i="2"/>
  <c r="BU80" i="2"/>
  <c r="BI80" i="2"/>
  <c r="BH80" i="2"/>
  <c r="BG80" i="2"/>
  <c r="BF80" i="2"/>
  <c r="AT80" i="2"/>
  <c r="AS80" i="2"/>
  <c r="AR80" i="2"/>
  <c r="AQ80" i="2"/>
  <c r="AE80" i="2"/>
  <c r="AD80" i="2"/>
  <c r="AC80" i="2"/>
  <c r="AB80" i="2"/>
  <c r="P80" i="2"/>
  <c r="O80" i="2"/>
  <c r="N80" i="2"/>
  <c r="M80" i="2"/>
  <c r="EH79" i="2"/>
  <c r="EG79" i="2"/>
  <c r="EF79" i="2"/>
  <c r="EE79" i="2"/>
  <c r="DR79" i="2"/>
  <c r="DQ79" i="2"/>
  <c r="DP79" i="2"/>
  <c r="DO79" i="2"/>
  <c r="CM79" i="2"/>
  <c r="CL79" i="2"/>
  <c r="CK79" i="2"/>
  <c r="CJ79" i="2"/>
  <c r="BX79" i="2"/>
  <c r="BW79" i="2"/>
  <c r="BV79" i="2"/>
  <c r="BU79" i="2"/>
  <c r="BI79" i="2"/>
  <c r="BH79" i="2"/>
  <c r="BG79" i="2"/>
  <c r="BF79" i="2"/>
  <c r="AT79" i="2"/>
  <c r="AS79" i="2"/>
  <c r="AR79" i="2"/>
  <c r="AQ79" i="2"/>
  <c r="AE79" i="2"/>
  <c r="AD79" i="2"/>
  <c r="AC79" i="2"/>
  <c r="AB79" i="2"/>
  <c r="P79" i="2"/>
  <c r="O79" i="2"/>
  <c r="N79" i="2"/>
  <c r="M79" i="2"/>
  <c r="EH78" i="2"/>
  <c r="EG78" i="2"/>
  <c r="EF78" i="2"/>
  <c r="EE78" i="2"/>
  <c r="DR78" i="2"/>
  <c r="DQ78" i="2"/>
  <c r="DP78" i="2"/>
  <c r="DO78" i="2"/>
  <c r="CM78" i="2"/>
  <c r="CL78" i="2"/>
  <c r="CK78" i="2"/>
  <c r="CJ78" i="2"/>
  <c r="BX78" i="2"/>
  <c r="BW78" i="2"/>
  <c r="BV78" i="2"/>
  <c r="BU78" i="2"/>
  <c r="BI78" i="2"/>
  <c r="BH78" i="2"/>
  <c r="BG78" i="2"/>
  <c r="BF78" i="2"/>
  <c r="AT78" i="2"/>
  <c r="AS78" i="2"/>
  <c r="AR78" i="2"/>
  <c r="AQ78" i="2"/>
  <c r="AE78" i="2"/>
  <c r="AD78" i="2"/>
  <c r="AC78" i="2"/>
  <c r="AB78" i="2"/>
  <c r="P78" i="2"/>
  <c r="O78" i="2"/>
  <c r="N78" i="2"/>
  <c r="M78" i="2"/>
  <c r="EH77" i="2"/>
  <c r="EG77" i="2"/>
  <c r="EF77" i="2"/>
  <c r="EE77" i="2"/>
  <c r="DR77" i="2"/>
  <c r="DQ77" i="2"/>
  <c r="DP77" i="2"/>
  <c r="DO77" i="2"/>
  <c r="CM77" i="2"/>
  <c r="CL77" i="2"/>
  <c r="CK77" i="2"/>
  <c r="CJ77" i="2"/>
  <c r="BX77" i="2"/>
  <c r="BW77" i="2"/>
  <c r="BV77" i="2"/>
  <c r="BU77" i="2"/>
  <c r="BI77" i="2"/>
  <c r="BH77" i="2"/>
  <c r="BG77" i="2"/>
  <c r="BF77" i="2"/>
  <c r="AT77" i="2"/>
  <c r="AS77" i="2"/>
  <c r="AR77" i="2"/>
  <c r="AQ77" i="2"/>
  <c r="AE77" i="2"/>
  <c r="AD77" i="2"/>
  <c r="AC77" i="2"/>
  <c r="AB77" i="2"/>
  <c r="P77" i="2"/>
  <c r="O77" i="2"/>
  <c r="N77" i="2"/>
  <c r="M77" i="2"/>
  <c r="EH76" i="2"/>
  <c r="EG76" i="2"/>
  <c r="EF76" i="2"/>
  <c r="EE76" i="2"/>
  <c r="DR76" i="2"/>
  <c r="DQ76" i="2"/>
  <c r="DP76" i="2"/>
  <c r="DO76" i="2"/>
  <c r="CM76" i="2"/>
  <c r="CL76" i="2"/>
  <c r="CK76" i="2"/>
  <c r="CJ76" i="2"/>
  <c r="BX76" i="2"/>
  <c r="BW76" i="2"/>
  <c r="BV76" i="2"/>
  <c r="BU76" i="2"/>
  <c r="BI76" i="2"/>
  <c r="BH76" i="2"/>
  <c r="BG76" i="2"/>
  <c r="BF76" i="2"/>
  <c r="AT76" i="2"/>
  <c r="AS76" i="2"/>
  <c r="AR76" i="2"/>
  <c r="AQ76" i="2"/>
  <c r="AE76" i="2"/>
  <c r="AD76" i="2"/>
  <c r="AC76" i="2"/>
  <c r="AB76" i="2"/>
  <c r="P76" i="2"/>
  <c r="O76" i="2"/>
  <c r="N76" i="2"/>
  <c r="M76" i="2"/>
  <c r="EH75" i="2"/>
  <c r="EG75" i="2"/>
  <c r="EF75" i="2"/>
  <c r="EE75" i="2"/>
  <c r="DR75" i="2"/>
  <c r="DQ75" i="2"/>
  <c r="DP75" i="2"/>
  <c r="DO75" i="2"/>
  <c r="CM75" i="2"/>
  <c r="CL75" i="2"/>
  <c r="CK75" i="2"/>
  <c r="CJ75" i="2"/>
  <c r="BX75" i="2"/>
  <c r="BW75" i="2"/>
  <c r="BV75" i="2"/>
  <c r="BU75" i="2"/>
  <c r="BI75" i="2"/>
  <c r="BH75" i="2"/>
  <c r="BG75" i="2"/>
  <c r="BF75" i="2"/>
  <c r="AT75" i="2"/>
  <c r="AS75" i="2"/>
  <c r="AR75" i="2"/>
  <c r="AQ75" i="2"/>
  <c r="AE75" i="2"/>
  <c r="AD75" i="2"/>
  <c r="AC75" i="2"/>
  <c r="AB75" i="2"/>
  <c r="P75" i="2"/>
  <c r="O75" i="2"/>
  <c r="N75" i="2"/>
  <c r="M75" i="2"/>
  <c r="EH74" i="2"/>
  <c r="EG74" i="2"/>
  <c r="EF74" i="2"/>
  <c r="EE74" i="2"/>
  <c r="DR74" i="2"/>
  <c r="DQ74" i="2"/>
  <c r="DP74" i="2"/>
  <c r="DO74" i="2"/>
  <c r="CM74" i="2"/>
  <c r="CL74" i="2"/>
  <c r="CK74" i="2"/>
  <c r="CJ74" i="2"/>
  <c r="BX74" i="2"/>
  <c r="BW74" i="2"/>
  <c r="BV74" i="2"/>
  <c r="BU74" i="2"/>
  <c r="BI74" i="2"/>
  <c r="BH74" i="2"/>
  <c r="BG74" i="2"/>
  <c r="BF74" i="2"/>
  <c r="AT74" i="2"/>
  <c r="AS74" i="2"/>
  <c r="AR74" i="2"/>
  <c r="AQ74" i="2"/>
  <c r="AE74" i="2"/>
  <c r="AD74" i="2"/>
  <c r="AC74" i="2"/>
  <c r="AB74" i="2"/>
  <c r="P74" i="2"/>
  <c r="O74" i="2"/>
  <c r="N74" i="2"/>
  <c r="M74" i="2"/>
  <c r="EH73" i="2"/>
  <c r="EG73" i="2"/>
  <c r="EF73" i="2"/>
  <c r="EE73" i="2"/>
  <c r="DR73" i="2"/>
  <c r="DQ73" i="2"/>
  <c r="DP73" i="2"/>
  <c r="DO73" i="2"/>
  <c r="CM73" i="2"/>
  <c r="CL73" i="2"/>
  <c r="CK73" i="2"/>
  <c r="CJ73" i="2"/>
  <c r="BX73" i="2"/>
  <c r="BW73" i="2"/>
  <c r="BV73" i="2"/>
  <c r="BU73" i="2"/>
  <c r="BI73" i="2"/>
  <c r="BH73" i="2"/>
  <c r="BG73" i="2"/>
  <c r="BF73" i="2"/>
  <c r="AT73" i="2"/>
  <c r="AS73" i="2"/>
  <c r="AR73" i="2"/>
  <c r="AQ73" i="2"/>
  <c r="AE73" i="2"/>
  <c r="AD73" i="2"/>
  <c r="AC73" i="2"/>
  <c r="AB73" i="2"/>
  <c r="P73" i="2"/>
  <c r="O73" i="2"/>
  <c r="N73" i="2"/>
  <c r="M73" i="2"/>
  <c r="EH72" i="2"/>
  <c r="EG72" i="2"/>
  <c r="EF72" i="2"/>
  <c r="EE72" i="2"/>
  <c r="DR72" i="2"/>
  <c r="DQ72" i="2"/>
  <c r="DP72" i="2"/>
  <c r="DO72" i="2"/>
  <c r="CM72" i="2"/>
  <c r="CL72" i="2"/>
  <c r="CK72" i="2"/>
  <c r="CJ72" i="2"/>
  <c r="BX72" i="2"/>
  <c r="BW72" i="2"/>
  <c r="BV72" i="2"/>
  <c r="BU72" i="2"/>
  <c r="BI72" i="2"/>
  <c r="BH72" i="2"/>
  <c r="BG72" i="2"/>
  <c r="BF72" i="2"/>
  <c r="AT72" i="2"/>
  <c r="AS72" i="2"/>
  <c r="AR72" i="2"/>
  <c r="AQ72" i="2"/>
  <c r="AE72" i="2"/>
  <c r="AD72" i="2"/>
  <c r="AC72" i="2"/>
  <c r="AB72" i="2"/>
  <c r="P72" i="2"/>
  <c r="O72" i="2"/>
  <c r="N72" i="2"/>
  <c r="M72" i="2"/>
  <c r="EH71" i="2"/>
  <c r="EG71" i="2"/>
  <c r="EF71" i="2"/>
  <c r="EE71" i="2"/>
  <c r="DR71" i="2"/>
  <c r="DQ71" i="2"/>
  <c r="DP71" i="2"/>
  <c r="DO71" i="2"/>
  <c r="CM71" i="2"/>
  <c r="CL71" i="2"/>
  <c r="CK71" i="2"/>
  <c r="CJ71" i="2"/>
  <c r="BX71" i="2"/>
  <c r="BW71" i="2"/>
  <c r="BV71" i="2"/>
  <c r="BU71" i="2"/>
  <c r="BI71" i="2"/>
  <c r="BH71" i="2"/>
  <c r="BG71" i="2"/>
  <c r="BF71" i="2"/>
  <c r="AT71" i="2"/>
  <c r="AS71" i="2"/>
  <c r="AR71" i="2"/>
  <c r="AQ71" i="2"/>
  <c r="AE71" i="2"/>
  <c r="AD71" i="2"/>
  <c r="AC71" i="2"/>
  <c r="AB71" i="2"/>
  <c r="P71" i="2"/>
  <c r="O71" i="2"/>
  <c r="N71" i="2"/>
  <c r="M71" i="2"/>
  <c r="EH70" i="2"/>
  <c r="EG70" i="2"/>
  <c r="EF70" i="2"/>
  <c r="EE70" i="2"/>
  <c r="DR70" i="2"/>
  <c r="DQ70" i="2"/>
  <c r="DP70" i="2"/>
  <c r="DO70" i="2"/>
  <c r="CM70" i="2"/>
  <c r="CL70" i="2"/>
  <c r="CK70" i="2"/>
  <c r="CJ70" i="2"/>
  <c r="BX70" i="2"/>
  <c r="BW70" i="2"/>
  <c r="BV70" i="2"/>
  <c r="BU70" i="2"/>
  <c r="BI70" i="2"/>
  <c r="BH70" i="2"/>
  <c r="BG70" i="2"/>
  <c r="BF70" i="2"/>
  <c r="AT70" i="2"/>
  <c r="AS70" i="2"/>
  <c r="AR70" i="2"/>
  <c r="AQ70" i="2"/>
  <c r="AE70" i="2"/>
  <c r="AD70" i="2"/>
  <c r="AC70" i="2"/>
  <c r="AB70" i="2"/>
  <c r="P70" i="2"/>
  <c r="O70" i="2"/>
  <c r="N70" i="2"/>
  <c r="M70" i="2"/>
  <c r="EH69" i="2"/>
  <c r="EG69" i="2"/>
  <c r="EF69" i="2"/>
  <c r="EE69" i="2"/>
  <c r="DR69" i="2"/>
  <c r="DQ69" i="2"/>
  <c r="DP69" i="2"/>
  <c r="DO69" i="2"/>
  <c r="CM69" i="2"/>
  <c r="CL69" i="2"/>
  <c r="CK69" i="2"/>
  <c r="CJ69" i="2"/>
  <c r="BX69" i="2"/>
  <c r="BW69" i="2"/>
  <c r="BV69" i="2"/>
  <c r="BU69" i="2"/>
  <c r="BI69" i="2"/>
  <c r="BH69" i="2"/>
  <c r="BG69" i="2"/>
  <c r="BF69" i="2"/>
  <c r="AT69" i="2"/>
  <c r="AS69" i="2"/>
  <c r="AR69" i="2"/>
  <c r="AQ69" i="2"/>
  <c r="AE69" i="2"/>
  <c r="AD69" i="2"/>
  <c r="AC69" i="2"/>
  <c r="AB69" i="2"/>
  <c r="P69" i="2"/>
  <c r="O69" i="2"/>
  <c r="N69" i="2"/>
  <c r="M69" i="2"/>
  <c r="EH68" i="2"/>
  <c r="EG68" i="2"/>
  <c r="EF68" i="2"/>
  <c r="EE68" i="2"/>
  <c r="DR68" i="2"/>
  <c r="DQ68" i="2"/>
  <c r="DP68" i="2"/>
  <c r="DO68" i="2"/>
  <c r="CM68" i="2"/>
  <c r="CL68" i="2"/>
  <c r="CK68" i="2"/>
  <c r="CJ68" i="2"/>
  <c r="BX68" i="2"/>
  <c r="BW68" i="2"/>
  <c r="BV68" i="2"/>
  <c r="BU68" i="2"/>
  <c r="BI68" i="2"/>
  <c r="BH68" i="2"/>
  <c r="BG68" i="2"/>
  <c r="BF68" i="2"/>
  <c r="AT68" i="2"/>
  <c r="AS68" i="2"/>
  <c r="AR68" i="2"/>
  <c r="AQ68" i="2"/>
  <c r="AE68" i="2"/>
  <c r="AD68" i="2"/>
  <c r="AC68" i="2"/>
  <c r="AB68" i="2"/>
  <c r="P68" i="2"/>
  <c r="O68" i="2"/>
  <c r="N68" i="2"/>
  <c r="M68" i="2"/>
  <c r="EH67" i="2"/>
  <c r="EG67" i="2"/>
  <c r="EF67" i="2"/>
  <c r="EE67" i="2"/>
  <c r="DR67" i="2"/>
  <c r="DQ67" i="2"/>
  <c r="DP67" i="2"/>
  <c r="DO67" i="2"/>
  <c r="CM67" i="2"/>
  <c r="CL67" i="2"/>
  <c r="CK67" i="2"/>
  <c r="CJ67" i="2"/>
  <c r="BX67" i="2"/>
  <c r="BW67" i="2"/>
  <c r="BV67" i="2"/>
  <c r="BU67" i="2"/>
  <c r="BI67" i="2"/>
  <c r="BH67" i="2"/>
  <c r="BG67" i="2"/>
  <c r="BF67" i="2"/>
  <c r="AT67" i="2"/>
  <c r="AS67" i="2"/>
  <c r="AR67" i="2"/>
  <c r="AQ67" i="2"/>
  <c r="AE67" i="2"/>
  <c r="AD67" i="2"/>
  <c r="AC67" i="2"/>
  <c r="AB67" i="2"/>
  <c r="P67" i="2"/>
  <c r="O67" i="2"/>
  <c r="N67" i="2"/>
  <c r="M67" i="2"/>
  <c r="EH66" i="2"/>
  <c r="EG66" i="2"/>
  <c r="EF66" i="2"/>
  <c r="EE66" i="2"/>
  <c r="DR66" i="2"/>
  <c r="DQ66" i="2"/>
  <c r="DP66" i="2"/>
  <c r="DO66" i="2"/>
  <c r="CM66" i="2"/>
  <c r="CL66" i="2"/>
  <c r="CK66" i="2"/>
  <c r="CJ66" i="2"/>
  <c r="BX66" i="2"/>
  <c r="BW66" i="2"/>
  <c r="BV66" i="2"/>
  <c r="BU66" i="2"/>
  <c r="BI66" i="2"/>
  <c r="BH66" i="2"/>
  <c r="BG66" i="2"/>
  <c r="BF66" i="2"/>
  <c r="AT66" i="2"/>
  <c r="AS66" i="2"/>
  <c r="AR66" i="2"/>
  <c r="AQ66" i="2"/>
  <c r="AE66" i="2"/>
  <c r="AD66" i="2"/>
  <c r="AC66" i="2"/>
  <c r="AB66" i="2"/>
  <c r="P66" i="2"/>
  <c r="O66" i="2"/>
  <c r="N66" i="2"/>
  <c r="M66" i="2"/>
  <c r="EH65" i="2"/>
  <c r="EG65" i="2"/>
  <c r="EF65" i="2"/>
  <c r="EE65" i="2"/>
  <c r="DR65" i="2"/>
  <c r="DQ65" i="2"/>
  <c r="DP65" i="2"/>
  <c r="DO65" i="2"/>
  <c r="CM65" i="2"/>
  <c r="CL65" i="2"/>
  <c r="CK65" i="2"/>
  <c r="CJ65" i="2"/>
  <c r="BX65" i="2"/>
  <c r="BW65" i="2"/>
  <c r="BV65" i="2"/>
  <c r="BU65" i="2"/>
  <c r="BI65" i="2"/>
  <c r="BH65" i="2"/>
  <c r="BG65" i="2"/>
  <c r="BF65" i="2"/>
  <c r="AT65" i="2"/>
  <c r="AS65" i="2"/>
  <c r="AR65" i="2"/>
  <c r="AQ65" i="2"/>
  <c r="AE65" i="2"/>
  <c r="AD65" i="2"/>
  <c r="AC65" i="2"/>
  <c r="AB65" i="2"/>
  <c r="P65" i="2"/>
  <c r="O65" i="2"/>
  <c r="N65" i="2"/>
  <c r="M65" i="2"/>
  <c r="EH64" i="2"/>
  <c r="EG64" i="2"/>
  <c r="EF64" i="2"/>
  <c r="EE64" i="2"/>
  <c r="DR64" i="2"/>
  <c r="DQ64" i="2"/>
  <c r="DP64" i="2"/>
  <c r="DO64" i="2"/>
  <c r="BX64" i="2"/>
  <c r="BW64" i="2"/>
  <c r="BV64" i="2"/>
  <c r="BU64" i="2"/>
  <c r="BI64" i="2"/>
  <c r="BH64" i="2"/>
  <c r="BG64" i="2"/>
  <c r="BF64" i="2"/>
  <c r="AT64" i="2"/>
  <c r="AS64" i="2"/>
  <c r="AR64" i="2"/>
  <c r="AQ64" i="2"/>
  <c r="AE64" i="2"/>
  <c r="AD64" i="2"/>
  <c r="AC64" i="2"/>
  <c r="AB64" i="2"/>
  <c r="P64" i="2"/>
  <c r="O64" i="2"/>
  <c r="N64" i="2"/>
  <c r="M64" i="2"/>
  <c r="EH63" i="2"/>
  <c r="EG63" i="2"/>
  <c r="EF63" i="2"/>
  <c r="EE63" i="2"/>
  <c r="DR63" i="2"/>
  <c r="DQ63" i="2"/>
  <c r="DP63" i="2"/>
  <c r="DO63" i="2"/>
  <c r="BX63" i="2"/>
  <c r="BW63" i="2"/>
  <c r="BV63" i="2"/>
  <c r="BU63" i="2"/>
  <c r="BI63" i="2"/>
  <c r="BH63" i="2"/>
  <c r="BG63" i="2"/>
  <c r="BF63" i="2"/>
  <c r="AT63" i="2"/>
  <c r="AS63" i="2"/>
  <c r="AR63" i="2"/>
  <c r="AQ63" i="2"/>
  <c r="AE63" i="2"/>
  <c r="AD63" i="2"/>
  <c r="AC63" i="2"/>
  <c r="AB63" i="2"/>
  <c r="P63" i="2"/>
  <c r="O63" i="2"/>
  <c r="N63" i="2"/>
  <c r="M63" i="2"/>
  <c r="EH62" i="2"/>
  <c r="EG62" i="2"/>
  <c r="EF62" i="2"/>
  <c r="EE62" i="2"/>
  <c r="DR62" i="2"/>
  <c r="DQ62" i="2"/>
  <c r="DP62" i="2"/>
  <c r="DO62" i="2"/>
  <c r="CM62" i="2"/>
  <c r="CK62" i="2"/>
  <c r="BX62" i="2"/>
  <c r="BW62" i="2"/>
  <c r="BV62" i="2"/>
  <c r="BU62" i="2"/>
  <c r="BI62" i="2"/>
  <c r="BH62" i="2"/>
  <c r="BG62" i="2"/>
  <c r="BF62" i="2"/>
  <c r="AT62" i="2"/>
  <c r="AS62" i="2"/>
  <c r="AR62" i="2"/>
  <c r="AQ62" i="2"/>
  <c r="AE62" i="2"/>
  <c r="AD62" i="2"/>
  <c r="AC62" i="2"/>
  <c r="AB62" i="2"/>
  <c r="P62" i="2"/>
  <c r="O62" i="2"/>
  <c r="N62" i="2"/>
  <c r="M62" i="2"/>
  <c r="EH61" i="2"/>
  <c r="EG61" i="2"/>
  <c r="EF61" i="2"/>
  <c r="EE61" i="2"/>
  <c r="DR61" i="2"/>
  <c r="DQ61" i="2"/>
  <c r="DP61" i="2"/>
  <c r="DO61" i="2"/>
  <c r="CM61" i="2"/>
  <c r="CK61" i="2"/>
  <c r="BX61" i="2"/>
  <c r="BW61" i="2"/>
  <c r="BV61" i="2"/>
  <c r="BU61" i="2"/>
  <c r="BI61" i="2"/>
  <c r="BH61" i="2"/>
  <c r="BG61" i="2"/>
  <c r="BF61" i="2"/>
  <c r="AT61" i="2"/>
  <c r="AS61" i="2"/>
  <c r="AR61" i="2"/>
  <c r="AQ61" i="2"/>
  <c r="AE61" i="2"/>
  <c r="AD61" i="2"/>
  <c r="AC61" i="2"/>
  <c r="AB61" i="2"/>
  <c r="P61" i="2"/>
  <c r="O61" i="2"/>
  <c r="N61" i="2"/>
  <c r="M61" i="2"/>
  <c r="EH60" i="2"/>
  <c r="EG60" i="2"/>
  <c r="EF60" i="2"/>
  <c r="EE60" i="2"/>
  <c r="DR60" i="2"/>
  <c r="DQ60" i="2"/>
  <c r="DP60" i="2"/>
  <c r="DO60" i="2"/>
  <c r="CM60" i="2"/>
  <c r="CK60" i="2"/>
  <c r="BX60" i="2"/>
  <c r="BW60" i="2"/>
  <c r="BV60" i="2"/>
  <c r="BU60" i="2"/>
  <c r="BI60" i="2"/>
  <c r="BH60" i="2"/>
  <c r="BG60" i="2"/>
  <c r="BF60" i="2"/>
  <c r="AT60" i="2"/>
  <c r="AS60" i="2"/>
  <c r="AR60" i="2"/>
  <c r="AQ60" i="2"/>
  <c r="AE60" i="2"/>
  <c r="AD60" i="2"/>
  <c r="AC60" i="2"/>
  <c r="AB60" i="2"/>
  <c r="P60" i="2"/>
  <c r="O60" i="2"/>
  <c r="N60" i="2"/>
  <c r="M60" i="2"/>
  <c r="EH59" i="2"/>
  <c r="EG59" i="2"/>
  <c r="EF59" i="2"/>
  <c r="EE59" i="2"/>
  <c r="DR59" i="2"/>
  <c r="DQ59" i="2"/>
  <c r="DP59" i="2"/>
  <c r="DO59" i="2"/>
  <c r="CM59" i="2"/>
  <c r="CK59" i="2"/>
  <c r="BX59" i="2"/>
  <c r="BW59" i="2"/>
  <c r="BV59" i="2"/>
  <c r="BU59" i="2"/>
  <c r="BI59" i="2"/>
  <c r="BH59" i="2"/>
  <c r="BG59" i="2"/>
  <c r="BF59" i="2"/>
  <c r="AT59" i="2"/>
  <c r="AS59" i="2"/>
  <c r="AR59" i="2"/>
  <c r="AQ59" i="2"/>
  <c r="AE59" i="2"/>
  <c r="AD59" i="2"/>
  <c r="AC59" i="2"/>
  <c r="AB59" i="2"/>
  <c r="P59" i="2"/>
  <c r="O59" i="2"/>
  <c r="N59" i="2"/>
  <c r="M59" i="2"/>
  <c r="EH58" i="2"/>
  <c r="EG58" i="2"/>
  <c r="EF58" i="2"/>
  <c r="EE58" i="2"/>
  <c r="DR58" i="2"/>
  <c r="DQ58" i="2"/>
  <c r="DP58" i="2"/>
  <c r="DO58" i="2"/>
  <c r="CM58" i="2"/>
  <c r="CK58" i="2"/>
  <c r="BX58" i="2"/>
  <c r="BW58" i="2"/>
  <c r="BV58" i="2"/>
  <c r="BU58" i="2"/>
  <c r="BI58" i="2"/>
  <c r="BH58" i="2"/>
  <c r="BG58" i="2"/>
  <c r="BF58" i="2"/>
  <c r="AT58" i="2"/>
  <c r="AS58" i="2"/>
  <c r="AR58" i="2"/>
  <c r="AQ58" i="2"/>
  <c r="AE58" i="2"/>
  <c r="AD58" i="2"/>
  <c r="AC58" i="2"/>
  <c r="AB58" i="2"/>
  <c r="EH57" i="2"/>
  <c r="EG57" i="2"/>
  <c r="EF57" i="2"/>
  <c r="EE57" i="2"/>
  <c r="DR57" i="2"/>
  <c r="DQ57" i="2"/>
  <c r="DP57" i="2"/>
  <c r="DO57" i="2"/>
  <c r="CM57" i="2"/>
  <c r="CK57" i="2"/>
  <c r="BX57" i="2"/>
  <c r="BW57" i="2"/>
  <c r="BV57" i="2"/>
  <c r="BU57" i="2"/>
  <c r="BI57" i="2"/>
  <c r="BH57" i="2"/>
  <c r="BG57" i="2"/>
  <c r="BF57" i="2"/>
  <c r="AT57" i="2"/>
  <c r="AS57" i="2"/>
  <c r="AR57" i="2"/>
  <c r="AQ57" i="2"/>
  <c r="AE57" i="2"/>
  <c r="AD57" i="2"/>
  <c r="AC57" i="2"/>
  <c r="AB57" i="2"/>
  <c r="EH56" i="2"/>
  <c r="EG56" i="2"/>
  <c r="EF56" i="2"/>
  <c r="EE56" i="2"/>
  <c r="DR56" i="2"/>
  <c r="DQ56" i="2"/>
  <c r="DP56" i="2"/>
  <c r="DO56" i="2"/>
  <c r="CM56" i="2"/>
  <c r="CK56" i="2"/>
  <c r="BX56" i="2"/>
  <c r="BW56" i="2"/>
  <c r="BV56" i="2"/>
  <c r="BU56" i="2"/>
  <c r="BI56" i="2"/>
  <c r="BH56" i="2"/>
  <c r="BG56" i="2"/>
  <c r="BF56" i="2"/>
  <c r="AT56" i="2"/>
  <c r="AS56" i="2"/>
  <c r="AR56" i="2"/>
  <c r="AQ56" i="2"/>
  <c r="AE56" i="2"/>
  <c r="AD56" i="2"/>
  <c r="AC56" i="2"/>
  <c r="AB56" i="2"/>
  <c r="P56" i="2"/>
  <c r="O56" i="2"/>
  <c r="N56" i="2"/>
  <c r="M56" i="2"/>
  <c r="EH55" i="2"/>
  <c r="EG55" i="2"/>
  <c r="EF55" i="2"/>
  <c r="EE55" i="2"/>
  <c r="DR55" i="2"/>
  <c r="DQ55" i="2"/>
  <c r="DP55" i="2"/>
  <c r="DO55" i="2"/>
  <c r="CM55" i="2"/>
  <c r="CK55" i="2"/>
  <c r="BX55" i="2"/>
  <c r="BW55" i="2"/>
  <c r="BV55" i="2"/>
  <c r="BU55" i="2"/>
  <c r="BI55" i="2"/>
  <c r="BH55" i="2"/>
  <c r="BG55" i="2"/>
  <c r="BF55" i="2"/>
  <c r="AT55" i="2"/>
  <c r="AS55" i="2"/>
  <c r="AR55" i="2"/>
  <c r="AQ55" i="2"/>
  <c r="AE55" i="2"/>
  <c r="AD55" i="2"/>
  <c r="AC55" i="2"/>
  <c r="AB55" i="2"/>
  <c r="P55" i="2"/>
  <c r="O55" i="2"/>
  <c r="N55" i="2"/>
  <c r="M55" i="2"/>
  <c r="EH54" i="2"/>
  <c r="EG54" i="2"/>
  <c r="EF54" i="2"/>
  <c r="EE54" i="2"/>
  <c r="DR54" i="2"/>
  <c r="DQ54" i="2"/>
  <c r="DP54" i="2"/>
  <c r="DO54" i="2"/>
  <c r="CM54" i="2"/>
  <c r="CK54" i="2"/>
  <c r="BX54" i="2"/>
  <c r="BW54" i="2"/>
  <c r="BV54" i="2"/>
  <c r="BU54" i="2"/>
  <c r="BI54" i="2"/>
  <c r="BH54" i="2"/>
  <c r="BG54" i="2"/>
  <c r="BF54" i="2"/>
  <c r="AT54" i="2"/>
  <c r="AS54" i="2"/>
  <c r="AR54" i="2"/>
  <c r="AQ54" i="2"/>
  <c r="AE54" i="2"/>
  <c r="AD54" i="2"/>
  <c r="AC54" i="2"/>
  <c r="AB54" i="2"/>
  <c r="P54" i="2"/>
  <c r="O54" i="2"/>
  <c r="N54" i="2"/>
  <c r="M54" i="2"/>
  <c r="EH53" i="2"/>
  <c r="EG53" i="2"/>
  <c r="EF53" i="2"/>
  <c r="EE53" i="2"/>
  <c r="DR53" i="2"/>
  <c r="DQ53" i="2"/>
  <c r="DP53" i="2"/>
  <c r="DO53" i="2"/>
  <c r="CM53" i="2"/>
  <c r="CK53" i="2"/>
  <c r="BX53" i="2"/>
  <c r="BW53" i="2"/>
  <c r="BV53" i="2"/>
  <c r="BU53" i="2"/>
  <c r="BI53" i="2"/>
  <c r="BH53" i="2"/>
  <c r="BG53" i="2"/>
  <c r="BF53" i="2"/>
  <c r="AT53" i="2"/>
  <c r="AS53" i="2"/>
  <c r="AR53" i="2"/>
  <c r="AQ53" i="2"/>
  <c r="AE53" i="2"/>
  <c r="AD53" i="2"/>
  <c r="AC53" i="2"/>
  <c r="AB53" i="2"/>
  <c r="P53" i="2"/>
  <c r="O53" i="2"/>
  <c r="N53" i="2"/>
  <c r="M53" i="2"/>
  <c r="EH52" i="2"/>
  <c r="EG52" i="2"/>
  <c r="EF52" i="2"/>
  <c r="EE52" i="2"/>
  <c r="DR52" i="2"/>
  <c r="DQ52" i="2"/>
  <c r="DP52" i="2"/>
  <c r="DO52" i="2"/>
  <c r="CM52" i="2"/>
  <c r="CK52" i="2"/>
  <c r="BX52" i="2"/>
  <c r="BW52" i="2"/>
  <c r="BV52" i="2"/>
  <c r="BU52" i="2"/>
  <c r="BI52" i="2"/>
  <c r="BH52" i="2"/>
  <c r="BG52" i="2"/>
  <c r="BF52" i="2"/>
  <c r="AT52" i="2"/>
  <c r="AS52" i="2"/>
  <c r="AR52" i="2"/>
  <c r="AQ52" i="2"/>
  <c r="AE52" i="2"/>
  <c r="AD52" i="2"/>
  <c r="AC52" i="2"/>
  <c r="AB52" i="2"/>
  <c r="P52" i="2"/>
  <c r="O52" i="2"/>
  <c r="N52" i="2"/>
  <c r="M52" i="2"/>
  <c r="EH51" i="2"/>
  <c r="EG51" i="2"/>
  <c r="EF51" i="2"/>
  <c r="EE51" i="2"/>
  <c r="DR51" i="2"/>
  <c r="DQ51" i="2"/>
  <c r="DP51" i="2"/>
  <c r="DO51" i="2"/>
  <c r="CM51" i="2"/>
  <c r="CK51" i="2"/>
  <c r="BX51" i="2"/>
  <c r="BW51" i="2"/>
  <c r="BV51" i="2"/>
  <c r="BU51" i="2"/>
  <c r="BI51" i="2"/>
  <c r="BH51" i="2"/>
  <c r="BG51" i="2"/>
  <c r="BF51" i="2"/>
  <c r="AT51" i="2"/>
  <c r="AS51" i="2"/>
  <c r="AR51" i="2"/>
  <c r="AQ51" i="2"/>
  <c r="AE51" i="2"/>
  <c r="AD51" i="2"/>
  <c r="AC51" i="2"/>
  <c r="AB51" i="2"/>
  <c r="P51" i="2"/>
  <c r="O51" i="2"/>
  <c r="N51" i="2"/>
  <c r="M51" i="2"/>
  <c r="EH50" i="2"/>
  <c r="EG50" i="2"/>
  <c r="EF50" i="2"/>
  <c r="EE50" i="2"/>
  <c r="DR50" i="2"/>
  <c r="DQ50" i="2"/>
  <c r="DP50" i="2"/>
  <c r="DO50" i="2"/>
  <c r="CM50" i="2"/>
  <c r="CK50" i="2"/>
  <c r="BX50" i="2"/>
  <c r="BW50" i="2"/>
  <c r="BV50" i="2"/>
  <c r="BU50" i="2"/>
  <c r="BI50" i="2"/>
  <c r="BH50" i="2"/>
  <c r="BG50" i="2"/>
  <c r="BF50" i="2"/>
  <c r="AT50" i="2"/>
  <c r="AS50" i="2"/>
  <c r="AR50" i="2"/>
  <c r="AQ50" i="2"/>
  <c r="AE50" i="2"/>
  <c r="AD50" i="2"/>
  <c r="AC50" i="2"/>
  <c r="AB50" i="2"/>
  <c r="P50" i="2"/>
  <c r="O50" i="2"/>
  <c r="N50" i="2"/>
  <c r="M50" i="2"/>
  <c r="EH49" i="2"/>
  <c r="EG49" i="2"/>
  <c r="EF49" i="2"/>
  <c r="EE49" i="2"/>
  <c r="DR49" i="2"/>
  <c r="DQ49" i="2"/>
  <c r="DP49" i="2"/>
  <c r="DO49" i="2"/>
  <c r="CM49" i="2"/>
  <c r="CK49" i="2"/>
  <c r="BX49" i="2"/>
  <c r="BW49" i="2"/>
  <c r="BV49" i="2"/>
  <c r="BU49" i="2"/>
  <c r="BI49" i="2"/>
  <c r="BH49" i="2"/>
  <c r="BG49" i="2"/>
  <c r="BF49" i="2"/>
  <c r="AT49" i="2"/>
  <c r="AS49" i="2"/>
  <c r="AR49" i="2"/>
  <c r="AQ49" i="2"/>
  <c r="AE49" i="2"/>
  <c r="AD49" i="2"/>
  <c r="AC49" i="2"/>
  <c r="AB49" i="2"/>
  <c r="P49" i="2"/>
  <c r="O49" i="2"/>
  <c r="N49" i="2"/>
  <c r="M49" i="2"/>
  <c r="EH48" i="2"/>
  <c r="EG48" i="2"/>
  <c r="EF48" i="2"/>
  <c r="EE48" i="2"/>
  <c r="DR48" i="2"/>
  <c r="DQ48" i="2"/>
  <c r="DP48" i="2"/>
  <c r="DO48" i="2"/>
  <c r="CM48" i="2"/>
  <c r="CK48" i="2"/>
  <c r="BX48" i="2"/>
  <c r="BW48" i="2"/>
  <c r="BV48" i="2"/>
  <c r="BU48" i="2"/>
  <c r="BI48" i="2"/>
  <c r="BH48" i="2"/>
  <c r="BG48" i="2"/>
  <c r="BF48" i="2"/>
  <c r="AT48" i="2"/>
  <c r="AS48" i="2"/>
  <c r="AR48" i="2"/>
  <c r="AQ48" i="2"/>
  <c r="AE48" i="2"/>
  <c r="AD48" i="2"/>
  <c r="AC48" i="2"/>
  <c r="AB48" i="2"/>
  <c r="P48" i="2"/>
  <c r="O48" i="2"/>
  <c r="N48" i="2"/>
  <c r="M48" i="2"/>
  <c r="EH47" i="2"/>
  <c r="EG47" i="2"/>
  <c r="EF47" i="2"/>
  <c r="EE47" i="2"/>
  <c r="DR47" i="2"/>
  <c r="DQ47" i="2"/>
  <c r="DP47" i="2"/>
  <c r="DO47" i="2"/>
  <c r="BX47" i="2"/>
  <c r="BW47" i="2"/>
  <c r="BV47" i="2"/>
  <c r="BU47" i="2"/>
  <c r="BI47" i="2"/>
  <c r="BH47" i="2"/>
  <c r="BG47" i="2"/>
  <c r="BF47" i="2"/>
  <c r="AT47" i="2"/>
  <c r="AS47" i="2"/>
  <c r="AR47" i="2"/>
  <c r="AQ47" i="2"/>
  <c r="AE47" i="2"/>
  <c r="AD47" i="2"/>
  <c r="AC47" i="2"/>
  <c r="AB47" i="2"/>
  <c r="P47" i="2"/>
  <c r="O47" i="2"/>
  <c r="N47" i="2"/>
  <c r="M47" i="2"/>
  <c r="EH46" i="2"/>
  <c r="EG46" i="2"/>
  <c r="EF46" i="2"/>
  <c r="EE46" i="2"/>
  <c r="DR46" i="2"/>
  <c r="DQ46" i="2"/>
  <c r="DP46" i="2"/>
  <c r="DO46" i="2"/>
  <c r="BX46" i="2"/>
  <c r="BW46" i="2"/>
  <c r="BV46" i="2"/>
  <c r="BU46" i="2"/>
  <c r="BI46" i="2"/>
  <c r="BH46" i="2"/>
  <c r="BG46" i="2"/>
  <c r="BF46" i="2"/>
  <c r="AT46" i="2"/>
  <c r="AS46" i="2"/>
  <c r="AR46" i="2"/>
  <c r="AQ46" i="2"/>
  <c r="AE46" i="2"/>
  <c r="AD46" i="2"/>
  <c r="AC46" i="2"/>
  <c r="AB46" i="2"/>
  <c r="P46" i="2"/>
  <c r="O46" i="2"/>
  <c r="N46" i="2"/>
  <c r="M46" i="2"/>
  <c r="EH45" i="2"/>
  <c r="EG45" i="2"/>
  <c r="EF45" i="2"/>
  <c r="EE45" i="2"/>
  <c r="DR45" i="2"/>
  <c r="DQ45" i="2"/>
  <c r="DP45" i="2"/>
  <c r="DO45" i="2"/>
  <c r="BX45" i="2"/>
  <c r="BW45" i="2"/>
  <c r="BV45" i="2"/>
  <c r="BU45" i="2"/>
  <c r="BI45" i="2"/>
  <c r="BH45" i="2"/>
  <c r="BG45" i="2"/>
  <c r="BF45" i="2"/>
  <c r="AT45" i="2"/>
  <c r="AS45" i="2"/>
  <c r="AR45" i="2"/>
  <c r="AQ45" i="2"/>
  <c r="AE45" i="2"/>
  <c r="AD45" i="2"/>
  <c r="AC45" i="2"/>
  <c r="AB45" i="2"/>
  <c r="P45" i="2"/>
  <c r="O45" i="2"/>
  <c r="N45" i="2"/>
  <c r="M45" i="2"/>
  <c r="EH42" i="2"/>
  <c r="EF42" i="2"/>
  <c r="DR42" i="2"/>
  <c r="DP42" i="2"/>
  <c r="CM42" i="2"/>
  <c r="CK42" i="2"/>
  <c r="BX42" i="2"/>
  <c r="BV42" i="2"/>
  <c r="BI42" i="2"/>
  <c r="BG42" i="2"/>
  <c r="AT42" i="2"/>
  <c r="AR42" i="2"/>
  <c r="AE42" i="2"/>
  <c r="AC42" i="2"/>
  <c r="P42" i="2"/>
  <c r="N42" i="2"/>
  <c r="EH41" i="2"/>
  <c r="EF41" i="2"/>
  <c r="DR41" i="2"/>
  <c r="DP41" i="2"/>
  <c r="CM41" i="2"/>
  <c r="CK41" i="2"/>
  <c r="BX41" i="2"/>
  <c r="BV41" i="2"/>
  <c r="BI41" i="2"/>
  <c r="BG41" i="2"/>
  <c r="AT41" i="2"/>
  <c r="AR41" i="2"/>
  <c r="AE41" i="2"/>
  <c r="AC41" i="2"/>
  <c r="P41" i="2"/>
  <c r="N41" i="2"/>
  <c r="EH40" i="2"/>
  <c r="EF40" i="2"/>
  <c r="DR40" i="2"/>
  <c r="DP40" i="2"/>
  <c r="CM40" i="2"/>
  <c r="CK40" i="2"/>
  <c r="BX40" i="2"/>
  <c r="BV40" i="2"/>
  <c r="BI40" i="2"/>
  <c r="BG40" i="2"/>
  <c r="AT40" i="2"/>
  <c r="AR40" i="2"/>
  <c r="AE40" i="2"/>
  <c r="AC40" i="2"/>
  <c r="P40" i="2"/>
  <c r="N40" i="2"/>
  <c r="EH39" i="2"/>
  <c r="EF39" i="2"/>
  <c r="DR39" i="2"/>
  <c r="DP39" i="2"/>
  <c r="CM39" i="2"/>
  <c r="CK39" i="2"/>
  <c r="BX39" i="2"/>
  <c r="BV39" i="2"/>
  <c r="BI39" i="2"/>
  <c r="BG39" i="2"/>
  <c r="AT39" i="2"/>
  <c r="AR39" i="2"/>
  <c r="AE39" i="2"/>
  <c r="AC39" i="2"/>
  <c r="P39" i="2"/>
  <c r="N39" i="2"/>
  <c r="EH38" i="2"/>
  <c r="EF38" i="2"/>
  <c r="DR38" i="2"/>
  <c r="DP38" i="2"/>
  <c r="CM38" i="2"/>
  <c r="CK38" i="2"/>
  <c r="BX38" i="2"/>
  <c r="BV38" i="2"/>
  <c r="BI38" i="2"/>
  <c r="BG38" i="2"/>
  <c r="AT38" i="2"/>
  <c r="AR38" i="2"/>
  <c r="AE38" i="2"/>
  <c r="AC38" i="2"/>
  <c r="P38" i="2"/>
  <c r="N38" i="2"/>
  <c r="EH37" i="2"/>
  <c r="EF37" i="2"/>
  <c r="DR37" i="2"/>
  <c r="DP37" i="2"/>
  <c r="CM37" i="2"/>
  <c r="CK37" i="2"/>
  <c r="BX37" i="2"/>
  <c r="BV37" i="2"/>
  <c r="BI37" i="2"/>
  <c r="BG37" i="2"/>
  <c r="AT37" i="2"/>
  <c r="AR37" i="2"/>
  <c r="AE37" i="2"/>
  <c r="AC37" i="2"/>
  <c r="P37" i="2"/>
  <c r="N37" i="2"/>
  <c r="EH36" i="2"/>
  <c r="EF36" i="2"/>
  <c r="DR36" i="2"/>
  <c r="DP36" i="2"/>
  <c r="CM36" i="2"/>
  <c r="CK36" i="2"/>
  <c r="BX36" i="2"/>
  <c r="BV36" i="2"/>
  <c r="BI36" i="2"/>
  <c r="BG36" i="2"/>
  <c r="AT36" i="2"/>
  <c r="AR36" i="2"/>
  <c r="AE36" i="2"/>
  <c r="AC36" i="2"/>
  <c r="P36" i="2"/>
  <c r="N36" i="2"/>
  <c r="EH35" i="2"/>
  <c r="EF35" i="2"/>
  <c r="DR35" i="2"/>
  <c r="DP35" i="2"/>
  <c r="CM35" i="2"/>
  <c r="CK35" i="2"/>
  <c r="BX35" i="2"/>
  <c r="BV35" i="2"/>
  <c r="BI35" i="2"/>
  <c r="BG35" i="2"/>
  <c r="AT35" i="2"/>
  <c r="AR35" i="2"/>
  <c r="AE35" i="2"/>
  <c r="AC35" i="2"/>
  <c r="P35" i="2"/>
  <c r="N35" i="2"/>
  <c r="EH34" i="2"/>
  <c r="EF34" i="2"/>
  <c r="DR34" i="2"/>
  <c r="DP34" i="2"/>
  <c r="CM34" i="2"/>
  <c r="CK34" i="2"/>
  <c r="BX34" i="2"/>
  <c r="BV34" i="2"/>
  <c r="BI34" i="2"/>
  <c r="BG34" i="2"/>
  <c r="AT34" i="2"/>
  <c r="AR34" i="2"/>
  <c r="AE34" i="2"/>
  <c r="AC34" i="2"/>
  <c r="P34" i="2"/>
  <c r="N34" i="2"/>
  <c r="EH33" i="2"/>
  <c r="EF33" i="2"/>
  <c r="DR33" i="2"/>
  <c r="DP33" i="2"/>
  <c r="CM33" i="2"/>
  <c r="CK33" i="2"/>
  <c r="BX33" i="2"/>
  <c r="BV33" i="2"/>
  <c r="BI33" i="2"/>
  <c r="BG33" i="2"/>
  <c r="AT33" i="2"/>
  <c r="AR33" i="2"/>
  <c r="AE33" i="2"/>
  <c r="AC33" i="2"/>
  <c r="P33" i="2"/>
  <c r="N33" i="2"/>
  <c r="EH32" i="2"/>
  <c r="EF32" i="2"/>
  <c r="DR32" i="2"/>
  <c r="DP32" i="2"/>
  <c r="CM32" i="2"/>
  <c r="CK32" i="2"/>
  <c r="BX32" i="2"/>
  <c r="BV32" i="2"/>
  <c r="BI32" i="2"/>
  <c r="BG32" i="2"/>
  <c r="AT32" i="2"/>
  <c r="AR32" i="2"/>
  <c r="AE32" i="2"/>
  <c r="AC32" i="2"/>
  <c r="P32" i="2"/>
  <c r="N32" i="2"/>
  <c r="EH31" i="2"/>
  <c r="EF31" i="2"/>
  <c r="DR31" i="2"/>
  <c r="DP31" i="2"/>
  <c r="CM31" i="2"/>
  <c r="CK31" i="2"/>
  <c r="BX31" i="2"/>
  <c r="BV31" i="2"/>
  <c r="BI31" i="2"/>
  <c r="BG31" i="2"/>
  <c r="AT31" i="2"/>
  <c r="AR31" i="2"/>
  <c r="AE31" i="2"/>
  <c r="AC31" i="2"/>
  <c r="P31" i="2"/>
  <c r="N31" i="2"/>
  <c r="EH30" i="2"/>
  <c r="EF30" i="2"/>
  <c r="DR30" i="2"/>
  <c r="DP30" i="2"/>
  <c r="CM30" i="2"/>
  <c r="CK30" i="2"/>
  <c r="BX30" i="2"/>
  <c r="BV30" i="2"/>
  <c r="BI30" i="2"/>
  <c r="BG30" i="2"/>
  <c r="AT30" i="2"/>
  <c r="AR30" i="2"/>
  <c r="AE30" i="2"/>
  <c r="AC30" i="2"/>
  <c r="P30" i="2"/>
  <c r="N30" i="2"/>
  <c r="EH29" i="2"/>
  <c r="EF29" i="2"/>
  <c r="DR29" i="2"/>
  <c r="DP29" i="2"/>
  <c r="CM29" i="2"/>
  <c r="CK29" i="2"/>
  <c r="BX29" i="2"/>
  <c r="BV29" i="2"/>
  <c r="BI29" i="2"/>
  <c r="BG29" i="2"/>
  <c r="AT29" i="2"/>
  <c r="AR29" i="2"/>
  <c r="AE29" i="2"/>
  <c r="AC29" i="2"/>
  <c r="P29" i="2"/>
  <c r="N29" i="2"/>
  <c r="EH28" i="2"/>
  <c r="EF28" i="2"/>
  <c r="DR28" i="2"/>
  <c r="DP28" i="2"/>
  <c r="CM28" i="2"/>
  <c r="CK28" i="2"/>
  <c r="BX28" i="2"/>
  <c r="BV28" i="2"/>
  <c r="BI28" i="2"/>
  <c r="BG28" i="2"/>
  <c r="AT28" i="2"/>
  <c r="AR28" i="2"/>
  <c r="AE28" i="2"/>
  <c r="AC28" i="2"/>
  <c r="P28" i="2"/>
  <c r="N28" i="2"/>
  <c r="BX23" i="2"/>
  <c r="BV23" i="2"/>
  <c r="BX22" i="2"/>
  <c r="BV22" i="2"/>
  <c r="BX21" i="2"/>
  <c r="BV21" i="2"/>
  <c r="BX20" i="2"/>
  <c r="BV20" i="2"/>
  <c r="BX19" i="2"/>
  <c r="BV19" i="2"/>
  <c r="EF18" i="2"/>
  <c r="DP18" i="2"/>
  <c r="CK18" i="2"/>
  <c r="BX18" i="2"/>
  <c r="BV18" i="2"/>
  <c r="BI18" i="2"/>
  <c r="BG18" i="2"/>
  <c r="AR18" i="2"/>
  <c r="EF17" i="2"/>
  <c r="DP17" i="2"/>
  <c r="CK17" i="2"/>
  <c r="BX17" i="2"/>
  <c r="BV17" i="2"/>
  <c r="BI17" i="2"/>
  <c r="BG17" i="2"/>
  <c r="AR17" i="2"/>
  <c r="AC17" i="2"/>
  <c r="P17" i="2"/>
  <c r="N17" i="2"/>
  <c r="EF16" i="2"/>
  <c r="DP16" i="2"/>
  <c r="CK16" i="2"/>
  <c r="BX16" i="2"/>
  <c r="BV16" i="2"/>
  <c r="BI16" i="2"/>
  <c r="BG16" i="2"/>
  <c r="AR16" i="2"/>
  <c r="AC16" i="2"/>
  <c r="P16" i="2"/>
  <c r="N16" i="2"/>
  <c r="EF15" i="2"/>
  <c r="DP15" i="2"/>
  <c r="CK15" i="2"/>
  <c r="BX15" i="2"/>
  <c r="BV15" i="2"/>
  <c r="BI15" i="2"/>
  <c r="BG15" i="2"/>
  <c r="AR15" i="2"/>
  <c r="AC15" i="2"/>
  <c r="P15" i="2"/>
  <c r="N15" i="2"/>
  <c r="EF14" i="2"/>
  <c r="DP14" i="2"/>
  <c r="CK14" i="2"/>
  <c r="BX14" i="2"/>
  <c r="BV14" i="2"/>
  <c r="BI14" i="2"/>
  <c r="BG14" i="2"/>
  <c r="AR14" i="2"/>
  <c r="AC14" i="2"/>
  <c r="P14" i="2"/>
  <c r="N14" i="2"/>
  <c r="EF13" i="2"/>
  <c r="DP13" i="2"/>
  <c r="CK13" i="2"/>
  <c r="BX13" i="2"/>
  <c r="BV13" i="2"/>
  <c r="BI13" i="2"/>
  <c r="BG13" i="2"/>
  <c r="AR13" i="2"/>
  <c r="AC13" i="2"/>
  <c r="P13" i="2"/>
  <c r="N13" i="2"/>
  <c r="GJ12" i="2"/>
  <c r="EF12" i="2"/>
  <c r="DP12" i="2"/>
  <c r="CK12" i="2"/>
  <c r="BX12" i="2"/>
  <c r="BV12" i="2"/>
  <c r="BI12" i="2"/>
  <c r="BG12" i="2"/>
  <c r="BD12" i="2"/>
  <c r="AR12" i="2"/>
  <c r="AC12" i="2"/>
  <c r="Z12" i="2"/>
  <c r="P12" i="2"/>
  <c r="N12" i="2"/>
  <c r="GJ11" i="2"/>
  <c r="EF11" i="2"/>
  <c r="DP11" i="2"/>
  <c r="CK11" i="2"/>
  <c r="BX11" i="2"/>
  <c r="BV11" i="2"/>
  <c r="BI11" i="2"/>
  <c r="BG11" i="2"/>
  <c r="BD11" i="2"/>
  <c r="AR11" i="2"/>
  <c r="AO11" i="2"/>
  <c r="AC11" i="2"/>
  <c r="Z11" i="2"/>
  <c r="P11" i="2"/>
  <c r="N11" i="2"/>
  <c r="HP10" i="2"/>
  <c r="GR10" i="2"/>
  <c r="GJ10" i="2"/>
  <c r="GB10" i="2"/>
  <c r="FL10" i="2"/>
  <c r="EF10" i="2"/>
  <c r="DP10" i="2"/>
  <c r="CK10" i="2"/>
  <c r="BX10" i="2"/>
  <c r="BV10" i="2"/>
  <c r="BI10" i="2"/>
  <c r="BG10" i="2"/>
  <c r="BD10" i="2"/>
  <c r="AR10" i="2"/>
  <c r="AO10" i="2"/>
  <c r="AC10" i="2"/>
  <c r="Z10" i="2"/>
  <c r="P10" i="2"/>
  <c r="N10" i="2"/>
  <c r="H10" i="2"/>
  <c r="IF9" i="2"/>
  <c r="HP9" i="2"/>
  <c r="HH9" i="2"/>
  <c r="GR9" i="2"/>
  <c r="GJ9" i="2"/>
  <c r="GB9" i="2"/>
  <c r="FL9" i="2"/>
  <c r="EF9" i="2"/>
  <c r="DP9" i="2"/>
  <c r="CK9" i="2"/>
  <c r="BX9" i="2"/>
  <c r="BV9" i="2"/>
  <c r="BS9" i="2"/>
  <c r="BI9" i="2"/>
  <c r="BG9" i="2"/>
  <c r="BD9" i="2"/>
  <c r="AR9" i="2"/>
  <c r="AO9" i="2"/>
  <c r="AC9" i="2"/>
  <c r="Z9" i="2"/>
  <c r="P9" i="2"/>
  <c r="N9" i="2"/>
  <c r="H9" i="2"/>
  <c r="IV8" i="2"/>
  <c r="IN8" i="2"/>
  <c r="IF8" i="2"/>
  <c r="HX8" i="2"/>
  <c r="HP8" i="2"/>
  <c r="HH8" i="2"/>
  <c r="GZ8" i="2"/>
  <c r="GR8" i="2"/>
  <c r="GJ8" i="2"/>
  <c r="GB8" i="2"/>
  <c r="FT8" i="2"/>
  <c r="FL8" i="2"/>
  <c r="FB8" i="2"/>
  <c r="FA8" i="2"/>
  <c r="ES8" i="2"/>
  <c r="ER8" i="2"/>
  <c r="EC8" i="2"/>
  <c r="EB8" i="2"/>
  <c r="DM8" i="2"/>
  <c r="DL8" i="2"/>
  <c r="CH8" i="2"/>
  <c r="BS8" i="2"/>
  <c r="BD8" i="2"/>
  <c r="AO8" i="2"/>
  <c r="Z8" i="2"/>
  <c r="H8" i="2"/>
  <c r="IV7" i="2"/>
  <c r="IN7" i="2"/>
  <c r="IF7" i="2"/>
  <c r="HX7" i="2"/>
  <c r="HP7" i="2"/>
  <c r="HH7" i="2"/>
  <c r="GZ7" i="2"/>
  <c r="GR7" i="2"/>
  <c r="GJ7" i="2"/>
  <c r="GB7" i="2"/>
  <c r="FT7" i="2"/>
  <c r="FL7" i="2"/>
  <c r="FB7" i="2"/>
  <c r="FA7" i="2"/>
  <c r="ES7" i="2"/>
  <c r="ER7" i="2"/>
  <c r="EC7" i="2"/>
  <c r="EB7" i="2"/>
  <c r="DM7" i="2"/>
  <c r="DL7" i="2"/>
  <c r="CH7" i="2"/>
  <c r="BS7" i="2"/>
  <c r="BD7" i="2"/>
  <c r="AO7" i="2"/>
  <c r="Z7" i="2"/>
  <c r="H7" i="2"/>
  <c r="IV6" i="2"/>
  <c r="IN6" i="2"/>
  <c r="IF6" i="2"/>
  <c r="HX6" i="2"/>
  <c r="HP6" i="2"/>
  <c r="HH6" i="2"/>
  <c r="GZ6" i="2"/>
  <c r="GR6" i="2"/>
  <c r="GJ6" i="2"/>
  <c r="GB6" i="2"/>
  <c r="FT6" i="2"/>
  <c r="FL6" i="2"/>
  <c r="FB6" i="2"/>
  <c r="FA6" i="2"/>
  <c r="ES6" i="2"/>
  <c r="ER6" i="2"/>
  <c r="EC6" i="2"/>
  <c r="EB6" i="2"/>
  <c r="DM6" i="2"/>
  <c r="DL6" i="2"/>
  <c r="CH6" i="2"/>
  <c r="BS6" i="2"/>
  <c r="BD6" i="2"/>
  <c r="AO6" i="2"/>
  <c r="Z6" i="2"/>
  <c r="H6" i="2"/>
  <c r="IV5" i="2"/>
  <c r="IN5" i="2"/>
  <c r="IF5" i="2"/>
  <c r="HX5" i="2"/>
  <c r="HP5" i="2"/>
  <c r="HH5" i="2"/>
  <c r="GZ5" i="2"/>
  <c r="GR5" i="2"/>
  <c r="GJ5" i="2"/>
  <c r="GB5" i="2"/>
  <c r="FT5" i="2"/>
  <c r="FL5" i="2"/>
  <c r="FB5" i="2"/>
  <c r="FA5" i="2"/>
  <c r="ES5" i="2"/>
  <c r="ER5" i="2"/>
  <c r="EC5" i="2"/>
  <c r="EB5" i="2"/>
  <c r="DM5" i="2"/>
  <c r="DL5" i="2"/>
  <c r="CH5" i="2"/>
  <c r="BS5" i="2"/>
  <c r="BD5" i="2"/>
  <c r="AO5" i="2"/>
  <c r="Z5" i="2"/>
  <c r="H5" i="2"/>
  <c r="IV4" i="2"/>
  <c r="IN4" i="2"/>
  <c r="IF4" i="2"/>
  <c r="HX4" i="2"/>
  <c r="HP4" i="2"/>
  <c r="HH4" i="2"/>
  <c r="GZ4" i="2"/>
  <c r="GR4" i="2"/>
  <c r="GJ4" i="2"/>
  <c r="GB4" i="2"/>
  <c r="FT4" i="2"/>
  <c r="FL4" i="2"/>
  <c r="FB4" i="2"/>
  <c r="FA4" i="2"/>
  <c r="ES4" i="2"/>
  <c r="ER4" i="2"/>
  <c r="EC4" i="2"/>
  <c r="EB4" i="2"/>
  <c r="DM4" i="2"/>
  <c r="DL4" i="2"/>
  <c r="CH4" i="2"/>
  <c r="BS4" i="2"/>
  <c r="BD4" i="2"/>
  <c r="AO4" i="2"/>
  <c r="Z4" i="2"/>
  <c r="H4" i="2"/>
  <c r="IV3" i="2"/>
  <c r="IN3" i="2"/>
  <c r="IF3" i="2"/>
  <c r="HX3" i="2"/>
  <c r="HP3" i="2"/>
  <c r="HH3" i="2"/>
  <c r="GZ3" i="2"/>
  <c r="GR3" i="2"/>
  <c r="GJ3" i="2"/>
  <c r="GB3" i="2"/>
  <c r="FT3" i="2"/>
  <c r="FL3" i="2"/>
  <c r="FB3" i="2"/>
  <c r="FA3" i="2"/>
  <c r="ES3" i="2"/>
  <c r="EC3" i="2"/>
  <c r="EB3" i="2"/>
  <c r="DM3" i="2"/>
  <c r="DL3" i="2"/>
  <c r="CH3" i="2"/>
  <c r="BS3" i="2"/>
  <c r="BD3" i="2"/>
  <c r="AO3" i="2"/>
  <c r="Z3" i="2"/>
  <c r="H3" i="2"/>
  <c r="AL50" i="3" l="1"/>
  <c r="AS52" i="3"/>
  <c r="AQ52" i="3"/>
  <c r="AR52" i="3"/>
  <c r="AB9" i="3"/>
  <c r="AA10" i="3"/>
  <c r="AC9" i="3"/>
  <c r="AK51" i="3" s="1"/>
  <c r="DA19" i="3"/>
  <c r="DI61" i="3" s="1"/>
  <c r="DP8" i="3"/>
  <c r="EE52" i="3" s="1"/>
  <c r="CY15" i="3"/>
  <c r="DG57" i="3" s="1"/>
  <c r="CY20" i="3"/>
  <c r="DG62" i="3" s="1"/>
  <c r="DA12" i="3"/>
  <c r="DI54" i="3" s="1"/>
  <c r="CY12" i="3"/>
  <c r="DG54" i="3" s="1"/>
  <c r="DN8" i="3"/>
  <c r="DO14" i="3"/>
  <c r="DW56" i="3" s="1"/>
  <c r="DP9" i="3"/>
  <c r="EE53" i="3" s="1"/>
  <c r="CY6" i="3"/>
  <c r="DG48" i="3" s="1"/>
  <c r="CZ19" i="3"/>
  <c r="DH61" i="3" s="1"/>
  <c r="CY13" i="3"/>
  <c r="DG55" i="3" s="1"/>
  <c r="DN12" i="3"/>
  <c r="DV54" i="3" s="1"/>
  <c r="DP11" i="3"/>
  <c r="EE55" i="3" s="1"/>
  <c r="CZ6" i="3"/>
  <c r="DH48" i="3" s="1"/>
  <c r="DP18" i="3"/>
  <c r="EB62" i="3" s="1"/>
  <c r="DP17" i="3"/>
  <c r="EE61" i="3" s="1"/>
  <c r="CY7" i="3"/>
  <c r="DG49" i="3" s="1"/>
  <c r="CZ13" i="3"/>
  <c r="DH55" i="3" s="1"/>
  <c r="T228" i="3"/>
  <c r="T221" i="3"/>
  <c r="CZ20" i="3"/>
  <c r="DH62" i="3" s="1"/>
  <c r="AL51" i="3"/>
  <c r="AS53" i="3"/>
  <c r="DA20" i="3"/>
  <c r="DI62" i="3" s="1"/>
  <c r="T219" i="3"/>
  <c r="T242" i="3"/>
  <c r="DA6" i="3"/>
  <c r="DI48" i="3" s="1"/>
  <c r="DA7" i="3"/>
  <c r="DI49" i="3" s="1"/>
  <c r="CY8" i="3"/>
  <c r="DG50" i="3" s="1"/>
  <c r="T229" i="3"/>
  <c r="T243" i="3"/>
  <c r="T241" i="3"/>
  <c r="CZ7" i="3"/>
  <c r="DH49" i="3" s="1"/>
  <c r="T239" i="3"/>
  <c r="CZ8" i="3"/>
  <c r="DH50" i="3" s="1"/>
  <c r="T224" i="3"/>
  <c r="DN18" i="3"/>
  <c r="T213" i="3"/>
  <c r="CY18" i="3"/>
  <c r="DG60" i="3" s="1"/>
  <c r="T246" i="3"/>
  <c r="T205" i="3"/>
  <c r="T235" i="3"/>
  <c r="CY17" i="3"/>
  <c r="DG59" i="3" s="1"/>
  <c r="T232" i="3"/>
  <c r="T247" i="3"/>
  <c r="AC10" i="3"/>
  <c r="AB10" i="3"/>
  <c r="AD10" i="3"/>
  <c r="AI52" i="3"/>
  <c r="AA11" i="3"/>
  <c r="DP15" i="3"/>
  <c r="DP20" i="3"/>
  <c r="T231" i="3"/>
  <c r="T236" i="3"/>
  <c r="CZ18" i="3"/>
  <c r="DH60" i="3" s="1"/>
  <c r="DP12" i="3"/>
  <c r="CZ16" i="3"/>
  <c r="DH58" i="3" s="1"/>
  <c r="DN11" i="3"/>
  <c r="CZ10" i="3"/>
  <c r="DH52" i="3" s="1"/>
  <c r="DN6" i="3"/>
  <c r="DO17" i="3"/>
  <c r="AX9" i="3"/>
  <c r="AZ9" i="3"/>
  <c r="AY9" i="3"/>
  <c r="AW10" i="3"/>
  <c r="BF51" i="3"/>
  <c r="T227" i="3"/>
  <c r="DP7" i="3"/>
  <c r="CZ9" i="3"/>
  <c r="DH51" i="3" s="1"/>
  <c r="T217" i="3"/>
  <c r="DP14" i="3"/>
  <c r="T237" i="3"/>
  <c r="DA5" i="3"/>
  <c r="I12" i="3"/>
  <c r="DA11" i="3"/>
  <c r="DI53" i="3" s="1"/>
  <c r="T225" i="3"/>
  <c r="DN13" i="3"/>
  <c r="DO5" i="3"/>
  <c r="AR53" i="3"/>
  <c r="DA13" i="3"/>
  <c r="DI55" i="3" s="1"/>
  <c r="T226" i="3"/>
  <c r="T212" i="3"/>
  <c r="CY14" i="3"/>
  <c r="DG56" i="3" s="1"/>
  <c r="DA17" i="3"/>
  <c r="DI59" i="3" s="1"/>
  <c r="T210" i="3"/>
  <c r="DA16" i="3"/>
  <c r="DI58" i="3" s="1"/>
  <c r="DO9" i="3"/>
  <c r="BG50" i="3"/>
  <c r="BN52" i="3"/>
  <c r="T240" i="3"/>
  <c r="DN16" i="3"/>
  <c r="DA9" i="3"/>
  <c r="DI51" i="3" s="1"/>
  <c r="CY5" i="3"/>
  <c r="DG47" i="3" s="1"/>
  <c r="CY11" i="3"/>
  <c r="DG53" i="3" s="1"/>
  <c r="T215" i="3"/>
  <c r="DN7" i="3"/>
  <c r="DO20" i="3"/>
  <c r="DO16" i="3"/>
  <c r="DP16" i="3"/>
  <c r="DN5" i="3"/>
  <c r="DO13" i="3"/>
  <c r="I22" i="3"/>
  <c r="T230" i="3"/>
  <c r="T208" i="3"/>
  <c r="T203" i="3"/>
  <c r="DA10" i="3"/>
  <c r="DI52" i="3" s="1"/>
  <c r="CY10" i="3"/>
  <c r="DG52" i="3" s="1"/>
  <c r="T244" i="3"/>
  <c r="T220" i="3"/>
  <c r="DO10" i="3"/>
  <c r="DN20" i="3"/>
  <c r="CZ11" i="3"/>
  <c r="DH53" i="3" s="1"/>
  <c r="T238" i="3"/>
  <c r="DN9" i="3"/>
  <c r="DN19" i="3"/>
  <c r="T204" i="3"/>
  <c r="H23" i="3"/>
  <c r="G24" i="3" s="1"/>
  <c r="DA14" i="3"/>
  <c r="DI56" i="3" s="1"/>
  <c r="DP10" i="3"/>
  <c r="DA8" i="3"/>
  <c r="DI50" i="3" s="1"/>
  <c r="DN10" i="3"/>
  <c r="CZ17" i="3"/>
  <c r="DH59" i="3" s="1"/>
  <c r="DO18" i="3"/>
  <c r="CZ5" i="3"/>
  <c r="DH47" i="3" s="1"/>
  <c r="T202" i="3"/>
  <c r="DP6" i="3"/>
  <c r="BH50" i="3"/>
  <c r="BO52" i="3"/>
  <c r="CZ15" i="3"/>
  <c r="DH57" i="3" s="1"/>
  <c r="CY9" i="3"/>
  <c r="DG51" i="3" s="1"/>
  <c r="DP13" i="3"/>
  <c r="DN17" i="3"/>
  <c r="T209" i="3"/>
  <c r="T248" i="3"/>
  <c r="T207" i="3"/>
  <c r="T245" i="3"/>
  <c r="DN15" i="3"/>
  <c r="T233" i="3"/>
  <c r="DO7" i="3"/>
  <c r="T216" i="3"/>
  <c r="T218" i="3"/>
  <c r="CZ14" i="3"/>
  <c r="DH56" i="3" s="1"/>
  <c r="DO6" i="3"/>
  <c r="CY16" i="3"/>
  <c r="DG58" i="3" s="1"/>
  <c r="DP19" i="3"/>
  <c r="DA18" i="3"/>
  <c r="DI60" i="3" s="1"/>
  <c r="T211" i="3"/>
  <c r="DN14" i="3"/>
  <c r="T234" i="3"/>
  <c r="H13" i="3"/>
  <c r="CY19" i="3"/>
  <c r="DG61" i="3" s="1"/>
  <c r="DO19" i="3"/>
  <c r="BP52" i="3"/>
  <c r="BI50" i="3"/>
  <c r="DA15" i="3"/>
  <c r="DI57" i="3" s="1"/>
  <c r="AQ53" i="3"/>
  <c r="AJ51" i="3"/>
  <c r="DP5" i="3"/>
  <c r="T223" i="3"/>
  <c r="CZ12" i="3"/>
  <c r="DH54" i="3" s="1"/>
  <c r="DO8" i="3"/>
  <c r="T201" i="3"/>
  <c r="T222" i="3"/>
  <c r="DO15" i="3"/>
  <c r="DO11" i="3"/>
  <c r="T206" i="3"/>
  <c r="T214" i="3"/>
  <c r="DO12" i="3"/>
  <c r="HP11" i="2"/>
  <c r="FT9" i="2"/>
  <c r="ER9" i="2"/>
  <c r="GJ13" i="2"/>
  <c r="BD13" i="2"/>
  <c r="GZ9" i="2"/>
  <c r="GB11" i="2"/>
  <c r="CH9" i="2"/>
  <c r="Z13" i="2"/>
  <c r="HX9" i="2"/>
  <c r="DL9" i="2"/>
  <c r="IF10" i="2"/>
  <c r="IV9" i="2"/>
  <c r="H11" i="2"/>
  <c r="HH10" i="2"/>
  <c r="EB9" i="2"/>
  <c r="IN9" i="2"/>
  <c r="FA9" i="2"/>
  <c r="FL11" i="2"/>
  <c r="BS10" i="2"/>
  <c r="AO12" i="2"/>
  <c r="GR11" i="2"/>
  <c r="EC52" i="3" l="1"/>
  <c r="EB52" i="3"/>
  <c r="DX50" i="3"/>
  <c r="EB55" i="3"/>
  <c r="ED58" i="3"/>
  <c r="BV8" i="3"/>
  <c r="CD50" i="3" s="1"/>
  <c r="EB61" i="3"/>
  <c r="EB53" i="3"/>
  <c r="DX51" i="3"/>
  <c r="CL12" i="3"/>
  <c r="CT54" i="3" s="1"/>
  <c r="BV6" i="3"/>
  <c r="CD48" i="3" s="1"/>
  <c r="BV11" i="3"/>
  <c r="CD53" i="3" s="1"/>
  <c r="DX53" i="3"/>
  <c r="CL14" i="3"/>
  <c r="CT56" i="3" s="1"/>
  <c r="DX60" i="3"/>
  <c r="EE62" i="3"/>
  <c r="DX59" i="3"/>
  <c r="BU15" i="3"/>
  <c r="CC57" i="3" s="1"/>
  <c r="BU17" i="3"/>
  <c r="CC59" i="3" s="1"/>
  <c r="BV5" i="3"/>
  <c r="CD47" i="3" s="1"/>
  <c r="BV7" i="3"/>
  <c r="CD49" i="3" s="1"/>
  <c r="CL9" i="3"/>
  <c r="CT51" i="3" s="1"/>
  <c r="DV50" i="3"/>
  <c r="CJ10" i="3"/>
  <c r="CR52" i="3" s="1"/>
  <c r="BV9" i="3"/>
  <c r="CD51" i="3" s="1"/>
  <c r="BU6" i="3"/>
  <c r="CC48" i="3" s="1"/>
  <c r="BW6" i="3"/>
  <c r="CE48" i="3" s="1"/>
  <c r="CL16" i="3"/>
  <c r="CT58" i="3" s="1"/>
  <c r="DX47" i="3"/>
  <c r="DS8" i="3"/>
  <c r="DS5" i="3"/>
  <c r="DS9" i="3"/>
  <c r="DS6" i="3"/>
  <c r="DS7" i="3"/>
  <c r="DS10" i="3"/>
  <c r="EE49" i="3"/>
  <c r="EB49" i="3"/>
  <c r="EE60" i="3"/>
  <c r="DX58" i="3"/>
  <c r="EB60" i="3"/>
  <c r="DX52" i="3"/>
  <c r="EE54" i="3"/>
  <c r="EB54" i="3"/>
  <c r="BU19" i="3"/>
  <c r="CC61" i="3" s="1"/>
  <c r="CK10" i="3"/>
  <c r="CS52" i="3" s="1"/>
  <c r="CK17" i="3"/>
  <c r="CS59" i="3" s="1"/>
  <c r="EE51" i="3"/>
  <c r="DX49" i="3"/>
  <c r="EB51" i="3"/>
  <c r="CJ16" i="3"/>
  <c r="CR58" i="3" s="1"/>
  <c r="I23" i="3"/>
  <c r="DW49" i="3"/>
  <c r="ED51" i="3"/>
  <c r="BV17" i="3"/>
  <c r="CD59" i="3" s="1"/>
  <c r="CL17" i="3"/>
  <c r="CT59" i="3" s="1"/>
  <c r="CJ13" i="3"/>
  <c r="CR55" i="3" s="1"/>
  <c r="CK6" i="3"/>
  <c r="CS48" i="3" s="1"/>
  <c r="EC63" i="3"/>
  <c r="DV61" i="3"/>
  <c r="BF52" i="3"/>
  <c r="AW11" i="3"/>
  <c r="AX10" i="3"/>
  <c r="AZ10" i="3"/>
  <c r="AY10" i="3"/>
  <c r="EE59" i="3"/>
  <c r="DX57" i="3"/>
  <c r="EB59" i="3"/>
  <c r="ED63" i="3"/>
  <c r="DW61" i="3"/>
  <c r="DV57" i="3"/>
  <c r="EC59" i="3"/>
  <c r="BW11" i="3"/>
  <c r="CE53" i="3" s="1"/>
  <c r="BW17" i="3"/>
  <c r="CE59" i="3" s="1"/>
  <c r="BW7" i="3"/>
  <c r="CE49" i="3" s="1"/>
  <c r="CJ5" i="3"/>
  <c r="CR47" i="3" s="1"/>
  <c r="CJ15" i="3"/>
  <c r="CR57" i="3" s="1"/>
  <c r="CL7" i="3"/>
  <c r="CT49" i="3" s="1"/>
  <c r="EC53" i="3"/>
  <c r="DV51" i="3"/>
  <c r="BO53" i="3"/>
  <c r="BH51" i="3"/>
  <c r="AA12" i="3"/>
  <c r="AB11" i="3"/>
  <c r="AD11" i="3"/>
  <c r="AI53" i="3"/>
  <c r="AC11" i="3"/>
  <c r="CJ11" i="3"/>
  <c r="CR53" i="3" s="1"/>
  <c r="BU12" i="3"/>
  <c r="CC54" i="3" s="1"/>
  <c r="CL19" i="3"/>
  <c r="CT61" i="3" s="1"/>
  <c r="DW47" i="3"/>
  <c r="ED49" i="3"/>
  <c r="CJ20" i="3"/>
  <c r="CR62" i="3" s="1"/>
  <c r="CJ7" i="3"/>
  <c r="CR49" i="3" s="1"/>
  <c r="CJ6" i="3"/>
  <c r="CR48" i="3" s="1"/>
  <c r="BV13" i="3"/>
  <c r="CD55" i="3" s="1"/>
  <c r="CJ18" i="3"/>
  <c r="CR60" i="3" s="1"/>
  <c r="EE50" i="3"/>
  <c r="DX48" i="3"/>
  <c r="EB50" i="3"/>
  <c r="BN53" i="3"/>
  <c r="BG51" i="3"/>
  <c r="BW20" i="3"/>
  <c r="CE62" i="3" s="1"/>
  <c r="CL8" i="3"/>
  <c r="CT50" i="3" s="1"/>
  <c r="BV10" i="3"/>
  <c r="CD52" i="3" s="1"/>
  <c r="BU9" i="3"/>
  <c r="CC51" i="3" s="1"/>
  <c r="BU5" i="3"/>
  <c r="CC47" i="3" s="1"/>
  <c r="CL5" i="3"/>
  <c r="CK8" i="3"/>
  <c r="CS50" i="3" s="1"/>
  <c r="CL13" i="3"/>
  <c r="CT55" i="3" s="1"/>
  <c r="ED61" i="3"/>
  <c r="DW59" i="3"/>
  <c r="AR54" i="3"/>
  <c r="AK52" i="3"/>
  <c r="CK15" i="3"/>
  <c r="CS57" i="3" s="1"/>
  <c r="BV14" i="3"/>
  <c r="CD56" i="3" s="1"/>
  <c r="H24" i="3"/>
  <c r="G25" i="3" s="1"/>
  <c r="CL11" i="3"/>
  <c r="CT53" i="3" s="1"/>
  <c r="DW51" i="3"/>
  <c r="ED53" i="3"/>
  <c r="BU10" i="3"/>
  <c r="CC52" i="3" s="1"/>
  <c r="BU20" i="3"/>
  <c r="CC62" i="3" s="1"/>
  <c r="BU13" i="3"/>
  <c r="CC55" i="3" s="1"/>
  <c r="CL6" i="3"/>
  <c r="CT48" i="3" s="1"/>
  <c r="CK19" i="3"/>
  <c r="CS61" i="3" s="1"/>
  <c r="AS54" i="3"/>
  <c r="AL52" i="3"/>
  <c r="CK9" i="3"/>
  <c r="CS51" i="3" s="1"/>
  <c r="ED52" i="3"/>
  <c r="DW50" i="3"/>
  <c r="DV56" i="3"/>
  <c r="EC58" i="3"/>
  <c r="EC61" i="3"/>
  <c r="DV59" i="3"/>
  <c r="BV20" i="3"/>
  <c r="CD62" i="3" s="1"/>
  <c r="BW12" i="3"/>
  <c r="CE54" i="3" s="1"/>
  <c r="BU8" i="3"/>
  <c r="CC50" i="3" s="1"/>
  <c r="CK11" i="3"/>
  <c r="CS53" i="3" s="1"/>
  <c r="CL15" i="3"/>
  <c r="CT57" i="3" s="1"/>
  <c r="CK18" i="3"/>
  <c r="CS60" i="3" s="1"/>
  <c r="ED62" i="3"/>
  <c r="DW60" i="3"/>
  <c r="DI47" i="3"/>
  <c r="DD8" i="3"/>
  <c r="DD5" i="3"/>
  <c r="DD7" i="3"/>
  <c r="DD6" i="3"/>
  <c r="DD9" i="3"/>
  <c r="EC50" i="3"/>
  <c r="DV48" i="3"/>
  <c r="AP54" i="3"/>
  <c r="EC60" i="3"/>
  <c r="DV58" i="3"/>
  <c r="CJ12" i="3"/>
  <c r="CR54" i="3" s="1"/>
  <c r="CK12" i="3"/>
  <c r="CS54" i="3" s="1"/>
  <c r="DV55" i="3"/>
  <c r="EC57" i="3"/>
  <c r="BU18" i="3"/>
  <c r="CC60" i="3" s="1"/>
  <c r="DW52" i="3"/>
  <c r="ED54" i="3"/>
  <c r="BV15" i="3"/>
  <c r="CD57" i="3" s="1"/>
  <c r="EE64" i="3"/>
  <c r="DX62" i="3"/>
  <c r="EB64" i="3"/>
  <c r="BU16" i="3"/>
  <c r="CC58" i="3" s="1"/>
  <c r="BW18" i="3"/>
  <c r="CE60" i="3" s="1"/>
  <c r="CK13" i="3"/>
  <c r="CS55" i="3" s="1"/>
  <c r="BU14" i="3"/>
  <c r="CC56" i="3" s="1"/>
  <c r="BV19" i="3"/>
  <c r="CD61" i="3" s="1"/>
  <c r="BW15" i="3"/>
  <c r="CE57" i="3" s="1"/>
  <c r="CK14" i="3"/>
  <c r="CS56" i="3" s="1"/>
  <c r="CJ14" i="3"/>
  <c r="CR56" i="3" s="1"/>
  <c r="CK7" i="3"/>
  <c r="CS49" i="3" s="1"/>
  <c r="EC62" i="3"/>
  <c r="DV60" i="3"/>
  <c r="DV62" i="3"/>
  <c r="EC64" i="3"/>
  <c r="EE56" i="3"/>
  <c r="DX54" i="3"/>
  <c r="EB56" i="3"/>
  <c r="BV16" i="3"/>
  <c r="CD58" i="3" s="1"/>
  <c r="ED64" i="3"/>
  <c r="DW62" i="3"/>
  <c r="EE57" i="3"/>
  <c r="DX55" i="3"/>
  <c r="EB57" i="3"/>
  <c r="CL10" i="3"/>
  <c r="CT52" i="3" s="1"/>
  <c r="BU11" i="3"/>
  <c r="CC53" i="3" s="1"/>
  <c r="BW13" i="3"/>
  <c r="CE55" i="3" s="1"/>
  <c r="CJ9" i="3"/>
  <c r="CR51" i="3" s="1"/>
  <c r="BW19" i="3"/>
  <c r="CE61" i="3" s="1"/>
  <c r="CJ8" i="3"/>
  <c r="CR50" i="3" s="1"/>
  <c r="BI51" i="3"/>
  <c r="BP53" i="3"/>
  <c r="G14" i="3"/>
  <c r="BW10" i="3"/>
  <c r="CE52" i="3" s="1"/>
  <c r="I13" i="3"/>
  <c r="BW9" i="3"/>
  <c r="CE51" i="3" s="1"/>
  <c r="BM53" i="3"/>
  <c r="BU7" i="3"/>
  <c r="CC49" i="3" s="1"/>
  <c r="BW8" i="3"/>
  <c r="CE50" i="3" s="1"/>
  <c r="BW16" i="3"/>
  <c r="CE58" i="3" s="1"/>
  <c r="CK5" i="3"/>
  <c r="CS47" i="3" s="1"/>
  <c r="CJ19" i="3"/>
  <c r="CR61" i="3" s="1"/>
  <c r="CL18" i="3"/>
  <c r="CT60" i="3" s="1"/>
  <c r="DW55" i="3"/>
  <c r="ED57" i="3"/>
  <c r="EE58" i="3"/>
  <c r="DX56" i="3"/>
  <c r="EB58" i="3"/>
  <c r="ED50" i="3"/>
  <c r="DW48" i="3"/>
  <c r="CJ17" i="3"/>
  <c r="CR59" i="3" s="1"/>
  <c r="ED60" i="3"/>
  <c r="DW58" i="3"/>
  <c r="DW53" i="3"/>
  <c r="ED55" i="3"/>
  <c r="DV49" i="3"/>
  <c r="EC51" i="3"/>
  <c r="CK20" i="3"/>
  <c r="CS62" i="3" s="1"/>
  <c r="DW57" i="3"/>
  <c r="ED59" i="3"/>
  <c r="BV12" i="3"/>
  <c r="CD54" i="3" s="1"/>
  <c r="AQ54" i="3"/>
  <c r="AJ52" i="3"/>
  <c r="ED56" i="3"/>
  <c r="DW54" i="3"/>
  <c r="EE63" i="3"/>
  <c r="DX61" i="3"/>
  <c r="EB63" i="3"/>
  <c r="BW14" i="3"/>
  <c r="CE56" i="3" s="1"/>
  <c r="BW5" i="3"/>
  <c r="BV18" i="3"/>
  <c r="CD60" i="3" s="1"/>
  <c r="CK16" i="3"/>
  <c r="CS58" i="3" s="1"/>
  <c r="CL20" i="3"/>
  <c r="CT62" i="3" s="1"/>
  <c r="EC54" i="3"/>
  <c r="DV52" i="3"/>
  <c r="DV47" i="3"/>
  <c r="EC49" i="3"/>
  <c r="DV53" i="3"/>
  <c r="EC55" i="3"/>
  <c r="EC56" i="3"/>
  <c r="BS11" i="1"/>
  <c r="P5" i="1"/>
  <c r="Q5" i="1"/>
  <c r="FG5" i="1"/>
  <c r="GC5" i="1"/>
  <c r="GD5" i="1"/>
  <c r="GZ5" i="1"/>
  <c r="HO5" i="1"/>
  <c r="IK5" i="1"/>
  <c r="KC5" i="1"/>
  <c r="KK5" i="1"/>
  <c r="KS5" i="1"/>
  <c r="LA5" i="1"/>
  <c r="LI5" i="1"/>
  <c r="LQ5" i="1"/>
  <c r="LY5" i="1"/>
  <c r="MG5" i="1"/>
  <c r="MO5" i="1"/>
  <c r="MW5" i="1"/>
  <c r="NE5" i="1"/>
  <c r="NT5" i="1"/>
  <c r="P6" i="1"/>
  <c r="Q6" i="1"/>
  <c r="FG6" i="1"/>
  <c r="GC6" i="1"/>
  <c r="GD6" i="1"/>
  <c r="GZ6" i="1"/>
  <c r="HO6" i="1"/>
  <c r="IK6" i="1"/>
  <c r="KC6" i="1"/>
  <c r="KK6" i="1"/>
  <c r="KS6" i="1"/>
  <c r="LA6" i="1"/>
  <c r="LI6" i="1"/>
  <c r="LQ6" i="1"/>
  <c r="LY6" i="1"/>
  <c r="MG6" i="1"/>
  <c r="MO6" i="1"/>
  <c r="MW6" i="1"/>
  <c r="NE6" i="1"/>
  <c r="NT6" i="1"/>
  <c r="P7" i="1"/>
  <c r="Q7" i="1"/>
  <c r="FG7" i="1"/>
  <c r="GC7" i="1"/>
  <c r="GD7" i="1"/>
  <c r="GZ7" i="1"/>
  <c r="HO7" i="1"/>
  <c r="IK7" i="1"/>
  <c r="KC7" i="1"/>
  <c r="KK7" i="1"/>
  <c r="KS7" i="1"/>
  <c r="LA7" i="1"/>
  <c r="LI7" i="1"/>
  <c r="LQ7" i="1"/>
  <c r="LY7" i="1"/>
  <c r="MG7" i="1"/>
  <c r="MO7" i="1"/>
  <c r="MW7" i="1"/>
  <c r="NE7" i="1"/>
  <c r="NT7" i="1"/>
  <c r="H8" i="1"/>
  <c r="P8" i="1"/>
  <c r="Q8" i="1"/>
  <c r="FG8" i="1"/>
  <c r="GC8" i="1"/>
  <c r="GD8" i="1"/>
  <c r="GZ8" i="1"/>
  <c r="HO8" i="1"/>
  <c r="IK8" i="1"/>
  <c r="KC8" i="1"/>
  <c r="KK8" i="1"/>
  <c r="KS8" i="1"/>
  <c r="LA8" i="1"/>
  <c r="LI8" i="1"/>
  <c r="LQ8" i="1"/>
  <c r="LY8" i="1"/>
  <c r="MG8" i="1"/>
  <c r="MO8" i="1"/>
  <c r="MW8" i="1"/>
  <c r="NE8" i="1"/>
  <c r="NT8" i="1"/>
  <c r="C9" i="1"/>
  <c r="P9" i="1"/>
  <c r="Q9" i="1"/>
  <c r="FG9" i="1"/>
  <c r="GC9" i="1"/>
  <c r="GD9" i="1"/>
  <c r="GZ9" i="1"/>
  <c r="HO9" i="1"/>
  <c r="IK9" i="1"/>
  <c r="KC9" i="1"/>
  <c r="KK9" i="1"/>
  <c r="KS9" i="1"/>
  <c r="LA9" i="1"/>
  <c r="LI9" i="1"/>
  <c r="LQ9" i="1"/>
  <c r="LY9" i="1"/>
  <c r="MG9" i="1"/>
  <c r="MO9" i="1"/>
  <c r="MW9" i="1"/>
  <c r="NE9" i="1"/>
  <c r="NT9" i="1"/>
  <c r="P10" i="1"/>
  <c r="Q10" i="1"/>
  <c r="FG10" i="1"/>
  <c r="GC10" i="1"/>
  <c r="GD10" i="1"/>
  <c r="GZ10" i="1"/>
  <c r="HO10" i="1"/>
  <c r="IK10" i="1"/>
  <c r="KC10" i="1"/>
  <c r="KK10" i="1"/>
  <c r="KS10" i="1"/>
  <c r="LA10" i="1"/>
  <c r="LI10" i="1"/>
  <c r="LQ10" i="1"/>
  <c r="LY10" i="1"/>
  <c r="MG10" i="1"/>
  <c r="MO10" i="1"/>
  <c r="MW10" i="1"/>
  <c r="NE10" i="1"/>
  <c r="NT10" i="1"/>
  <c r="P11" i="1"/>
  <c r="Q11" i="1"/>
  <c r="AJ11" i="1"/>
  <c r="AL11" i="1"/>
  <c r="AQ11" i="1"/>
  <c r="AS11" i="1"/>
  <c r="BJ11" i="1"/>
  <c r="BL11" i="1"/>
  <c r="CF11" i="1"/>
  <c r="CH11" i="1"/>
  <c r="CU11" i="1"/>
  <c r="CW11" i="1"/>
  <c r="DJ11" i="1"/>
  <c r="DL11" i="1"/>
  <c r="DY11" i="1"/>
  <c r="EA11" i="1"/>
  <c r="EF11" i="1"/>
  <c r="EH11" i="1"/>
  <c r="EU11" i="1"/>
  <c r="EW11" i="1"/>
  <c r="FG11" i="1"/>
  <c r="FJ11" i="1"/>
  <c r="FQ11" i="1"/>
  <c r="GC11" i="1"/>
  <c r="GD11" i="1"/>
  <c r="GG11" i="1"/>
  <c r="GI11" i="1"/>
  <c r="GN11" i="1"/>
  <c r="GP11" i="1"/>
  <c r="GZ11" i="1"/>
  <c r="HC11" i="1"/>
  <c r="HE11" i="1"/>
  <c r="HO11" i="1"/>
  <c r="HR11" i="1"/>
  <c r="HT11" i="1"/>
  <c r="HY11" i="1"/>
  <c r="IA11" i="1"/>
  <c r="IK11" i="1"/>
  <c r="IN11" i="1"/>
  <c r="IP11" i="1"/>
  <c r="IU11" i="1"/>
  <c r="IW11" i="1"/>
  <c r="KC11" i="1"/>
  <c r="KK11" i="1"/>
  <c r="KS11" i="1"/>
  <c r="LA11" i="1"/>
  <c r="LI11" i="1"/>
  <c r="LQ11" i="1"/>
  <c r="LY11" i="1"/>
  <c r="MG11" i="1"/>
  <c r="MO11" i="1"/>
  <c r="MW11" i="1"/>
  <c r="NE11" i="1"/>
  <c r="NH11" i="1"/>
  <c r="NJ11" i="1"/>
  <c r="NT11" i="1"/>
  <c r="NW11" i="1"/>
  <c r="NY11" i="1"/>
  <c r="P12" i="1"/>
  <c r="Q12" i="1"/>
  <c r="AJ12" i="1"/>
  <c r="AL12" i="1"/>
  <c r="AQ12" i="1"/>
  <c r="AS12" i="1"/>
  <c r="BJ12" i="1"/>
  <c r="BL12" i="1"/>
  <c r="BS12" i="1"/>
  <c r="CF12" i="1"/>
  <c r="CH12" i="1"/>
  <c r="CU12" i="1"/>
  <c r="CW12" i="1"/>
  <c r="DJ12" i="1"/>
  <c r="DL12" i="1"/>
  <c r="DY12" i="1"/>
  <c r="EA12" i="1"/>
  <c r="EF12" i="1"/>
  <c r="EH12" i="1"/>
  <c r="EU12" i="1"/>
  <c r="EW12" i="1"/>
  <c r="FG12" i="1"/>
  <c r="FJ12" i="1"/>
  <c r="FQ12" i="1"/>
  <c r="GC12" i="1"/>
  <c r="GD12" i="1"/>
  <c r="GG12" i="1"/>
  <c r="GI12" i="1"/>
  <c r="GN12" i="1"/>
  <c r="GP12" i="1"/>
  <c r="GZ12" i="1"/>
  <c r="HC12" i="1"/>
  <c r="HE12" i="1"/>
  <c r="HO12" i="1"/>
  <c r="HR12" i="1"/>
  <c r="HT12" i="1"/>
  <c r="HY12" i="1"/>
  <c r="IA12" i="1"/>
  <c r="IK12" i="1"/>
  <c r="IN12" i="1"/>
  <c r="IP12" i="1"/>
  <c r="IU12" i="1"/>
  <c r="IW12" i="1"/>
  <c r="KK12" i="1"/>
  <c r="KS12" i="1"/>
  <c r="LA12" i="1"/>
  <c r="LI12" i="1"/>
  <c r="LQ12" i="1"/>
  <c r="MW12" i="1"/>
  <c r="NE12" i="1"/>
  <c r="NH12" i="1"/>
  <c r="NJ12" i="1"/>
  <c r="NT12" i="1"/>
  <c r="NW12" i="1"/>
  <c r="NY12" i="1"/>
  <c r="P13" i="1"/>
  <c r="Q13" i="1"/>
  <c r="AJ13" i="1"/>
  <c r="AL13" i="1"/>
  <c r="AQ13" i="1"/>
  <c r="AS13" i="1"/>
  <c r="BJ13" i="1"/>
  <c r="BL13" i="1"/>
  <c r="BQ13" i="1"/>
  <c r="BS13" i="1" s="1"/>
  <c r="CF13" i="1"/>
  <c r="CH13" i="1"/>
  <c r="CU13" i="1"/>
  <c r="CW13" i="1"/>
  <c r="DJ13" i="1"/>
  <c r="DL13" i="1"/>
  <c r="DY13" i="1"/>
  <c r="EA13" i="1"/>
  <c r="EF13" i="1"/>
  <c r="EH13" i="1"/>
  <c r="EU13" i="1"/>
  <c r="EW13" i="1"/>
  <c r="FG13" i="1"/>
  <c r="FJ13" i="1"/>
  <c r="FQ13" i="1"/>
  <c r="GC13" i="1"/>
  <c r="GD13" i="1"/>
  <c r="GG13" i="1"/>
  <c r="GI13" i="1"/>
  <c r="GN13" i="1"/>
  <c r="GP13" i="1"/>
  <c r="HC13" i="1"/>
  <c r="HE13" i="1"/>
  <c r="HO13" i="1"/>
  <c r="HR13" i="1"/>
  <c r="HT13" i="1"/>
  <c r="HY13" i="1"/>
  <c r="IA13" i="1"/>
  <c r="IK13" i="1"/>
  <c r="IN13" i="1"/>
  <c r="IP13" i="1"/>
  <c r="IU13" i="1"/>
  <c r="IW13" i="1"/>
  <c r="KK13" i="1"/>
  <c r="KS13" i="1"/>
  <c r="LA13" i="1"/>
  <c r="LI13" i="1"/>
  <c r="LQ13" i="1"/>
  <c r="NE13" i="1"/>
  <c r="NH13" i="1"/>
  <c r="NJ13" i="1"/>
  <c r="NT13" i="1"/>
  <c r="NW13" i="1"/>
  <c r="NY13" i="1"/>
  <c r="P14" i="1"/>
  <c r="Q14" i="1"/>
  <c r="AJ14" i="1"/>
  <c r="AL14" i="1"/>
  <c r="AQ14" i="1"/>
  <c r="AS14" i="1"/>
  <c r="BJ14" i="1"/>
  <c r="BL14" i="1"/>
  <c r="BQ14" i="1"/>
  <c r="BS14" i="1" s="1"/>
  <c r="CF14" i="1"/>
  <c r="CH14" i="1"/>
  <c r="CU14" i="1"/>
  <c r="CW14" i="1"/>
  <c r="DJ14" i="1"/>
  <c r="DL14" i="1"/>
  <c r="DY14" i="1"/>
  <c r="EA14" i="1"/>
  <c r="EF14" i="1"/>
  <c r="EH14" i="1"/>
  <c r="EU14" i="1"/>
  <c r="EW14" i="1"/>
  <c r="FG14" i="1"/>
  <c r="FJ14" i="1"/>
  <c r="FQ14" i="1"/>
  <c r="GC14" i="1"/>
  <c r="GD14" i="1"/>
  <c r="GG14" i="1"/>
  <c r="GI14" i="1"/>
  <c r="GN14" i="1"/>
  <c r="GP14" i="1"/>
  <c r="HC14" i="1"/>
  <c r="HE14" i="1"/>
  <c r="HR14" i="1"/>
  <c r="HT14" i="1"/>
  <c r="HY14" i="1"/>
  <c r="IA14" i="1"/>
  <c r="IK14" i="1"/>
  <c r="IN14" i="1"/>
  <c r="IP14" i="1"/>
  <c r="IU14" i="1"/>
  <c r="IW14" i="1"/>
  <c r="KK14" i="1"/>
  <c r="KS14" i="1"/>
  <c r="LI14" i="1"/>
  <c r="NE14" i="1"/>
  <c r="NH14" i="1"/>
  <c r="NJ14" i="1"/>
  <c r="NT14" i="1"/>
  <c r="NW14" i="1"/>
  <c r="NY14" i="1"/>
  <c r="P15" i="1"/>
  <c r="Q15" i="1"/>
  <c r="AJ15" i="1"/>
  <c r="AL15" i="1"/>
  <c r="AQ15" i="1"/>
  <c r="AS15" i="1"/>
  <c r="BJ15" i="1"/>
  <c r="BL15" i="1"/>
  <c r="BQ15" i="1"/>
  <c r="BS15" i="1" s="1"/>
  <c r="CF15" i="1"/>
  <c r="CH15" i="1"/>
  <c r="CU15" i="1"/>
  <c r="CW15" i="1"/>
  <c r="DJ15" i="1"/>
  <c r="DL15" i="1"/>
  <c r="DY15" i="1"/>
  <c r="EA15" i="1"/>
  <c r="EF15" i="1"/>
  <c r="EH15" i="1"/>
  <c r="EU15" i="1"/>
  <c r="EW15" i="1"/>
  <c r="FG15" i="1"/>
  <c r="FJ15" i="1"/>
  <c r="FQ15" i="1"/>
  <c r="GC15" i="1"/>
  <c r="GD15" i="1"/>
  <c r="GG15" i="1"/>
  <c r="GI15" i="1"/>
  <c r="GN15" i="1"/>
  <c r="GP15" i="1"/>
  <c r="HC15" i="1"/>
  <c r="HE15" i="1"/>
  <c r="HR15" i="1"/>
  <c r="HT15" i="1"/>
  <c r="HY15" i="1"/>
  <c r="IA15" i="1"/>
  <c r="IN15" i="1"/>
  <c r="IP15" i="1"/>
  <c r="IU15" i="1"/>
  <c r="IW15" i="1"/>
  <c r="KK15" i="1"/>
  <c r="KS15" i="1"/>
  <c r="LI15" i="1"/>
  <c r="NH15" i="1"/>
  <c r="NJ15" i="1"/>
  <c r="NT15" i="1"/>
  <c r="NW15" i="1"/>
  <c r="NY15" i="1"/>
  <c r="C16" i="1"/>
  <c r="P16" i="1"/>
  <c r="Q16" i="1"/>
  <c r="AJ16" i="1"/>
  <c r="AL16" i="1"/>
  <c r="AQ16" i="1"/>
  <c r="AS16" i="1"/>
  <c r="BJ16" i="1"/>
  <c r="BL16" i="1"/>
  <c r="BQ16" i="1"/>
  <c r="BS16" i="1" s="1"/>
  <c r="CF16" i="1"/>
  <c r="CH16" i="1"/>
  <c r="CU16" i="1"/>
  <c r="CW16" i="1"/>
  <c r="DJ16" i="1"/>
  <c r="DL16" i="1"/>
  <c r="DY16" i="1"/>
  <c r="EA16" i="1"/>
  <c r="EF16" i="1"/>
  <c r="EH16" i="1"/>
  <c r="EU16" i="1"/>
  <c r="EW16" i="1"/>
  <c r="FJ16" i="1"/>
  <c r="FQ16" i="1"/>
  <c r="GC16" i="1"/>
  <c r="GD16" i="1"/>
  <c r="GG16" i="1"/>
  <c r="GI16" i="1"/>
  <c r="GN16" i="1"/>
  <c r="GP16" i="1"/>
  <c r="HC16" i="1"/>
  <c r="HE16" i="1"/>
  <c r="HR16" i="1"/>
  <c r="HT16" i="1"/>
  <c r="HY16" i="1"/>
  <c r="IA16" i="1"/>
  <c r="IN16" i="1"/>
  <c r="IP16" i="1"/>
  <c r="IU16" i="1"/>
  <c r="IW16" i="1"/>
  <c r="KK16" i="1"/>
  <c r="LI16" i="1"/>
  <c r="NH16" i="1"/>
  <c r="NJ16" i="1"/>
  <c r="NW16" i="1"/>
  <c r="NY16" i="1"/>
  <c r="P17" i="1"/>
  <c r="Q17" i="1"/>
  <c r="AJ17" i="1"/>
  <c r="AL17" i="1"/>
  <c r="AQ17" i="1"/>
  <c r="AS17" i="1"/>
  <c r="BJ17" i="1"/>
  <c r="BL17" i="1"/>
  <c r="BQ17" i="1"/>
  <c r="BS17" i="1" s="1"/>
  <c r="CF17" i="1"/>
  <c r="CH17" i="1"/>
  <c r="CU17" i="1"/>
  <c r="CW17" i="1"/>
  <c r="DJ17" i="1"/>
  <c r="DL17" i="1"/>
  <c r="DY17" i="1"/>
  <c r="EA17" i="1"/>
  <c r="EF17" i="1"/>
  <c r="EH17" i="1"/>
  <c r="EU17" i="1"/>
  <c r="EW17" i="1"/>
  <c r="FJ17" i="1"/>
  <c r="FQ17" i="1"/>
  <c r="GG17" i="1"/>
  <c r="GI17" i="1"/>
  <c r="GN17" i="1"/>
  <c r="GP17" i="1"/>
  <c r="HC17" i="1"/>
  <c r="HR17" i="1"/>
  <c r="HT17" i="1"/>
  <c r="HY17" i="1"/>
  <c r="IA17" i="1"/>
  <c r="IN17" i="1"/>
  <c r="IP17" i="1"/>
  <c r="IU17" i="1"/>
  <c r="IW17" i="1"/>
  <c r="LI17" i="1"/>
  <c r="NH17" i="1"/>
  <c r="NJ17" i="1"/>
  <c r="NW17" i="1"/>
  <c r="NY17" i="1"/>
  <c r="P18" i="1"/>
  <c r="Q18" i="1"/>
  <c r="AJ18" i="1"/>
  <c r="AL18" i="1"/>
  <c r="AQ18" i="1"/>
  <c r="AS18" i="1"/>
  <c r="BJ18" i="1"/>
  <c r="BL18" i="1"/>
  <c r="BQ18" i="1"/>
  <c r="BS18" i="1" s="1"/>
  <c r="CF18" i="1"/>
  <c r="CH18" i="1"/>
  <c r="CU18" i="1"/>
  <c r="CW18" i="1"/>
  <c r="DJ18" i="1"/>
  <c r="DL18" i="1"/>
  <c r="DY18" i="1"/>
  <c r="EA18" i="1"/>
  <c r="EF18" i="1"/>
  <c r="EH18" i="1"/>
  <c r="EU18" i="1"/>
  <c r="EW18" i="1"/>
  <c r="FJ18" i="1"/>
  <c r="FQ18" i="1"/>
  <c r="GG18" i="1"/>
  <c r="GI18" i="1"/>
  <c r="GN18" i="1"/>
  <c r="GP18" i="1"/>
  <c r="HC18" i="1"/>
  <c r="HR18" i="1"/>
  <c r="HT18" i="1"/>
  <c r="HY18" i="1"/>
  <c r="IA18" i="1"/>
  <c r="IN18" i="1"/>
  <c r="IP18" i="1"/>
  <c r="IU18" i="1"/>
  <c r="IW18" i="1"/>
  <c r="NH18" i="1"/>
  <c r="NJ18" i="1"/>
  <c r="NW18" i="1"/>
  <c r="NY18" i="1"/>
  <c r="H19" i="1"/>
  <c r="P19" i="1"/>
  <c r="Q19" i="1"/>
  <c r="AJ19" i="1"/>
  <c r="AL19" i="1"/>
  <c r="AQ19" i="1"/>
  <c r="AS19" i="1"/>
  <c r="BJ19" i="1"/>
  <c r="BL19" i="1"/>
  <c r="BQ19" i="1"/>
  <c r="BS19" i="1" s="1"/>
  <c r="CF19" i="1"/>
  <c r="CH19" i="1"/>
  <c r="CU19" i="1"/>
  <c r="CW19" i="1"/>
  <c r="DJ19" i="1"/>
  <c r="DL19" i="1"/>
  <c r="DY19" i="1"/>
  <c r="EA19" i="1"/>
  <c r="EF19" i="1"/>
  <c r="EH19" i="1"/>
  <c r="EU19" i="1"/>
  <c r="EW19" i="1"/>
  <c r="FJ19" i="1"/>
  <c r="FQ19" i="1"/>
  <c r="GG19" i="1"/>
  <c r="GI19" i="1"/>
  <c r="GN19" i="1"/>
  <c r="GP19" i="1"/>
  <c r="HC19" i="1"/>
  <c r="HR19" i="1"/>
  <c r="HT19" i="1"/>
  <c r="HY19" i="1"/>
  <c r="IA19" i="1"/>
  <c r="IN19" i="1"/>
  <c r="IP19" i="1"/>
  <c r="IU19" i="1"/>
  <c r="IW19" i="1"/>
  <c r="NH19" i="1"/>
  <c r="NJ19" i="1"/>
  <c r="NW19" i="1"/>
  <c r="NY19" i="1"/>
  <c r="P20" i="1"/>
  <c r="Q20" i="1"/>
  <c r="AJ20" i="1"/>
  <c r="AL20" i="1"/>
  <c r="AQ20" i="1"/>
  <c r="AS20" i="1"/>
  <c r="BJ20" i="1"/>
  <c r="BL20" i="1"/>
  <c r="BQ20" i="1"/>
  <c r="BS20" i="1" s="1"/>
  <c r="CF20" i="1"/>
  <c r="CH20" i="1"/>
  <c r="CU20" i="1"/>
  <c r="CW20" i="1"/>
  <c r="DJ20" i="1"/>
  <c r="DL20" i="1"/>
  <c r="DY20" i="1"/>
  <c r="EA20" i="1"/>
  <c r="EF20" i="1"/>
  <c r="EH20" i="1"/>
  <c r="EU20" i="1"/>
  <c r="EW20" i="1"/>
  <c r="FJ20" i="1"/>
  <c r="FQ20" i="1"/>
  <c r="GG20" i="1"/>
  <c r="GI20" i="1"/>
  <c r="GN20" i="1"/>
  <c r="GP20" i="1"/>
  <c r="HC20" i="1"/>
  <c r="HR20" i="1"/>
  <c r="HT20" i="1"/>
  <c r="HY20" i="1"/>
  <c r="IA20" i="1"/>
  <c r="IN20" i="1"/>
  <c r="IP20" i="1"/>
  <c r="IU20" i="1"/>
  <c r="IW20" i="1"/>
  <c r="NH20" i="1"/>
  <c r="NJ20" i="1"/>
  <c r="NW20" i="1"/>
  <c r="NY20" i="1"/>
  <c r="P21" i="1"/>
  <c r="Q21" i="1"/>
  <c r="AJ21" i="1"/>
  <c r="AL21" i="1"/>
  <c r="AQ21" i="1"/>
  <c r="AS21" i="1"/>
  <c r="BJ21" i="1"/>
  <c r="BL21" i="1"/>
  <c r="CF21" i="1"/>
  <c r="CH21" i="1"/>
  <c r="CU21" i="1"/>
  <c r="CW21" i="1"/>
  <c r="DJ21" i="1"/>
  <c r="DL21" i="1"/>
  <c r="DY21" i="1"/>
  <c r="EA21" i="1"/>
  <c r="EF21" i="1"/>
  <c r="EH21" i="1"/>
  <c r="EU21" i="1"/>
  <c r="EW21" i="1"/>
  <c r="IN21" i="1"/>
  <c r="IP21" i="1"/>
  <c r="IU21" i="1"/>
  <c r="IW21" i="1"/>
  <c r="NH21" i="1"/>
  <c r="NJ21" i="1"/>
  <c r="NW21" i="1"/>
  <c r="NY21" i="1"/>
  <c r="P22" i="1"/>
  <c r="Q22" i="1"/>
  <c r="AJ22" i="1"/>
  <c r="AL22" i="1"/>
  <c r="AQ22" i="1"/>
  <c r="AS22" i="1"/>
  <c r="BJ22" i="1"/>
  <c r="BL22" i="1"/>
  <c r="CF22" i="1"/>
  <c r="CH22" i="1"/>
  <c r="CU22" i="1"/>
  <c r="CW22" i="1"/>
  <c r="DJ22" i="1"/>
  <c r="DL22" i="1"/>
  <c r="DY22" i="1"/>
  <c r="EA22" i="1"/>
  <c r="EF22" i="1"/>
  <c r="EH22" i="1"/>
  <c r="EU22" i="1"/>
  <c r="EW22" i="1"/>
  <c r="IN22" i="1"/>
  <c r="IP22" i="1"/>
  <c r="IU22" i="1"/>
  <c r="IW22" i="1"/>
  <c r="NH22" i="1"/>
  <c r="NJ22" i="1"/>
  <c r="NW22" i="1"/>
  <c r="NY22" i="1"/>
  <c r="C23" i="1"/>
  <c r="P23" i="1"/>
  <c r="Q23" i="1"/>
  <c r="AJ23" i="1"/>
  <c r="AL23" i="1"/>
  <c r="AQ23" i="1"/>
  <c r="AS23" i="1"/>
  <c r="BJ23" i="1"/>
  <c r="BL23" i="1"/>
  <c r="CF23" i="1"/>
  <c r="CH23" i="1"/>
  <c r="CU23" i="1"/>
  <c r="CW23" i="1"/>
  <c r="DJ23" i="1"/>
  <c r="DL23" i="1"/>
  <c r="DY23" i="1"/>
  <c r="EA23" i="1"/>
  <c r="EF23" i="1"/>
  <c r="EH23" i="1"/>
  <c r="EU23" i="1"/>
  <c r="EW23" i="1"/>
  <c r="IN23" i="1"/>
  <c r="IP23" i="1"/>
  <c r="IU23" i="1"/>
  <c r="IW23" i="1"/>
  <c r="NH23" i="1"/>
  <c r="NJ23" i="1"/>
  <c r="NW23" i="1"/>
  <c r="NY23" i="1"/>
  <c r="P24" i="1"/>
  <c r="Q24" i="1"/>
  <c r="AJ24" i="1"/>
  <c r="AL24" i="1"/>
  <c r="AQ24" i="1"/>
  <c r="AS24" i="1"/>
  <c r="BJ24" i="1"/>
  <c r="BL24" i="1"/>
  <c r="CF24" i="1"/>
  <c r="CH24" i="1"/>
  <c r="CU24" i="1"/>
  <c r="CW24" i="1"/>
  <c r="DJ24" i="1"/>
  <c r="DL24" i="1"/>
  <c r="DY24" i="1"/>
  <c r="EA24" i="1"/>
  <c r="EF24" i="1"/>
  <c r="EH24" i="1"/>
  <c r="EU24" i="1"/>
  <c r="EW24" i="1"/>
  <c r="IN24" i="1"/>
  <c r="IP24" i="1"/>
  <c r="IU24" i="1"/>
  <c r="IW24" i="1"/>
  <c r="NH24" i="1"/>
  <c r="NJ24" i="1"/>
  <c r="NW24" i="1"/>
  <c r="NY24" i="1"/>
  <c r="P25" i="1"/>
  <c r="Q25" i="1"/>
  <c r="AJ25" i="1"/>
  <c r="AL25" i="1"/>
  <c r="AQ25" i="1"/>
  <c r="AS25" i="1"/>
  <c r="BJ25" i="1"/>
  <c r="BL25" i="1"/>
  <c r="CF25" i="1"/>
  <c r="CH25" i="1"/>
  <c r="CU25" i="1"/>
  <c r="CW25" i="1"/>
  <c r="DJ25" i="1"/>
  <c r="DL25" i="1"/>
  <c r="DY25" i="1"/>
  <c r="EA25" i="1"/>
  <c r="EF25" i="1"/>
  <c r="EH25" i="1"/>
  <c r="EU25" i="1"/>
  <c r="EW25" i="1"/>
  <c r="IN25" i="1"/>
  <c r="IP25" i="1"/>
  <c r="IU25" i="1"/>
  <c r="IW25" i="1"/>
  <c r="NH25" i="1"/>
  <c r="NJ25" i="1"/>
  <c r="NW25" i="1"/>
  <c r="NY25" i="1"/>
  <c r="P26" i="1"/>
  <c r="Q26" i="1"/>
  <c r="P27" i="1"/>
  <c r="Q27" i="1"/>
  <c r="P28" i="1"/>
  <c r="Q28" i="1"/>
  <c r="P29" i="1"/>
  <c r="Q29" i="1"/>
  <c r="P30" i="1"/>
  <c r="Q30" i="1"/>
  <c r="AJ30" i="1"/>
  <c r="AL30" i="1"/>
  <c r="AQ30" i="1"/>
  <c r="AS30" i="1"/>
  <c r="BJ30" i="1"/>
  <c r="BL30" i="1"/>
  <c r="CF30" i="1"/>
  <c r="CH30" i="1"/>
  <c r="CU30" i="1"/>
  <c r="CW30" i="1"/>
  <c r="DJ30" i="1"/>
  <c r="DL30" i="1"/>
  <c r="DY30" i="1"/>
  <c r="EA30" i="1"/>
  <c r="EF30" i="1"/>
  <c r="EH30" i="1"/>
  <c r="EU30" i="1"/>
  <c r="EW30" i="1"/>
  <c r="FJ30" i="1"/>
  <c r="FL30" i="1"/>
  <c r="FQ30" i="1"/>
  <c r="FS30" i="1"/>
  <c r="GG30" i="1"/>
  <c r="GI30" i="1"/>
  <c r="GN30" i="1"/>
  <c r="GP30" i="1"/>
  <c r="HC30" i="1"/>
  <c r="HE30" i="1"/>
  <c r="HR30" i="1"/>
  <c r="HT30" i="1"/>
  <c r="HY30" i="1"/>
  <c r="IA30" i="1"/>
  <c r="IN30" i="1"/>
  <c r="IP30" i="1"/>
  <c r="IU50" i="1"/>
  <c r="IW50" i="1"/>
  <c r="NH30" i="1"/>
  <c r="NJ30" i="1"/>
  <c r="NW30" i="1"/>
  <c r="NY30" i="1"/>
  <c r="P31" i="1"/>
  <c r="Q31" i="1"/>
  <c r="AJ31" i="1"/>
  <c r="AL31" i="1"/>
  <c r="AQ31" i="1"/>
  <c r="AS31" i="1"/>
  <c r="BJ31" i="1"/>
  <c r="BL31" i="1"/>
  <c r="CF31" i="1"/>
  <c r="CH31" i="1"/>
  <c r="CU31" i="1"/>
  <c r="CW31" i="1"/>
  <c r="DJ31" i="1"/>
  <c r="DL31" i="1"/>
  <c r="DY31" i="1"/>
  <c r="EA31" i="1"/>
  <c r="EF31" i="1"/>
  <c r="EH31" i="1"/>
  <c r="EU31" i="1"/>
  <c r="EW31" i="1"/>
  <c r="FJ31" i="1"/>
  <c r="FL31" i="1"/>
  <c r="FQ31" i="1"/>
  <c r="FS31" i="1"/>
  <c r="GG31" i="1"/>
  <c r="GI31" i="1"/>
  <c r="GN31" i="1"/>
  <c r="GP31" i="1"/>
  <c r="HC31" i="1"/>
  <c r="HE31" i="1"/>
  <c r="HR31" i="1"/>
  <c r="HT31" i="1"/>
  <c r="HY31" i="1"/>
  <c r="IA31" i="1"/>
  <c r="IN31" i="1"/>
  <c r="IP31" i="1"/>
  <c r="IU51" i="1"/>
  <c r="IW51" i="1"/>
  <c r="NH31" i="1"/>
  <c r="NJ31" i="1"/>
  <c r="NW31" i="1"/>
  <c r="NY31" i="1"/>
  <c r="P32" i="1"/>
  <c r="Q32" i="1"/>
  <c r="AJ32" i="1"/>
  <c r="AL32" i="1"/>
  <c r="AQ32" i="1"/>
  <c r="AS32" i="1"/>
  <c r="BJ32" i="1"/>
  <c r="BL32" i="1"/>
  <c r="CF32" i="1"/>
  <c r="CH32" i="1"/>
  <c r="CU32" i="1"/>
  <c r="CW32" i="1"/>
  <c r="DJ32" i="1"/>
  <c r="DL32" i="1"/>
  <c r="DY32" i="1"/>
  <c r="EA32" i="1"/>
  <c r="EF32" i="1"/>
  <c r="EH32" i="1"/>
  <c r="EU32" i="1"/>
  <c r="EW32" i="1"/>
  <c r="FJ32" i="1"/>
  <c r="FL32" i="1"/>
  <c r="FQ32" i="1"/>
  <c r="FS32" i="1"/>
  <c r="GG32" i="1"/>
  <c r="GI32" i="1"/>
  <c r="GN32" i="1"/>
  <c r="GP32" i="1"/>
  <c r="HC32" i="1"/>
  <c r="HE32" i="1"/>
  <c r="HR32" i="1"/>
  <c r="HT32" i="1"/>
  <c r="HY32" i="1"/>
  <c r="IA32" i="1"/>
  <c r="IN32" i="1"/>
  <c r="IP32" i="1"/>
  <c r="IU52" i="1"/>
  <c r="IW52" i="1"/>
  <c r="NH32" i="1"/>
  <c r="NJ32" i="1"/>
  <c r="NW32" i="1"/>
  <c r="NY32" i="1"/>
  <c r="P33" i="1"/>
  <c r="Q33" i="1"/>
  <c r="AJ33" i="1"/>
  <c r="AL33" i="1"/>
  <c r="AQ33" i="1"/>
  <c r="AS33" i="1"/>
  <c r="BJ33" i="1"/>
  <c r="BL33" i="1"/>
  <c r="CF33" i="1"/>
  <c r="CH33" i="1"/>
  <c r="CU33" i="1"/>
  <c r="CW33" i="1"/>
  <c r="DJ33" i="1"/>
  <c r="DL33" i="1"/>
  <c r="DY33" i="1"/>
  <c r="EA33" i="1"/>
  <c r="EF33" i="1"/>
  <c r="EH33" i="1"/>
  <c r="EU33" i="1"/>
  <c r="EW33" i="1"/>
  <c r="FJ33" i="1"/>
  <c r="FL33" i="1"/>
  <c r="FQ33" i="1"/>
  <c r="FS33" i="1"/>
  <c r="GG33" i="1"/>
  <c r="GI33" i="1"/>
  <c r="GN33" i="1"/>
  <c r="GP33" i="1"/>
  <c r="HC33" i="1"/>
  <c r="HE33" i="1"/>
  <c r="HR33" i="1"/>
  <c r="HT33" i="1"/>
  <c r="HY33" i="1"/>
  <c r="IA33" i="1"/>
  <c r="IN33" i="1"/>
  <c r="IP33" i="1"/>
  <c r="IU53" i="1"/>
  <c r="IW53" i="1"/>
  <c r="NH33" i="1"/>
  <c r="NJ33" i="1"/>
  <c r="NW33" i="1"/>
  <c r="NY33" i="1"/>
  <c r="P34" i="1"/>
  <c r="Q34" i="1"/>
  <c r="AJ34" i="1"/>
  <c r="AL34" i="1"/>
  <c r="AQ34" i="1"/>
  <c r="AS34" i="1"/>
  <c r="BJ34" i="1"/>
  <c r="BL34" i="1"/>
  <c r="CF34" i="1"/>
  <c r="CH34" i="1"/>
  <c r="CU34" i="1"/>
  <c r="CW34" i="1"/>
  <c r="DJ34" i="1"/>
  <c r="DL34" i="1"/>
  <c r="DY34" i="1"/>
  <c r="EA34" i="1"/>
  <c r="EF34" i="1"/>
  <c r="EH34" i="1"/>
  <c r="EU34" i="1"/>
  <c r="EW34" i="1"/>
  <c r="FJ34" i="1"/>
  <c r="FL34" i="1"/>
  <c r="FQ34" i="1"/>
  <c r="FS34" i="1"/>
  <c r="GG34" i="1"/>
  <c r="GI34" i="1"/>
  <c r="GN34" i="1"/>
  <c r="GP34" i="1"/>
  <c r="HC34" i="1"/>
  <c r="HE34" i="1"/>
  <c r="HR34" i="1"/>
  <c r="HT34" i="1"/>
  <c r="HY34" i="1"/>
  <c r="IA34" i="1"/>
  <c r="IN34" i="1"/>
  <c r="IP34" i="1"/>
  <c r="IU54" i="1"/>
  <c r="IW54" i="1"/>
  <c r="NH34" i="1"/>
  <c r="NJ34" i="1"/>
  <c r="NW34" i="1"/>
  <c r="NY34" i="1"/>
  <c r="P35" i="1"/>
  <c r="Q35" i="1"/>
  <c r="AJ35" i="1"/>
  <c r="AL35" i="1"/>
  <c r="AQ35" i="1"/>
  <c r="AS35" i="1"/>
  <c r="BJ35" i="1"/>
  <c r="BL35" i="1"/>
  <c r="CF35" i="1"/>
  <c r="CH35" i="1"/>
  <c r="CU35" i="1"/>
  <c r="CW35" i="1"/>
  <c r="DJ35" i="1"/>
  <c r="DL35" i="1"/>
  <c r="DY35" i="1"/>
  <c r="EA35" i="1"/>
  <c r="EF35" i="1"/>
  <c r="EH35" i="1"/>
  <c r="EU35" i="1"/>
  <c r="EW35" i="1"/>
  <c r="FJ35" i="1"/>
  <c r="FL35" i="1"/>
  <c r="FQ35" i="1"/>
  <c r="FS35" i="1"/>
  <c r="GG35" i="1"/>
  <c r="GI35" i="1"/>
  <c r="GN35" i="1"/>
  <c r="GP35" i="1"/>
  <c r="HC35" i="1"/>
  <c r="HE35" i="1"/>
  <c r="HR35" i="1"/>
  <c r="HT35" i="1"/>
  <c r="HY35" i="1"/>
  <c r="IA35" i="1"/>
  <c r="IN35" i="1"/>
  <c r="IP35" i="1"/>
  <c r="IU55" i="1"/>
  <c r="IW55" i="1"/>
  <c r="NH35" i="1"/>
  <c r="NJ35" i="1"/>
  <c r="NW35" i="1"/>
  <c r="NY35" i="1"/>
  <c r="P36" i="1"/>
  <c r="Q36" i="1"/>
  <c r="AJ36" i="1"/>
  <c r="AL36" i="1"/>
  <c r="AQ36" i="1"/>
  <c r="AS36" i="1"/>
  <c r="BJ36" i="1"/>
  <c r="BL36" i="1"/>
  <c r="CF36" i="1"/>
  <c r="CH36" i="1"/>
  <c r="CU36" i="1"/>
  <c r="CW36" i="1"/>
  <c r="DJ36" i="1"/>
  <c r="DL36" i="1"/>
  <c r="DY36" i="1"/>
  <c r="EA36" i="1"/>
  <c r="EF36" i="1"/>
  <c r="EH36" i="1"/>
  <c r="EU36" i="1"/>
  <c r="EW36" i="1"/>
  <c r="FJ36" i="1"/>
  <c r="FL36" i="1"/>
  <c r="FQ36" i="1"/>
  <c r="FS36" i="1"/>
  <c r="GG36" i="1"/>
  <c r="GI36" i="1"/>
  <c r="GN36" i="1"/>
  <c r="GP36" i="1"/>
  <c r="HC36" i="1"/>
  <c r="HE36" i="1"/>
  <c r="HR36" i="1"/>
  <c r="HT36" i="1"/>
  <c r="HY36" i="1"/>
  <c r="IA36" i="1"/>
  <c r="IN36" i="1"/>
  <c r="IP36" i="1"/>
  <c r="IU56" i="1"/>
  <c r="IW56" i="1"/>
  <c r="NH36" i="1"/>
  <c r="NJ36" i="1"/>
  <c r="NW36" i="1"/>
  <c r="NY36" i="1"/>
  <c r="P37" i="1"/>
  <c r="Q37" i="1"/>
  <c r="AJ37" i="1"/>
  <c r="AL37" i="1"/>
  <c r="AQ37" i="1"/>
  <c r="AS37" i="1"/>
  <c r="BJ37" i="1"/>
  <c r="BL37" i="1"/>
  <c r="CF37" i="1"/>
  <c r="CH37" i="1"/>
  <c r="CU37" i="1"/>
  <c r="CW37" i="1"/>
  <c r="DJ37" i="1"/>
  <c r="DL37" i="1"/>
  <c r="DY37" i="1"/>
  <c r="EA37" i="1"/>
  <c r="EF37" i="1"/>
  <c r="EH37" i="1"/>
  <c r="EU37" i="1"/>
  <c r="EW37" i="1"/>
  <c r="FJ37" i="1"/>
  <c r="FL37" i="1"/>
  <c r="FQ37" i="1"/>
  <c r="FS37" i="1"/>
  <c r="GG37" i="1"/>
  <c r="GI37" i="1"/>
  <c r="GN37" i="1"/>
  <c r="GP37" i="1"/>
  <c r="HC37" i="1"/>
  <c r="HE37" i="1"/>
  <c r="HR37" i="1"/>
  <c r="HT37" i="1"/>
  <c r="HY37" i="1"/>
  <c r="IA37" i="1"/>
  <c r="IN37" i="1"/>
  <c r="IP37" i="1"/>
  <c r="IU57" i="1"/>
  <c r="IW57" i="1"/>
  <c r="NH37" i="1"/>
  <c r="NJ37" i="1"/>
  <c r="NW37" i="1"/>
  <c r="NY37" i="1"/>
  <c r="P38" i="1"/>
  <c r="Q38" i="1"/>
  <c r="AJ38" i="1"/>
  <c r="AL38" i="1"/>
  <c r="AQ38" i="1"/>
  <c r="AS38" i="1"/>
  <c r="BJ38" i="1"/>
  <c r="BL38" i="1"/>
  <c r="CF38" i="1"/>
  <c r="CH38" i="1"/>
  <c r="CU38" i="1"/>
  <c r="CW38" i="1"/>
  <c r="DJ38" i="1"/>
  <c r="DL38" i="1"/>
  <c r="DY38" i="1"/>
  <c r="EA38" i="1"/>
  <c r="EF38" i="1"/>
  <c r="EH38" i="1"/>
  <c r="EU38" i="1"/>
  <c r="EW38" i="1"/>
  <c r="FJ38" i="1"/>
  <c r="FL38" i="1"/>
  <c r="FQ38" i="1"/>
  <c r="FS38" i="1"/>
  <c r="GG38" i="1"/>
  <c r="GI38" i="1"/>
  <c r="GN38" i="1"/>
  <c r="GP38" i="1"/>
  <c r="HC38" i="1"/>
  <c r="HE38" i="1"/>
  <c r="HR38" i="1"/>
  <c r="HT38" i="1"/>
  <c r="HY38" i="1"/>
  <c r="IA38" i="1"/>
  <c r="IN38" i="1"/>
  <c r="IP38" i="1"/>
  <c r="IU58" i="1"/>
  <c r="IW58" i="1"/>
  <c r="NH38" i="1"/>
  <c r="NJ38" i="1"/>
  <c r="NW38" i="1"/>
  <c r="NY38" i="1"/>
  <c r="H39" i="1"/>
  <c r="P39" i="1"/>
  <c r="Q39" i="1"/>
  <c r="AJ39" i="1"/>
  <c r="AL39" i="1"/>
  <c r="AQ39" i="1"/>
  <c r="AS39" i="1"/>
  <c r="BJ39" i="1"/>
  <c r="BL39" i="1"/>
  <c r="CF39" i="1"/>
  <c r="CH39" i="1"/>
  <c r="CU39" i="1"/>
  <c r="CW39" i="1"/>
  <c r="DJ39" i="1"/>
  <c r="DL39" i="1"/>
  <c r="DY39" i="1"/>
  <c r="EA39" i="1"/>
  <c r="EF39" i="1"/>
  <c r="EH39" i="1"/>
  <c r="EU39" i="1"/>
  <c r="EW39" i="1"/>
  <c r="FJ39" i="1"/>
  <c r="FL39" i="1"/>
  <c r="FQ39" i="1"/>
  <c r="FS39" i="1"/>
  <c r="GG39" i="1"/>
  <c r="GI39" i="1"/>
  <c r="GN39" i="1"/>
  <c r="GP39" i="1"/>
  <c r="HC39" i="1"/>
  <c r="HE39" i="1"/>
  <c r="HR39" i="1"/>
  <c r="HT39" i="1"/>
  <c r="HY39" i="1"/>
  <c r="IA39" i="1"/>
  <c r="IN39" i="1"/>
  <c r="IP39" i="1"/>
  <c r="IU59" i="1"/>
  <c r="IW59" i="1"/>
  <c r="NH39" i="1"/>
  <c r="NJ39" i="1"/>
  <c r="NW39" i="1"/>
  <c r="NY39" i="1"/>
  <c r="P40" i="1"/>
  <c r="Q40" i="1"/>
  <c r="AJ40" i="1"/>
  <c r="AL40" i="1"/>
  <c r="AQ40" i="1"/>
  <c r="AS40" i="1"/>
  <c r="BJ40" i="1"/>
  <c r="BL40" i="1"/>
  <c r="CF40" i="1"/>
  <c r="CH40" i="1"/>
  <c r="CU40" i="1"/>
  <c r="CW40" i="1"/>
  <c r="DJ40" i="1"/>
  <c r="DL40" i="1"/>
  <c r="DY40" i="1"/>
  <c r="EA40" i="1"/>
  <c r="EF40" i="1"/>
  <c r="EH40" i="1"/>
  <c r="EU40" i="1"/>
  <c r="EW40" i="1"/>
  <c r="FJ40" i="1"/>
  <c r="FL40" i="1"/>
  <c r="FQ40" i="1"/>
  <c r="FS40" i="1"/>
  <c r="GG40" i="1"/>
  <c r="GI40" i="1"/>
  <c r="GN40" i="1"/>
  <c r="GP40" i="1"/>
  <c r="HC40" i="1"/>
  <c r="HE40" i="1"/>
  <c r="HR40" i="1"/>
  <c r="HT40" i="1"/>
  <c r="HY40" i="1"/>
  <c r="IA40" i="1"/>
  <c r="IN40" i="1"/>
  <c r="IP40" i="1"/>
  <c r="IU60" i="1"/>
  <c r="IW60" i="1"/>
  <c r="NH40" i="1"/>
  <c r="NJ40" i="1"/>
  <c r="NW40" i="1"/>
  <c r="NY40" i="1"/>
  <c r="P41" i="1"/>
  <c r="Q41" i="1"/>
  <c r="AJ41" i="1"/>
  <c r="AL41" i="1"/>
  <c r="AQ41" i="1"/>
  <c r="AS41" i="1"/>
  <c r="BJ41" i="1"/>
  <c r="BL41" i="1"/>
  <c r="CF41" i="1"/>
  <c r="CH41" i="1"/>
  <c r="CU41" i="1"/>
  <c r="CW41" i="1"/>
  <c r="DJ41" i="1"/>
  <c r="DL41" i="1"/>
  <c r="DY41" i="1"/>
  <c r="EA41" i="1"/>
  <c r="EF41" i="1"/>
  <c r="EH41" i="1"/>
  <c r="EU41" i="1"/>
  <c r="EW41" i="1"/>
  <c r="FJ41" i="1"/>
  <c r="FL41" i="1"/>
  <c r="FQ41" i="1"/>
  <c r="FS41" i="1"/>
  <c r="GG41" i="1"/>
  <c r="GI41" i="1"/>
  <c r="GN41" i="1"/>
  <c r="GP41" i="1"/>
  <c r="HC41" i="1"/>
  <c r="HE41" i="1"/>
  <c r="HR41" i="1"/>
  <c r="HT41" i="1"/>
  <c r="HY41" i="1"/>
  <c r="IA41" i="1"/>
  <c r="IN41" i="1"/>
  <c r="IP41" i="1"/>
  <c r="IU61" i="1"/>
  <c r="IW61" i="1"/>
  <c r="NH41" i="1"/>
  <c r="NJ41" i="1"/>
  <c r="NW41" i="1"/>
  <c r="NY41" i="1"/>
  <c r="P42" i="1"/>
  <c r="Q42" i="1"/>
  <c r="AJ42" i="1"/>
  <c r="AL42" i="1"/>
  <c r="AQ42" i="1"/>
  <c r="AS42" i="1"/>
  <c r="BJ42" i="1"/>
  <c r="BL42" i="1"/>
  <c r="CF42" i="1"/>
  <c r="CH42" i="1"/>
  <c r="CU42" i="1"/>
  <c r="CW42" i="1"/>
  <c r="DJ42" i="1"/>
  <c r="DL42" i="1"/>
  <c r="DY42" i="1"/>
  <c r="EA42" i="1"/>
  <c r="EF42" i="1"/>
  <c r="EH42" i="1"/>
  <c r="EU42" i="1"/>
  <c r="EW42" i="1"/>
  <c r="FJ42" i="1"/>
  <c r="FL42" i="1"/>
  <c r="FQ42" i="1"/>
  <c r="FS42" i="1"/>
  <c r="GG42" i="1"/>
  <c r="GI42" i="1"/>
  <c r="GN42" i="1"/>
  <c r="GP42" i="1"/>
  <c r="HC42" i="1"/>
  <c r="HE42" i="1"/>
  <c r="HR42" i="1"/>
  <c r="HT42" i="1"/>
  <c r="HY42" i="1"/>
  <c r="IA42" i="1"/>
  <c r="IN42" i="1"/>
  <c r="IP42" i="1"/>
  <c r="IU62" i="1"/>
  <c r="IW62" i="1"/>
  <c r="NH42" i="1"/>
  <c r="NJ42" i="1"/>
  <c r="NW42" i="1"/>
  <c r="NY42" i="1"/>
  <c r="H43" i="1"/>
  <c r="P43" i="1"/>
  <c r="Q43" i="1"/>
  <c r="AJ43" i="1"/>
  <c r="AL43" i="1"/>
  <c r="AQ43" i="1"/>
  <c r="AS43" i="1"/>
  <c r="BJ43" i="1"/>
  <c r="BL43" i="1"/>
  <c r="CF43" i="1"/>
  <c r="CH43" i="1"/>
  <c r="CU43" i="1"/>
  <c r="CW43" i="1"/>
  <c r="DJ43" i="1"/>
  <c r="DL43" i="1"/>
  <c r="DY43" i="1"/>
  <c r="EA43" i="1"/>
  <c r="EF43" i="1"/>
  <c r="EH43" i="1"/>
  <c r="EU43" i="1"/>
  <c r="EW43" i="1"/>
  <c r="FJ43" i="1"/>
  <c r="FL43" i="1"/>
  <c r="FQ43" i="1"/>
  <c r="FS43" i="1"/>
  <c r="GG43" i="1"/>
  <c r="GI43" i="1"/>
  <c r="GN43" i="1"/>
  <c r="GP43" i="1"/>
  <c r="HC43" i="1"/>
  <c r="HE43" i="1"/>
  <c r="HR43" i="1"/>
  <c r="HT43" i="1"/>
  <c r="HY43" i="1"/>
  <c r="IA43" i="1"/>
  <c r="IN43" i="1"/>
  <c r="IP43" i="1"/>
  <c r="IU63" i="1"/>
  <c r="IW63" i="1"/>
  <c r="NH43" i="1"/>
  <c r="NJ43" i="1"/>
  <c r="NW43" i="1"/>
  <c r="NY43" i="1"/>
  <c r="P44" i="1"/>
  <c r="Q44" i="1"/>
  <c r="AJ44" i="1"/>
  <c r="AL44" i="1"/>
  <c r="AQ44" i="1"/>
  <c r="AS44" i="1"/>
  <c r="BJ44" i="1"/>
  <c r="BL44" i="1"/>
  <c r="CF44" i="1"/>
  <c r="CH44" i="1"/>
  <c r="CU44" i="1"/>
  <c r="CW44" i="1"/>
  <c r="DJ44" i="1"/>
  <c r="DL44" i="1"/>
  <c r="DY44" i="1"/>
  <c r="EA44" i="1"/>
  <c r="EF44" i="1"/>
  <c r="EH44" i="1"/>
  <c r="EU44" i="1"/>
  <c r="EW44" i="1"/>
  <c r="FJ44" i="1"/>
  <c r="FL44" i="1"/>
  <c r="FQ44" i="1"/>
  <c r="FS44" i="1"/>
  <c r="GG44" i="1"/>
  <c r="GI44" i="1"/>
  <c r="GN44" i="1"/>
  <c r="GP44" i="1"/>
  <c r="HC44" i="1"/>
  <c r="HE44" i="1"/>
  <c r="HR44" i="1"/>
  <c r="HT44" i="1"/>
  <c r="HY44" i="1"/>
  <c r="IA44" i="1"/>
  <c r="IN44" i="1"/>
  <c r="IP44" i="1"/>
  <c r="IU64" i="1"/>
  <c r="IW64" i="1"/>
  <c r="NH44" i="1"/>
  <c r="NJ44" i="1"/>
  <c r="NW44" i="1"/>
  <c r="NY44" i="1"/>
  <c r="P45" i="1"/>
  <c r="Q45" i="1"/>
  <c r="P46" i="1"/>
  <c r="Q46" i="1"/>
  <c r="H47" i="1"/>
  <c r="P47" i="1"/>
  <c r="Q47" i="1"/>
  <c r="AI47" i="1"/>
  <c r="BI47" i="1"/>
  <c r="EU47" i="1"/>
  <c r="EV47" i="1"/>
  <c r="FI47" i="1"/>
  <c r="FJ47" i="1"/>
  <c r="FK47" i="1"/>
  <c r="FL47" i="1"/>
  <c r="GF47" i="1"/>
  <c r="GG47" i="1"/>
  <c r="GH47" i="1"/>
  <c r="GI47" i="1"/>
  <c r="HB47" i="1"/>
  <c r="HC47" i="1"/>
  <c r="HD47" i="1"/>
  <c r="HE47" i="1"/>
  <c r="HQ47" i="1"/>
  <c r="HR47" i="1"/>
  <c r="HS47" i="1"/>
  <c r="HT47" i="1"/>
  <c r="NG47" i="1"/>
  <c r="NH47" i="1"/>
  <c r="NI47" i="1"/>
  <c r="NJ47" i="1"/>
  <c r="NV47" i="1"/>
  <c r="NW47" i="1"/>
  <c r="NX47" i="1"/>
  <c r="NY47" i="1"/>
  <c r="I48" i="1"/>
  <c r="CL39" i="1" s="1"/>
  <c r="CT81" i="1" s="1"/>
  <c r="P48" i="1"/>
  <c r="Q48" i="1"/>
  <c r="EU48" i="1"/>
  <c r="EV48" i="1"/>
  <c r="FI48" i="1"/>
  <c r="FJ48" i="1"/>
  <c r="FK48" i="1"/>
  <c r="FL48" i="1"/>
  <c r="GF48" i="1"/>
  <c r="GG48" i="1"/>
  <c r="GH48" i="1"/>
  <c r="GI48" i="1"/>
  <c r="HB48" i="1"/>
  <c r="HC48" i="1"/>
  <c r="HD48" i="1"/>
  <c r="HE48" i="1"/>
  <c r="HQ48" i="1"/>
  <c r="HR48" i="1"/>
  <c r="HS48" i="1"/>
  <c r="HT48" i="1"/>
  <c r="NG48" i="1"/>
  <c r="NH48" i="1"/>
  <c r="NI48" i="1"/>
  <c r="NJ48" i="1"/>
  <c r="NV48" i="1"/>
  <c r="NW48" i="1"/>
  <c r="NX48" i="1"/>
  <c r="NY48" i="1"/>
  <c r="G49" i="1"/>
  <c r="P49" i="1"/>
  <c r="Q49" i="1"/>
  <c r="EU49" i="1"/>
  <c r="EV49" i="1"/>
  <c r="FI49" i="1"/>
  <c r="FJ49" i="1"/>
  <c r="FK49" i="1"/>
  <c r="FL49" i="1"/>
  <c r="FP49" i="1"/>
  <c r="FQ49" i="1"/>
  <c r="FR49" i="1"/>
  <c r="FS49" i="1"/>
  <c r="GF49" i="1"/>
  <c r="GG49" i="1"/>
  <c r="GH49" i="1"/>
  <c r="GI49" i="1"/>
  <c r="GM49" i="1"/>
  <c r="GN49" i="1"/>
  <c r="GO49" i="1"/>
  <c r="GP49" i="1"/>
  <c r="HB49" i="1"/>
  <c r="HC49" i="1"/>
  <c r="HD49" i="1"/>
  <c r="HE49" i="1"/>
  <c r="HQ49" i="1"/>
  <c r="HR49" i="1"/>
  <c r="HS49" i="1"/>
  <c r="HT49" i="1"/>
  <c r="HX49" i="1"/>
  <c r="HY49" i="1"/>
  <c r="HZ49" i="1"/>
  <c r="IA49" i="1"/>
  <c r="NG49" i="1"/>
  <c r="NH49" i="1"/>
  <c r="NI49" i="1"/>
  <c r="NJ49" i="1"/>
  <c r="NV49" i="1"/>
  <c r="NW49" i="1"/>
  <c r="NX49" i="1"/>
  <c r="NY49" i="1"/>
  <c r="H50" i="1"/>
  <c r="P50" i="1"/>
  <c r="Q50" i="1"/>
  <c r="EU50" i="1"/>
  <c r="EV50" i="1"/>
  <c r="FI50" i="1"/>
  <c r="FJ50" i="1"/>
  <c r="FK50" i="1"/>
  <c r="FL50" i="1"/>
  <c r="FP50" i="1"/>
  <c r="FQ50" i="1"/>
  <c r="FR50" i="1"/>
  <c r="FS50" i="1"/>
  <c r="GF50" i="1"/>
  <c r="GG50" i="1"/>
  <c r="GH50" i="1"/>
  <c r="GI50" i="1"/>
  <c r="GM50" i="1"/>
  <c r="GN50" i="1"/>
  <c r="GO50" i="1"/>
  <c r="GP50" i="1"/>
  <c r="HB50" i="1"/>
  <c r="HC50" i="1"/>
  <c r="HD50" i="1"/>
  <c r="HE50" i="1"/>
  <c r="HQ50" i="1"/>
  <c r="HR50" i="1"/>
  <c r="HS50" i="1"/>
  <c r="HT50" i="1"/>
  <c r="HX50" i="1"/>
  <c r="HY50" i="1"/>
  <c r="HZ50" i="1"/>
  <c r="IA50" i="1"/>
  <c r="IN50" i="1"/>
  <c r="IP50" i="1"/>
  <c r="IU70" i="1"/>
  <c r="IW70" i="1"/>
  <c r="NG50" i="1"/>
  <c r="NH50" i="1"/>
  <c r="NI50" i="1"/>
  <c r="NJ50" i="1"/>
  <c r="NV50" i="1"/>
  <c r="NW50" i="1"/>
  <c r="NX50" i="1"/>
  <c r="NY50" i="1"/>
  <c r="P51" i="1"/>
  <c r="Q51" i="1"/>
  <c r="EU51" i="1"/>
  <c r="EV51" i="1"/>
  <c r="FI51" i="1"/>
  <c r="FJ51" i="1"/>
  <c r="FK51" i="1"/>
  <c r="FL51" i="1"/>
  <c r="FP51" i="1"/>
  <c r="FQ51" i="1"/>
  <c r="FR51" i="1"/>
  <c r="FS51" i="1"/>
  <c r="GF51" i="1"/>
  <c r="GG51" i="1"/>
  <c r="GH51" i="1"/>
  <c r="GI51" i="1"/>
  <c r="GM51" i="1"/>
  <c r="GN51" i="1"/>
  <c r="GO51" i="1"/>
  <c r="GP51" i="1"/>
  <c r="HB51" i="1"/>
  <c r="HC51" i="1"/>
  <c r="HD51" i="1"/>
  <c r="HE51" i="1"/>
  <c r="HQ51" i="1"/>
  <c r="HR51" i="1"/>
  <c r="HS51" i="1"/>
  <c r="HT51" i="1"/>
  <c r="HX51" i="1"/>
  <c r="HY51" i="1"/>
  <c r="HZ51" i="1"/>
  <c r="IA51" i="1"/>
  <c r="IN51" i="1"/>
  <c r="IP51" i="1"/>
  <c r="IU71" i="1"/>
  <c r="IW71" i="1"/>
  <c r="NG51" i="1"/>
  <c r="NH51" i="1"/>
  <c r="NI51" i="1"/>
  <c r="NJ51" i="1"/>
  <c r="NV51" i="1"/>
  <c r="NW51" i="1"/>
  <c r="NX51" i="1"/>
  <c r="NY51" i="1"/>
  <c r="P52" i="1"/>
  <c r="Q52" i="1"/>
  <c r="EU52" i="1"/>
  <c r="EV52" i="1"/>
  <c r="FI52" i="1"/>
  <c r="FJ52" i="1"/>
  <c r="FK52" i="1"/>
  <c r="FL52" i="1"/>
  <c r="FP52" i="1"/>
  <c r="FQ52" i="1"/>
  <c r="FR52" i="1"/>
  <c r="FS52" i="1"/>
  <c r="GF52" i="1"/>
  <c r="GG52" i="1"/>
  <c r="GH52" i="1"/>
  <c r="GI52" i="1"/>
  <c r="GM52" i="1"/>
  <c r="GN52" i="1"/>
  <c r="GO52" i="1"/>
  <c r="GP52" i="1"/>
  <c r="HB52" i="1"/>
  <c r="HC52" i="1"/>
  <c r="HD52" i="1"/>
  <c r="HE52" i="1"/>
  <c r="HQ52" i="1"/>
  <c r="HR52" i="1"/>
  <c r="HS52" i="1"/>
  <c r="HT52" i="1"/>
  <c r="HX52" i="1"/>
  <c r="HY52" i="1"/>
  <c r="HZ52" i="1"/>
  <c r="IA52" i="1"/>
  <c r="IN52" i="1"/>
  <c r="IP52" i="1"/>
  <c r="IU72" i="1"/>
  <c r="IW72" i="1"/>
  <c r="NG52" i="1"/>
  <c r="NH52" i="1"/>
  <c r="NI52" i="1"/>
  <c r="NJ52" i="1"/>
  <c r="NV52" i="1"/>
  <c r="NW52" i="1"/>
  <c r="NX52" i="1"/>
  <c r="NY52" i="1"/>
  <c r="P53" i="1"/>
  <c r="Q53" i="1"/>
  <c r="EU53" i="1"/>
  <c r="EV53" i="1"/>
  <c r="FI53" i="1"/>
  <c r="FJ53" i="1"/>
  <c r="FK53" i="1"/>
  <c r="FL53" i="1"/>
  <c r="FP53" i="1"/>
  <c r="FQ53" i="1"/>
  <c r="FR53" i="1"/>
  <c r="FS53" i="1"/>
  <c r="GF53" i="1"/>
  <c r="GG53" i="1"/>
  <c r="GH53" i="1"/>
  <c r="GI53" i="1"/>
  <c r="GM53" i="1"/>
  <c r="GN53" i="1"/>
  <c r="GO53" i="1"/>
  <c r="GP53" i="1"/>
  <c r="HB53" i="1"/>
  <c r="HC53" i="1"/>
  <c r="HD53" i="1"/>
  <c r="HE53" i="1"/>
  <c r="HQ53" i="1"/>
  <c r="HR53" i="1"/>
  <c r="HS53" i="1"/>
  <c r="HT53" i="1"/>
  <c r="HX53" i="1"/>
  <c r="HY53" i="1"/>
  <c r="HZ53" i="1"/>
  <c r="IA53" i="1"/>
  <c r="IN53" i="1"/>
  <c r="IP53" i="1"/>
  <c r="IU73" i="1"/>
  <c r="IW73" i="1"/>
  <c r="NG53" i="1"/>
  <c r="NH53" i="1"/>
  <c r="NI53" i="1"/>
  <c r="NJ53" i="1"/>
  <c r="NV53" i="1"/>
  <c r="NW53" i="1"/>
  <c r="NX53" i="1"/>
  <c r="NY53" i="1"/>
  <c r="H54" i="1"/>
  <c r="P54" i="1"/>
  <c r="Q54" i="1"/>
  <c r="EU54" i="1"/>
  <c r="EV54" i="1"/>
  <c r="FI54" i="1"/>
  <c r="FJ54" i="1"/>
  <c r="FK54" i="1"/>
  <c r="FL54" i="1"/>
  <c r="FP54" i="1"/>
  <c r="FQ54" i="1"/>
  <c r="FR54" i="1"/>
  <c r="FS54" i="1"/>
  <c r="GF54" i="1"/>
  <c r="GG54" i="1"/>
  <c r="GH54" i="1"/>
  <c r="GI54" i="1"/>
  <c r="GM54" i="1"/>
  <c r="GN54" i="1"/>
  <c r="GO54" i="1"/>
  <c r="GP54" i="1"/>
  <c r="HB54" i="1"/>
  <c r="HC54" i="1"/>
  <c r="HD54" i="1"/>
  <c r="HE54" i="1"/>
  <c r="HQ54" i="1"/>
  <c r="HR54" i="1"/>
  <c r="HS54" i="1"/>
  <c r="HT54" i="1"/>
  <c r="HX54" i="1"/>
  <c r="HY54" i="1"/>
  <c r="HZ54" i="1"/>
  <c r="IA54" i="1"/>
  <c r="IN54" i="1"/>
  <c r="IP54" i="1"/>
  <c r="IU74" i="1"/>
  <c r="IW74" i="1"/>
  <c r="NG54" i="1"/>
  <c r="NH54" i="1"/>
  <c r="NI54" i="1"/>
  <c r="NJ54" i="1"/>
  <c r="NV54" i="1"/>
  <c r="NW54" i="1"/>
  <c r="NX54" i="1"/>
  <c r="NY54" i="1"/>
  <c r="I55" i="1"/>
  <c r="DP53" i="1" s="1"/>
  <c r="DX95" i="1" s="1"/>
  <c r="P55" i="1"/>
  <c r="Q55" i="1"/>
  <c r="EU55" i="1"/>
  <c r="EV55" i="1"/>
  <c r="FI55" i="1"/>
  <c r="FJ55" i="1"/>
  <c r="FK55" i="1"/>
  <c r="FL55" i="1"/>
  <c r="FP55" i="1"/>
  <c r="FQ55" i="1"/>
  <c r="FR55" i="1"/>
  <c r="FS55" i="1"/>
  <c r="GF55" i="1"/>
  <c r="GG55" i="1"/>
  <c r="GH55" i="1"/>
  <c r="GI55" i="1"/>
  <c r="GM55" i="1"/>
  <c r="GN55" i="1"/>
  <c r="GO55" i="1"/>
  <c r="GP55" i="1"/>
  <c r="HB55" i="1"/>
  <c r="HC55" i="1"/>
  <c r="HD55" i="1"/>
  <c r="HE55" i="1"/>
  <c r="HQ55" i="1"/>
  <c r="HR55" i="1"/>
  <c r="HS55" i="1"/>
  <c r="HT55" i="1"/>
  <c r="HX55" i="1"/>
  <c r="HY55" i="1"/>
  <c r="HZ55" i="1"/>
  <c r="IA55" i="1"/>
  <c r="IN55" i="1"/>
  <c r="IP55" i="1"/>
  <c r="IU75" i="1"/>
  <c r="IW75" i="1"/>
  <c r="NG55" i="1"/>
  <c r="NH55" i="1"/>
  <c r="NI55" i="1"/>
  <c r="NJ55" i="1"/>
  <c r="NV55" i="1"/>
  <c r="NW55" i="1"/>
  <c r="NX55" i="1"/>
  <c r="NY55" i="1"/>
  <c r="G56" i="1"/>
  <c r="H56" i="1"/>
  <c r="P56" i="1"/>
  <c r="Q56" i="1"/>
  <c r="EU56" i="1"/>
  <c r="EV56" i="1"/>
  <c r="FI56" i="1"/>
  <c r="FJ56" i="1"/>
  <c r="FK56" i="1"/>
  <c r="FL56" i="1"/>
  <c r="FP56" i="1"/>
  <c r="FQ56" i="1"/>
  <c r="FR56" i="1"/>
  <c r="FS56" i="1"/>
  <c r="GF56" i="1"/>
  <c r="GG56" i="1"/>
  <c r="GH56" i="1"/>
  <c r="GI56" i="1"/>
  <c r="GM56" i="1"/>
  <c r="GN56" i="1"/>
  <c r="GO56" i="1"/>
  <c r="GP56" i="1"/>
  <c r="HB56" i="1"/>
  <c r="HC56" i="1"/>
  <c r="HD56" i="1"/>
  <c r="HE56" i="1"/>
  <c r="HQ56" i="1"/>
  <c r="HR56" i="1"/>
  <c r="HS56" i="1"/>
  <c r="HT56" i="1"/>
  <c r="HX56" i="1"/>
  <c r="HY56" i="1"/>
  <c r="HZ56" i="1"/>
  <c r="IA56" i="1"/>
  <c r="IN56" i="1"/>
  <c r="IP56" i="1"/>
  <c r="IU76" i="1"/>
  <c r="IW76" i="1"/>
  <c r="NG56" i="1"/>
  <c r="NH56" i="1"/>
  <c r="NI56" i="1"/>
  <c r="NJ56" i="1"/>
  <c r="NV56" i="1"/>
  <c r="NW56" i="1"/>
  <c r="NX56" i="1"/>
  <c r="NY56" i="1"/>
  <c r="P57" i="1"/>
  <c r="Q57" i="1"/>
  <c r="EU57" i="1"/>
  <c r="EV57" i="1"/>
  <c r="FI57" i="1"/>
  <c r="FJ57" i="1"/>
  <c r="FK57" i="1"/>
  <c r="FL57" i="1"/>
  <c r="FP57" i="1"/>
  <c r="FQ57" i="1"/>
  <c r="FR57" i="1"/>
  <c r="FS57" i="1"/>
  <c r="GF57" i="1"/>
  <c r="GG57" i="1"/>
  <c r="GH57" i="1"/>
  <c r="GI57" i="1"/>
  <c r="GM57" i="1"/>
  <c r="GN57" i="1"/>
  <c r="GO57" i="1"/>
  <c r="GP57" i="1"/>
  <c r="HB57" i="1"/>
  <c r="HC57" i="1"/>
  <c r="HD57" i="1"/>
  <c r="HE57" i="1"/>
  <c r="HQ57" i="1"/>
  <c r="HR57" i="1"/>
  <c r="HS57" i="1"/>
  <c r="HT57" i="1"/>
  <c r="HX57" i="1"/>
  <c r="HY57" i="1"/>
  <c r="HZ57" i="1"/>
  <c r="IA57" i="1"/>
  <c r="IN57" i="1"/>
  <c r="IP57" i="1"/>
  <c r="IU77" i="1"/>
  <c r="IW77" i="1"/>
  <c r="NG57" i="1"/>
  <c r="NH57" i="1"/>
  <c r="NI57" i="1"/>
  <c r="NJ57" i="1"/>
  <c r="NV57" i="1"/>
  <c r="NW57" i="1"/>
  <c r="NX57" i="1"/>
  <c r="NY57" i="1"/>
  <c r="P58" i="1"/>
  <c r="Q58" i="1"/>
  <c r="EU58" i="1"/>
  <c r="EV58" i="1"/>
  <c r="FI58" i="1"/>
  <c r="FJ58" i="1"/>
  <c r="FK58" i="1"/>
  <c r="FL58" i="1"/>
  <c r="FP58" i="1"/>
  <c r="FQ58" i="1"/>
  <c r="FR58" i="1"/>
  <c r="FS58" i="1"/>
  <c r="GF58" i="1"/>
  <c r="GG58" i="1"/>
  <c r="GH58" i="1"/>
  <c r="GI58" i="1"/>
  <c r="GM58" i="1"/>
  <c r="GN58" i="1"/>
  <c r="GO58" i="1"/>
  <c r="GP58" i="1"/>
  <c r="HB58" i="1"/>
  <c r="HC58" i="1"/>
  <c r="HD58" i="1"/>
  <c r="HE58" i="1"/>
  <c r="HQ58" i="1"/>
  <c r="HR58" i="1"/>
  <c r="HS58" i="1"/>
  <c r="HT58" i="1"/>
  <c r="HX58" i="1"/>
  <c r="HY58" i="1"/>
  <c r="HZ58" i="1"/>
  <c r="IA58" i="1"/>
  <c r="IN58" i="1"/>
  <c r="IP58" i="1"/>
  <c r="IU78" i="1"/>
  <c r="IW78" i="1"/>
  <c r="NG58" i="1"/>
  <c r="NH58" i="1"/>
  <c r="NI58" i="1"/>
  <c r="NJ58" i="1"/>
  <c r="NV58" i="1"/>
  <c r="NW58" i="1"/>
  <c r="NX58" i="1"/>
  <c r="NY58" i="1"/>
  <c r="P59" i="1"/>
  <c r="Q59" i="1"/>
  <c r="EU59" i="1"/>
  <c r="EV59" i="1"/>
  <c r="FI59" i="1"/>
  <c r="FJ59" i="1"/>
  <c r="FK59" i="1"/>
  <c r="FL59" i="1"/>
  <c r="FP59" i="1"/>
  <c r="FQ59" i="1"/>
  <c r="FR59" i="1"/>
  <c r="FS59" i="1"/>
  <c r="GF59" i="1"/>
  <c r="GG59" i="1"/>
  <c r="GH59" i="1"/>
  <c r="GI59" i="1"/>
  <c r="GM59" i="1"/>
  <c r="GN59" i="1"/>
  <c r="GO59" i="1"/>
  <c r="GP59" i="1"/>
  <c r="HB59" i="1"/>
  <c r="HC59" i="1"/>
  <c r="HD59" i="1"/>
  <c r="HE59" i="1"/>
  <c r="HQ59" i="1"/>
  <c r="HR59" i="1"/>
  <c r="HS59" i="1"/>
  <c r="HT59" i="1"/>
  <c r="HX59" i="1"/>
  <c r="HY59" i="1"/>
  <c r="HZ59" i="1"/>
  <c r="IA59" i="1"/>
  <c r="IN59" i="1"/>
  <c r="IP59" i="1"/>
  <c r="IU79" i="1"/>
  <c r="IW79" i="1"/>
  <c r="NG59" i="1"/>
  <c r="NH59" i="1"/>
  <c r="NI59" i="1"/>
  <c r="NJ59" i="1"/>
  <c r="NV59" i="1"/>
  <c r="NW59" i="1"/>
  <c r="NX59" i="1"/>
  <c r="NY59" i="1"/>
  <c r="P60" i="1"/>
  <c r="Q60" i="1"/>
  <c r="EU60" i="1"/>
  <c r="EV60" i="1"/>
  <c r="FI60" i="1"/>
  <c r="FJ60" i="1"/>
  <c r="FK60" i="1"/>
  <c r="FL60" i="1"/>
  <c r="FP60" i="1"/>
  <c r="FQ60" i="1"/>
  <c r="FR60" i="1"/>
  <c r="FS60" i="1"/>
  <c r="GF60" i="1"/>
  <c r="GG60" i="1"/>
  <c r="GH60" i="1"/>
  <c r="GI60" i="1"/>
  <c r="GM60" i="1"/>
  <c r="GN60" i="1"/>
  <c r="GO60" i="1"/>
  <c r="GP60" i="1"/>
  <c r="HB60" i="1"/>
  <c r="HC60" i="1"/>
  <c r="HD60" i="1"/>
  <c r="HE60" i="1"/>
  <c r="HQ60" i="1"/>
  <c r="HR60" i="1"/>
  <c r="HS60" i="1"/>
  <c r="HT60" i="1"/>
  <c r="HX60" i="1"/>
  <c r="HY60" i="1"/>
  <c r="HZ60" i="1"/>
  <c r="IA60" i="1"/>
  <c r="IN60" i="1"/>
  <c r="IP60" i="1"/>
  <c r="IU80" i="1"/>
  <c r="IW80" i="1"/>
  <c r="NG60" i="1"/>
  <c r="NH60" i="1"/>
  <c r="NI60" i="1"/>
  <c r="NJ60" i="1"/>
  <c r="NV60" i="1"/>
  <c r="NW60" i="1"/>
  <c r="NX60" i="1"/>
  <c r="NY60" i="1"/>
  <c r="P61" i="1"/>
  <c r="Q61" i="1"/>
  <c r="EU61" i="1"/>
  <c r="EV61" i="1"/>
  <c r="FI61" i="1"/>
  <c r="FJ61" i="1"/>
  <c r="FK61" i="1"/>
  <c r="FL61" i="1"/>
  <c r="FP61" i="1"/>
  <c r="FQ61" i="1"/>
  <c r="FR61" i="1"/>
  <c r="FS61" i="1"/>
  <c r="GF61" i="1"/>
  <c r="GG61" i="1"/>
  <c r="GH61" i="1"/>
  <c r="GI61" i="1"/>
  <c r="GM61" i="1"/>
  <c r="GN61" i="1"/>
  <c r="GO61" i="1"/>
  <c r="GP61" i="1"/>
  <c r="HB61" i="1"/>
  <c r="HC61" i="1"/>
  <c r="HD61" i="1"/>
  <c r="HE61" i="1"/>
  <c r="HQ61" i="1"/>
  <c r="HR61" i="1"/>
  <c r="HS61" i="1"/>
  <c r="HT61" i="1"/>
  <c r="HX61" i="1"/>
  <c r="HY61" i="1"/>
  <c r="HZ61" i="1"/>
  <c r="IA61" i="1"/>
  <c r="IN61" i="1"/>
  <c r="IP61" i="1"/>
  <c r="IU81" i="1"/>
  <c r="IW81" i="1"/>
  <c r="NG61" i="1"/>
  <c r="NH61" i="1"/>
  <c r="NI61" i="1"/>
  <c r="NJ61" i="1"/>
  <c r="NV61" i="1"/>
  <c r="NW61" i="1"/>
  <c r="NX61" i="1"/>
  <c r="NY61" i="1"/>
  <c r="P62" i="1"/>
  <c r="Q62" i="1"/>
  <c r="EU62" i="1"/>
  <c r="EV62" i="1"/>
  <c r="FI62" i="1"/>
  <c r="FJ62" i="1"/>
  <c r="FK62" i="1"/>
  <c r="FL62" i="1"/>
  <c r="FP62" i="1"/>
  <c r="FQ62" i="1"/>
  <c r="FR62" i="1"/>
  <c r="FS62" i="1"/>
  <c r="GF62" i="1"/>
  <c r="GG62" i="1"/>
  <c r="GH62" i="1"/>
  <c r="GI62" i="1"/>
  <c r="GM62" i="1"/>
  <c r="GN62" i="1"/>
  <c r="GO62" i="1"/>
  <c r="GP62" i="1"/>
  <c r="HB62" i="1"/>
  <c r="HC62" i="1"/>
  <c r="HD62" i="1"/>
  <c r="HE62" i="1"/>
  <c r="HQ62" i="1"/>
  <c r="HR62" i="1"/>
  <c r="HS62" i="1"/>
  <c r="HT62" i="1"/>
  <c r="HX62" i="1"/>
  <c r="HY62" i="1"/>
  <c r="HZ62" i="1"/>
  <c r="IA62" i="1"/>
  <c r="IN62" i="1"/>
  <c r="IP62" i="1"/>
  <c r="IU82" i="1"/>
  <c r="IW82" i="1"/>
  <c r="NG62" i="1"/>
  <c r="NH62" i="1"/>
  <c r="NI62" i="1"/>
  <c r="NJ62" i="1"/>
  <c r="NV62" i="1"/>
  <c r="NW62" i="1"/>
  <c r="NX62" i="1"/>
  <c r="NY62" i="1"/>
  <c r="P63" i="1"/>
  <c r="Q63" i="1"/>
  <c r="EU63" i="1"/>
  <c r="EV63" i="1"/>
  <c r="FI63" i="1"/>
  <c r="FJ63" i="1"/>
  <c r="FK63" i="1"/>
  <c r="FL63" i="1"/>
  <c r="FP63" i="1"/>
  <c r="FQ63" i="1"/>
  <c r="FR63" i="1"/>
  <c r="FS63" i="1"/>
  <c r="GF63" i="1"/>
  <c r="GG63" i="1"/>
  <c r="GH63" i="1"/>
  <c r="GI63" i="1"/>
  <c r="GM63" i="1"/>
  <c r="GN63" i="1"/>
  <c r="GO63" i="1"/>
  <c r="GP63" i="1"/>
  <c r="HB63" i="1"/>
  <c r="HC63" i="1"/>
  <c r="HD63" i="1"/>
  <c r="HE63" i="1"/>
  <c r="HQ63" i="1"/>
  <c r="HR63" i="1"/>
  <c r="HS63" i="1"/>
  <c r="HT63" i="1"/>
  <c r="HX63" i="1"/>
  <c r="HY63" i="1"/>
  <c r="HZ63" i="1"/>
  <c r="IA63" i="1"/>
  <c r="IN63" i="1"/>
  <c r="IP63" i="1"/>
  <c r="IU83" i="1"/>
  <c r="IW83" i="1"/>
  <c r="NG63" i="1"/>
  <c r="NH63" i="1"/>
  <c r="NI63" i="1"/>
  <c r="NJ63" i="1"/>
  <c r="NV63" i="1"/>
  <c r="NW63" i="1"/>
  <c r="NX63" i="1"/>
  <c r="NY63" i="1"/>
  <c r="P64" i="1"/>
  <c r="Q64" i="1"/>
  <c r="EU64" i="1"/>
  <c r="EV64" i="1"/>
  <c r="FI64" i="1"/>
  <c r="FJ64" i="1"/>
  <c r="FK64" i="1"/>
  <c r="FL64" i="1"/>
  <c r="FP64" i="1"/>
  <c r="FQ64" i="1"/>
  <c r="FR64" i="1"/>
  <c r="FS64" i="1"/>
  <c r="GF64" i="1"/>
  <c r="GG64" i="1"/>
  <c r="GH64" i="1"/>
  <c r="GI64" i="1"/>
  <c r="GM64" i="1"/>
  <c r="GN64" i="1"/>
  <c r="GO64" i="1"/>
  <c r="GP64" i="1"/>
  <c r="HB64" i="1"/>
  <c r="HC64" i="1"/>
  <c r="HD64" i="1"/>
  <c r="HE64" i="1"/>
  <c r="HQ64" i="1"/>
  <c r="HR64" i="1"/>
  <c r="HS64" i="1"/>
  <c r="HT64" i="1"/>
  <c r="HX64" i="1"/>
  <c r="HY64" i="1"/>
  <c r="HZ64" i="1"/>
  <c r="IA64" i="1"/>
  <c r="IN64" i="1"/>
  <c r="IP64" i="1"/>
  <c r="IU84" i="1"/>
  <c r="IW84" i="1"/>
  <c r="NG64" i="1"/>
  <c r="NH64" i="1"/>
  <c r="NI64" i="1"/>
  <c r="NJ64" i="1"/>
  <c r="NV64" i="1"/>
  <c r="NW64" i="1"/>
  <c r="NX64" i="1"/>
  <c r="NY64" i="1"/>
  <c r="P65" i="1"/>
  <c r="Q65" i="1"/>
  <c r="EU65" i="1"/>
  <c r="EV65" i="1"/>
  <c r="FI65" i="1"/>
  <c r="FJ65" i="1"/>
  <c r="FK65" i="1"/>
  <c r="FL65" i="1"/>
  <c r="FP65" i="1"/>
  <c r="FQ65" i="1"/>
  <c r="FR65" i="1"/>
  <c r="FS65" i="1"/>
  <c r="GF65" i="1"/>
  <c r="GG65" i="1"/>
  <c r="GH65" i="1"/>
  <c r="GI65" i="1"/>
  <c r="GM65" i="1"/>
  <c r="GN65" i="1"/>
  <c r="GO65" i="1"/>
  <c r="GP65" i="1"/>
  <c r="HB65" i="1"/>
  <c r="HC65" i="1"/>
  <c r="HD65" i="1"/>
  <c r="HE65" i="1"/>
  <c r="HQ65" i="1"/>
  <c r="HR65" i="1"/>
  <c r="HS65" i="1"/>
  <c r="HT65" i="1"/>
  <c r="HX65" i="1"/>
  <c r="HY65" i="1"/>
  <c r="HZ65" i="1"/>
  <c r="IA65" i="1"/>
  <c r="NG65" i="1"/>
  <c r="NH65" i="1"/>
  <c r="NI65" i="1"/>
  <c r="NJ65" i="1"/>
  <c r="NV65" i="1"/>
  <c r="NW65" i="1"/>
  <c r="NX65" i="1"/>
  <c r="NY65" i="1"/>
  <c r="P66" i="1"/>
  <c r="Q66" i="1"/>
  <c r="EU66" i="1"/>
  <c r="EV66" i="1"/>
  <c r="FI66" i="1"/>
  <c r="FJ66" i="1"/>
  <c r="FK66" i="1"/>
  <c r="FL66" i="1"/>
  <c r="FP66" i="1"/>
  <c r="FQ66" i="1"/>
  <c r="FR66" i="1"/>
  <c r="FS66" i="1"/>
  <c r="GF66" i="1"/>
  <c r="GG66" i="1"/>
  <c r="GH66" i="1"/>
  <c r="GI66" i="1"/>
  <c r="GM66" i="1"/>
  <c r="GN66" i="1"/>
  <c r="GO66" i="1"/>
  <c r="GP66" i="1"/>
  <c r="HB66" i="1"/>
  <c r="HC66" i="1"/>
  <c r="HD66" i="1"/>
  <c r="HE66" i="1"/>
  <c r="HQ66" i="1"/>
  <c r="HR66" i="1"/>
  <c r="HS66" i="1"/>
  <c r="HT66" i="1"/>
  <c r="HX66" i="1"/>
  <c r="HY66" i="1"/>
  <c r="HZ66" i="1"/>
  <c r="IA66" i="1"/>
  <c r="NG66" i="1"/>
  <c r="NH66" i="1"/>
  <c r="NI66" i="1"/>
  <c r="NJ66" i="1"/>
  <c r="NV66" i="1"/>
  <c r="NW66" i="1"/>
  <c r="NX66" i="1"/>
  <c r="NY66" i="1"/>
  <c r="P67" i="1"/>
  <c r="Q67" i="1"/>
  <c r="CO67" i="1"/>
  <c r="EU67" i="1"/>
  <c r="EV67" i="1"/>
  <c r="FI67" i="1"/>
  <c r="FJ67" i="1"/>
  <c r="FK67" i="1"/>
  <c r="FL67" i="1"/>
  <c r="FP67" i="1"/>
  <c r="FQ67" i="1"/>
  <c r="FR67" i="1"/>
  <c r="FS67" i="1"/>
  <c r="GF67" i="1"/>
  <c r="GG67" i="1"/>
  <c r="GH67" i="1"/>
  <c r="GI67" i="1"/>
  <c r="GM67" i="1"/>
  <c r="GN67" i="1"/>
  <c r="GO67" i="1"/>
  <c r="GP67" i="1"/>
  <c r="HB67" i="1"/>
  <c r="HC67" i="1"/>
  <c r="HD67" i="1"/>
  <c r="HE67" i="1"/>
  <c r="HQ67" i="1"/>
  <c r="HR67" i="1"/>
  <c r="HS67" i="1"/>
  <c r="HT67" i="1"/>
  <c r="HX67" i="1"/>
  <c r="HY67" i="1"/>
  <c r="HZ67" i="1"/>
  <c r="IA67" i="1"/>
  <c r="IM67" i="1"/>
  <c r="IN67" i="1"/>
  <c r="IO67" i="1"/>
  <c r="IP67" i="1"/>
  <c r="NG67" i="1"/>
  <c r="NH67" i="1"/>
  <c r="NI67" i="1"/>
  <c r="NJ67" i="1"/>
  <c r="NV67" i="1"/>
  <c r="NW67" i="1"/>
  <c r="NX67" i="1"/>
  <c r="NY67" i="1"/>
  <c r="P68" i="1"/>
  <c r="Q68" i="1"/>
  <c r="CO68" i="1"/>
  <c r="EU68" i="1"/>
  <c r="EV68" i="1"/>
  <c r="FI68" i="1"/>
  <c r="FJ68" i="1"/>
  <c r="FK68" i="1"/>
  <c r="FL68" i="1"/>
  <c r="FP68" i="1"/>
  <c r="FQ68" i="1"/>
  <c r="FR68" i="1"/>
  <c r="FS68" i="1"/>
  <c r="GF68" i="1"/>
  <c r="GG68" i="1"/>
  <c r="GH68" i="1"/>
  <c r="GI68" i="1"/>
  <c r="GM68" i="1"/>
  <c r="GN68" i="1"/>
  <c r="GO68" i="1"/>
  <c r="GP68" i="1"/>
  <c r="HB68" i="1"/>
  <c r="HC68" i="1"/>
  <c r="HD68" i="1"/>
  <c r="HE68" i="1"/>
  <c r="HQ68" i="1"/>
  <c r="HR68" i="1"/>
  <c r="HS68" i="1"/>
  <c r="HT68" i="1"/>
  <c r="HX68" i="1"/>
  <c r="HY68" i="1"/>
  <c r="HZ68" i="1"/>
  <c r="IA68" i="1"/>
  <c r="IM68" i="1"/>
  <c r="IN68" i="1"/>
  <c r="IO68" i="1"/>
  <c r="IP68" i="1"/>
  <c r="NG68" i="1"/>
  <c r="NH68" i="1"/>
  <c r="NI68" i="1"/>
  <c r="NJ68" i="1"/>
  <c r="NV68" i="1"/>
  <c r="NW68" i="1"/>
  <c r="NX68" i="1"/>
  <c r="NY68" i="1"/>
  <c r="P69" i="1"/>
  <c r="Q69" i="1"/>
  <c r="EU69" i="1"/>
  <c r="EV69" i="1"/>
  <c r="FI69" i="1"/>
  <c r="FJ69" i="1"/>
  <c r="FK69" i="1"/>
  <c r="FL69" i="1"/>
  <c r="FP69" i="1"/>
  <c r="FQ69" i="1"/>
  <c r="FR69" i="1"/>
  <c r="FS69" i="1"/>
  <c r="GF69" i="1"/>
  <c r="GG69" i="1"/>
  <c r="GH69" i="1"/>
  <c r="GI69" i="1"/>
  <c r="GM69" i="1"/>
  <c r="GN69" i="1"/>
  <c r="GO69" i="1"/>
  <c r="GP69" i="1"/>
  <c r="HB69" i="1"/>
  <c r="HC69" i="1"/>
  <c r="HD69" i="1"/>
  <c r="HE69" i="1"/>
  <c r="HQ69" i="1"/>
  <c r="HR69" i="1"/>
  <c r="HS69" i="1"/>
  <c r="HT69" i="1"/>
  <c r="HX69" i="1"/>
  <c r="HY69" i="1"/>
  <c r="HZ69" i="1"/>
  <c r="IA69" i="1"/>
  <c r="IM69" i="1"/>
  <c r="IN69" i="1"/>
  <c r="IO69" i="1"/>
  <c r="IP69" i="1"/>
  <c r="IT89" i="1"/>
  <c r="IU89" i="1"/>
  <c r="IV89" i="1"/>
  <c r="IW89" i="1"/>
  <c r="NG69" i="1"/>
  <c r="NH69" i="1"/>
  <c r="NI69" i="1"/>
  <c r="NJ69" i="1"/>
  <c r="NV69" i="1"/>
  <c r="NW69" i="1"/>
  <c r="NX69" i="1"/>
  <c r="NY69" i="1"/>
  <c r="P70" i="1"/>
  <c r="Q70" i="1"/>
  <c r="EU70" i="1"/>
  <c r="EV70" i="1"/>
  <c r="FI70" i="1"/>
  <c r="FJ70" i="1"/>
  <c r="FK70" i="1"/>
  <c r="FL70" i="1"/>
  <c r="FP70" i="1"/>
  <c r="FQ70" i="1"/>
  <c r="FR70" i="1"/>
  <c r="FS70" i="1"/>
  <c r="GF70" i="1"/>
  <c r="GG70" i="1"/>
  <c r="GH70" i="1"/>
  <c r="GI70" i="1"/>
  <c r="GM70" i="1"/>
  <c r="GN70" i="1"/>
  <c r="GO70" i="1"/>
  <c r="GP70" i="1"/>
  <c r="HB70" i="1"/>
  <c r="HC70" i="1"/>
  <c r="HD70" i="1"/>
  <c r="HE70" i="1"/>
  <c r="HQ70" i="1"/>
  <c r="HR70" i="1"/>
  <c r="HS70" i="1"/>
  <c r="HT70" i="1"/>
  <c r="HX70" i="1"/>
  <c r="HY70" i="1"/>
  <c r="HZ70" i="1"/>
  <c r="IA70" i="1"/>
  <c r="IM70" i="1"/>
  <c r="IN70" i="1"/>
  <c r="IO70" i="1"/>
  <c r="IP70" i="1"/>
  <c r="IT90" i="1"/>
  <c r="IU90" i="1"/>
  <c r="IV90" i="1"/>
  <c r="IW90" i="1"/>
  <c r="NG70" i="1"/>
  <c r="NH70" i="1"/>
  <c r="NI70" i="1"/>
  <c r="NJ70" i="1"/>
  <c r="NV70" i="1"/>
  <c r="NW70" i="1"/>
  <c r="NX70" i="1"/>
  <c r="NY70" i="1"/>
  <c r="P71" i="1"/>
  <c r="Q71" i="1"/>
  <c r="EU71" i="1"/>
  <c r="EV71" i="1"/>
  <c r="FI71" i="1"/>
  <c r="FJ71" i="1"/>
  <c r="FK71" i="1"/>
  <c r="FL71" i="1"/>
  <c r="FP71" i="1"/>
  <c r="FQ71" i="1"/>
  <c r="FR71" i="1"/>
  <c r="FS71" i="1"/>
  <c r="GF71" i="1"/>
  <c r="GG71" i="1"/>
  <c r="GH71" i="1"/>
  <c r="GI71" i="1"/>
  <c r="GM71" i="1"/>
  <c r="GN71" i="1"/>
  <c r="GO71" i="1"/>
  <c r="GP71" i="1"/>
  <c r="HB71" i="1"/>
  <c r="HC71" i="1"/>
  <c r="HD71" i="1"/>
  <c r="HE71" i="1"/>
  <c r="HQ71" i="1"/>
  <c r="HR71" i="1"/>
  <c r="HS71" i="1"/>
  <c r="HT71" i="1"/>
  <c r="HX71" i="1"/>
  <c r="HY71" i="1"/>
  <c r="HZ71" i="1"/>
  <c r="IA71" i="1"/>
  <c r="IM71" i="1"/>
  <c r="IN71" i="1"/>
  <c r="IO71" i="1"/>
  <c r="IP71" i="1"/>
  <c r="IT91" i="1"/>
  <c r="IU91" i="1"/>
  <c r="IV91" i="1"/>
  <c r="IW91" i="1"/>
  <c r="NG71" i="1"/>
  <c r="NH71" i="1"/>
  <c r="NI71" i="1"/>
  <c r="NJ71" i="1"/>
  <c r="NV71" i="1"/>
  <c r="NW71" i="1"/>
  <c r="NX71" i="1"/>
  <c r="NY71" i="1"/>
  <c r="P72" i="1"/>
  <c r="Q72" i="1"/>
  <c r="EU72" i="1"/>
  <c r="EV72" i="1"/>
  <c r="FI72" i="1"/>
  <c r="FJ72" i="1"/>
  <c r="FK72" i="1"/>
  <c r="FL72" i="1"/>
  <c r="FP72" i="1"/>
  <c r="FQ72" i="1"/>
  <c r="FR72" i="1"/>
  <c r="FS72" i="1"/>
  <c r="GF72" i="1"/>
  <c r="GG72" i="1"/>
  <c r="GH72" i="1"/>
  <c r="GI72" i="1"/>
  <c r="GM72" i="1"/>
  <c r="GN72" i="1"/>
  <c r="GO72" i="1"/>
  <c r="GP72" i="1"/>
  <c r="HB72" i="1"/>
  <c r="HC72" i="1"/>
  <c r="HD72" i="1"/>
  <c r="HE72" i="1"/>
  <c r="HQ72" i="1"/>
  <c r="HR72" i="1"/>
  <c r="HS72" i="1"/>
  <c r="HT72" i="1"/>
  <c r="HX72" i="1"/>
  <c r="HY72" i="1"/>
  <c r="HZ72" i="1"/>
  <c r="IA72" i="1"/>
  <c r="IM72" i="1"/>
  <c r="IN72" i="1"/>
  <c r="IO72" i="1"/>
  <c r="IP72" i="1"/>
  <c r="IT92" i="1"/>
  <c r="IU92" i="1"/>
  <c r="IV92" i="1"/>
  <c r="IW92" i="1"/>
  <c r="NG72" i="1"/>
  <c r="NH72" i="1"/>
  <c r="NI72" i="1"/>
  <c r="NJ72" i="1"/>
  <c r="NV72" i="1"/>
  <c r="NW72" i="1"/>
  <c r="NX72" i="1"/>
  <c r="NY72" i="1"/>
  <c r="P73" i="1"/>
  <c r="Q73" i="1"/>
  <c r="EU73" i="1"/>
  <c r="EV73" i="1"/>
  <c r="FI73" i="1"/>
  <c r="FJ73" i="1"/>
  <c r="FK73" i="1"/>
  <c r="FL73" i="1"/>
  <c r="FP73" i="1"/>
  <c r="FQ73" i="1"/>
  <c r="FR73" i="1"/>
  <c r="FS73" i="1"/>
  <c r="GF73" i="1"/>
  <c r="GG73" i="1"/>
  <c r="GH73" i="1"/>
  <c r="GI73" i="1"/>
  <c r="GM73" i="1"/>
  <c r="GN73" i="1"/>
  <c r="GO73" i="1"/>
  <c r="GP73" i="1"/>
  <c r="HB73" i="1"/>
  <c r="HC73" i="1"/>
  <c r="HD73" i="1"/>
  <c r="HE73" i="1"/>
  <c r="HQ73" i="1"/>
  <c r="HR73" i="1"/>
  <c r="HS73" i="1"/>
  <c r="HT73" i="1"/>
  <c r="HX73" i="1"/>
  <c r="HY73" i="1"/>
  <c r="HZ73" i="1"/>
  <c r="IA73" i="1"/>
  <c r="IM73" i="1"/>
  <c r="IN73" i="1"/>
  <c r="IO73" i="1"/>
  <c r="IP73" i="1"/>
  <c r="IT93" i="1"/>
  <c r="IU93" i="1"/>
  <c r="IV93" i="1"/>
  <c r="IW93" i="1"/>
  <c r="NG73" i="1"/>
  <c r="NH73" i="1"/>
  <c r="NI73" i="1"/>
  <c r="NJ73" i="1"/>
  <c r="NV73" i="1"/>
  <c r="NW73" i="1"/>
  <c r="NX73" i="1"/>
  <c r="NY73" i="1"/>
  <c r="P74" i="1"/>
  <c r="Q74" i="1"/>
  <c r="EU74" i="1"/>
  <c r="EV74" i="1"/>
  <c r="FI74" i="1"/>
  <c r="FJ74" i="1"/>
  <c r="FK74" i="1"/>
  <c r="FL74" i="1"/>
  <c r="FP74" i="1"/>
  <c r="FQ74" i="1"/>
  <c r="FR74" i="1"/>
  <c r="FS74" i="1"/>
  <c r="GF74" i="1"/>
  <c r="GG74" i="1"/>
  <c r="GH74" i="1"/>
  <c r="GI74" i="1"/>
  <c r="GM74" i="1"/>
  <c r="GN74" i="1"/>
  <c r="GO74" i="1"/>
  <c r="GP74" i="1"/>
  <c r="HB74" i="1"/>
  <c r="HC74" i="1"/>
  <c r="HD74" i="1"/>
  <c r="HE74" i="1"/>
  <c r="HQ74" i="1"/>
  <c r="HR74" i="1"/>
  <c r="HS74" i="1"/>
  <c r="HT74" i="1"/>
  <c r="HX74" i="1"/>
  <c r="HY74" i="1"/>
  <c r="HZ74" i="1"/>
  <c r="IA74" i="1"/>
  <c r="IM74" i="1"/>
  <c r="IN74" i="1"/>
  <c r="IO74" i="1"/>
  <c r="IP74" i="1"/>
  <c r="IT94" i="1"/>
  <c r="IU94" i="1"/>
  <c r="IV94" i="1"/>
  <c r="IW94" i="1"/>
  <c r="NG74" i="1"/>
  <c r="NH74" i="1"/>
  <c r="NI74" i="1"/>
  <c r="NJ74" i="1"/>
  <c r="NV74" i="1"/>
  <c r="NW74" i="1"/>
  <c r="NX74" i="1"/>
  <c r="NY74" i="1"/>
  <c r="P75" i="1"/>
  <c r="Q75" i="1"/>
  <c r="EU75" i="1"/>
  <c r="EV75" i="1"/>
  <c r="FI75" i="1"/>
  <c r="FJ75" i="1"/>
  <c r="FK75" i="1"/>
  <c r="FL75" i="1"/>
  <c r="FP75" i="1"/>
  <c r="FQ75" i="1"/>
  <c r="FR75" i="1"/>
  <c r="FS75" i="1"/>
  <c r="GF75" i="1"/>
  <c r="GG75" i="1"/>
  <c r="GH75" i="1"/>
  <c r="GI75" i="1"/>
  <c r="GM75" i="1"/>
  <c r="GN75" i="1"/>
  <c r="GO75" i="1"/>
  <c r="GP75" i="1"/>
  <c r="HB75" i="1"/>
  <c r="HC75" i="1"/>
  <c r="HD75" i="1"/>
  <c r="HE75" i="1"/>
  <c r="HQ75" i="1"/>
  <c r="HR75" i="1"/>
  <c r="HS75" i="1"/>
  <c r="HT75" i="1"/>
  <c r="HX75" i="1"/>
  <c r="HY75" i="1"/>
  <c r="HZ75" i="1"/>
  <c r="IA75" i="1"/>
  <c r="IM75" i="1"/>
  <c r="IN75" i="1"/>
  <c r="IO75" i="1"/>
  <c r="IP75" i="1"/>
  <c r="IT95" i="1"/>
  <c r="IU95" i="1"/>
  <c r="IV95" i="1"/>
  <c r="IW95" i="1"/>
  <c r="NG75" i="1"/>
  <c r="NH75" i="1"/>
  <c r="NI75" i="1"/>
  <c r="NJ75" i="1"/>
  <c r="NV75" i="1"/>
  <c r="NW75" i="1"/>
  <c r="NX75" i="1"/>
  <c r="NY75" i="1"/>
  <c r="P76" i="1"/>
  <c r="Q76" i="1"/>
  <c r="EU76" i="1"/>
  <c r="EV76" i="1"/>
  <c r="FI76" i="1"/>
  <c r="FJ76" i="1"/>
  <c r="FK76" i="1"/>
  <c r="FL76" i="1"/>
  <c r="FP76" i="1"/>
  <c r="FQ76" i="1"/>
  <c r="FR76" i="1"/>
  <c r="FS76" i="1"/>
  <c r="GF76" i="1"/>
  <c r="GG76" i="1"/>
  <c r="GH76" i="1"/>
  <c r="GI76" i="1"/>
  <c r="GM76" i="1"/>
  <c r="GN76" i="1"/>
  <c r="GO76" i="1"/>
  <c r="GP76" i="1"/>
  <c r="HB76" i="1"/>
  <c r="HC76" i="1"/>
  <c r="HD76" i="1"/>
  <c r="HE76" i="1"/>
  <c r="HQ76" i="1"/>
  <c r="HR76" i="1"/>
  <c r="HS76" i="1"/>
  <c r="HT76" i="1"/>
  <c r="HX76" i="1"/>
  <c r="HY76" i="1"/>
  <c r="HZ76" i="1"/>
  <c r="IA76" i="1"/>
  <c r="IM76" i="1"/>
  <c r="IN76" i="1"/>
  <c r="IO76" i="1"/>
  <c r="IP76" i="1"/>
  <c r="IT96" i="1"/>
  <c r="IU96" i="1"/>
  <c r="IV96" i="1"/>
  <c r="IW96" i="1"/>
  <c r="NG76" i="1"/>
  <c r="NH76" i="1"/>
  <c r="NI76" i="1"/>
  <c r="NJ76" i="1"/>
  <c r="NV76" i="1"/>
  <c r="NW76" i="1"/>
  <c r="NX76" i="1"/>
  <c r="NY76" i="1"/>
  <c r="P77" i="1"/>
  <c r="Q77" i="1"/>
  <c r="EU77" i="1"/>
  <c r="EV77" i="1"/>
  <c r="FI77" i="1"/>
  <c r="FJ77" i="1"/>
  <c r="FK77" i="1"/>
  <c r="FL77" i="1"/>
  <c r="FP77" i="1"/>
  <c r="FQ77" i="1"/>
  <c r="FR77" i="1"/>
  <c r="FS77" i="1"/>
  <c r="GF77" i="1"/>
  <c r="GG77" i="1"/>
  <c r="GH77" i="1"/>
  <c r="GI77" i="1"/>
  <c r="GM77" i="1"/>
  <c r="GN77" i="1"/>
  <c r="GO77" i="1"/>
  <c r="GP77" i="1"/>
  <c r="HB77" i="1"/>
  <c r="HC77" i="1"/>
  <c r="HD77" i="1"/>
  <c r="HE77" i="1"/>
  <c r="HQ77" i="1"/>
  <c r="HR77" i="1"/>
  <c r="HS77" i="1"/>
  <c r="HT77" i="1"/>
  <c r="HX77" i="1"/>
  <c r="HY77" i="1"/>
  <c r="HZ77" i="1"/>
  <c r="IA77" i="1"/>
  <c r="IM77" i="1"/>
  <c r="IN77" i="1"/>
  <c r="IO77" i="1"/>
  <c r="IP77" i="1"/>
  <c r="IT97" i="1"/>
  <c r="IU97" i="1"/>
  <c r="IV97" i="1"/>
  <c r="IW97" i="1"/>
  <c r="NG77" i="1"/>
  <c r="NH77" i="1"/>
  <c r="NI77" i="1"/>
  <c r="NJ77" i="1"/>
  <c r="NV77" i="1"/>
  <c r="NW77" i="1"/>
  <c r="NX77" i="1"/>
  <c r="NY77" i="1"/>
  <c r="P78" i="1"/>
  <c r="Q78" i="1"/>
  <c r="CO78" i="1"/>
  <c r="EU78" i="1"/>
  <c r="EV78" i="1"/>
  <c r="FI78" i="1"/>
  <c r="FJ78" i="1"/>
  <c r="FK78" i="1"/>
  <c r="FL78" i="1"/>
  <c r="FP78" i="1"/>
  <c r="FQ78" i="1"/>
  <c r="FR78" i="1"/>
  <c r="FS78" i="1"/>
  <c r="GF78" i="1"/>
  <c r="GG78" i="1"/>
  <c r="GH78" i="1"/>
  <c r="GI78" i="1"/>
  <c r="GM78" i="1"/>
  <c r="GN78" i="1"/>
  <c r="GO78" i="1"/>
  <c r="GP78" i="1"/>
  <c r="HB78" i="1"/>
  <c r="HC78" i="1"/>
  <c r="HD78" i="1"/>
  <c r="HE78" i="1"/>
  <c r="HQ78" i="1"/>
  <c r="HR78" i="1"/>
  <c r="HS78" i="1"/>
  <c r="HT78" i="1"/>
  <c r="HX78" i="1"/>
  <c r="HY78" i="1"/>
  <c r="HZ78" i="1"/>
  <c r="IA78" i="1"/>
  <c r="IM78" i="1"/>
  <c r="IN78" i="1"/>
  <c r="IO78" i="1"/>
  <c r="IP78" i="1"/>
  <c r="IT98" i="1"/>
  <c r="IU98" i="1"/>
  <c r="IV98" i="1"/>
  <c r="IW98" i="1"/>
  <c r="NG78" i="1"/>
  <c r="NH78" i="1"/>
  <c r="NI78" i="1"/>
  <c r="NJ78" i="1"/>
  <c r="NV78" i="1"/>
  <c r="NW78" i="1"/>
  <c r="NX78" i="1"/>
  <c r="NY78" i="1"/>
  <c r="P79" i="1"/>
  <c r="Q79" i="1"/>
  <c r="CO79" i="1"/>
  <c r="EU79" i="1"/>
  <c r="EV79" i="1"/>
  <c r="FI79" i="1"/>
  <c r="FJ79" i="1"/>
  <c r="FK79" i="1"/>
  <c r="FL79" i="1"/>
  <c r="FP79" i="1"/>
  <c r="FQ79" i="1"/>
  <c r="FR79" i="1"/>
  <c r="FS79" i="1"/>
  <c r="GF79" i="1"/>
  <c r="GG79" i="1"/>
  <c r="GH79" i="1"/>
  <c r="GI79" i="1"/>
  <c r="GM79" i="1"/>
  <c r="GN79" i="1"/>
  <c r="GO79" i="1"/>
  <c r="GP79" i="1"/>
  <c r="HB79" i="1"/>
  <c r="HC79" i="1"/>
  <c r="HD79" i="1"/>
  <c r="HE79" i="1"/>
  <c r="HQ79" i="1"/>
  <c r="HR79" i="1"/>
  <c r="HS79" i="1"/>
  <c r="HT79" i="1"/>
  <c r="HX79" i="1"/>
  <c r="HY79" i="1"/>
  <c r="HZ79" i="1"/>
  <c r="IA79" i="1"/>
  <c r="IM79" i="1"/>
  <c r="IN79" i="1"/>
  <c r="IO79" i="1"/>
  <c r="IP79" i="1"/>
  <c r="IT99" i="1"/>
  <c r="IU99" i="1"/>
  <c r="IV99" i="1"/>
  <c r="IW99" i="1"/>
  <c r="NG79" i="1"/>
  <c r="NH79" i="1"/>
  <c r="NI79" i="1"/>
  <c r="NJ79" i="1"/>
  <c r="NV79" i="1"/>
  <c r="NW79" i="1"/>
  <c r="NX79" i="1"/>
  <c r="NY79" i="1"/>
  <c r="P80" i="1"/>
  <c r="Q80" i="1"/>
  <c r="EU80" i="1"/>
  <c r="EV80" i="1"/>
  <c r="FI80" i="1"/>
  <c r="FJ80" i="1"/>
  <c r="FK80" i="1"/>
  <c r="FL80" i="1"/>
  <c r="FP80" i="1"/>
  <c r="FQ80" i="1"/>
  <c r="FR80" i="1"/>
  <c r="FS80" i="1"/>
  <c r="GF80" i="1"/>
  <c r="GG80" i="1"/>
  <c r="GH80" i="1"/>
  <c r="GI80" i="1"/>
  <c r="GM80" i="1"/>
  <c r="GN80" i="1"/>
  <c r="GO80" i="1"/>
  <c r="GP80" i="1"/>
  <c r="HB80" i="1"/>
  <c r="HC80" i="1"/>
  <c r="HD80" i="1"/>
  <c r="HE80" i="1"/>
  <c r="HQ80" i="1"/>
  <c r="HR80" i="1"/>
  <c r="HS80" i="1"/>
  <c r="HT80" i="1"/>
  <c r="HX80" i="1"/>
  <c r="HY80" i="1"/>
  <c r="HZ80" i="1"/>
  <c r="IA80" i="1"/>
  <c r="IM80" i="1"/>
  <c r="IN80" i="1"/>
  <c r="IO80" i="1"/>
  <c r="IP80" i="1"/>
  <c r="IT100" i="1"/>
  <c r="IU100" i="1"/>
  <c r="IV100" i="1"/>
  <c r="IW100" i="1"/>
  <c r="NG80" i="1"/>
  <c r="NH80" i="1"/>
  <c r="NI80" i="1"/>
  <c r="NJ80" i="1"/>
  <c r="NV80" i="1"/>
  <c r="NW80" i="1"/>
  <c r="NX80" i="1"/>
  <c r="NY80" i="1"/>
  <c r="P81" i="1"/>
  <c r="Q81" i="1"/>
  <c r="EU81" i="1"/>
  <c r="EV81" i="1"/>
  <c r="FI81" i="1"/>
  <c r="FJ81" i="1"/>
  <c r="FK81" i="1"/>
  <c r="FL81" i="1"/>
  <c r="FP81" i="1"/>
  <c r="FQ81" i="1"/>
  <c r="FR81" i="1"/>
  <c r="FS81" i="1"/>
  <c r="GF81" i="1"/>
  <c r="GG81" i="1"/>
  <c r="GH81" i="1"/>
  <c r="GI81" i="1"/>
  <c r="GM81" i="1"/>
  <c r="GN81" i="1"/>
  <c r="GO81" i="1"/>
  <c r="GP81" i="1"/>
  <c r="HB81" i="1"/>
  <c r="HC81" i="1"/>
  <c r="HD81" i="1"/>
  <c r="HE81" i="1"/>
  <c r="HQ81" i="1"/>
  <c r="HR81" i="1"/>
  <c r="HS81" i="1"/>
  <c r="HT81" i="1"/>
  <c r="HX81" i="1"/>
  <c r="HY81" i="1"/>
  <c r="HZ81" i="1"/>
  <c r="IA81" i="1"/>
  <c r="IM81" i="1"/>
  <c r="IN81" i="1"/>
  <c r="IO81" i="1"/>
  <c r="IP81" i="1"/>
  <c r="IT101" i="1"/>
  <c r="IU101" i="1"/>
  <c r="IV101" i="1"/>
  <c r="IW101" i="1"/>
  <c r="NG81" i="1"/>
  <c r="NH81" i="1"/>
  <c r="NI81" i="1"/>
  <c r="NJ81" i="1"/>
  <c r="NV81" i="1"/>
  <c r="NW81" i="1"/>
  <c r="NX81" i="1"/>
  <c r="NY81" i="1"/>
  <c r="P82" i="1"/>
  <c r="Q82" i="1"/>
  <c r="EU82" i="1"/>
  <c r="EV82" i="1"/>
  <c r="FI82" i="1"/>
  <c r="FJ82" i="1"/>
  <c r="FK82" i="1"/>
  <c r="FL82" i="1"/>
  <c r="FP82" i="1"/>
  <c r="FQ82" i="1"/>
  <c r="FR82" i="1"/>
  <c r="FS82" i="1"/>
  <c r="GF82" i="1"/>
  <c r="GG82" i="1"/>
  <c r="GH82" i="1"/>
  <c r="GI82" i="1"/>
  <c r="GM82" i="1"/>
  <c r="GN82" i="1"/>
  <c r="GO82" i="1"/>
  <c r="GP82" i="1"/>
  <c r="HB82" i="1"/>
  <c r="HC82" i="1"/>
  <c r="HD82" i="1"/>
  <c r="HE82" i="1"/>
  <c r="HQ82" i="1"/>
  <c r="HR82" i="1"/>
  <c r="HS82" i="1"/>
  <c r="HT82" i="1"/>
  <c r="HX82" i="1"/>
  <c r="HY82" i="1"/>
  <c r="HZ82" i="1"/>
  <c r="IA82" i="1"/>
  <c r="IM82" i="1"/>
  <c r="IN82" i="1"/>
  <c r="IO82" i="1"/>
  <c r="IP82" i="1"/>
  <c r="IT102" i="1"/>
  <c r="IU102" i="1"/>
  <c r="IV102" i="1"/>
  <c r="IW102" i="1"/>
  <c r="NG82" i="1"/>
  <c r="NH82" i="1"/>
  <c r="NI82" i="1"/>
  <c r="NJ82" i="1"/>
  <c r="NV82" i="1"/>
  <c r="NW82" i="1"/>
  <c r="NX82" i="1"/>
  <c r="NY82" i="1"/>
  <c r="P83" i="1"/>
  <c r="Q83" i="1"/>
  <c r="EU83" i="1"/>
  <c r="EV83" i="1"/>
  <c r="FI83" i="1"/>
  <c r="FJ83" i="1"/>
  <c r="FK83" i="1"/>
  <c r="FL83" i="1"/>
  <c r="FP83" i="1"/>
  <c r="FQ83" i="1"/>
  <c r="FR83" i="1"/>
  <c r="FS83" i="1"/>
  <c r="GF83" i="1"/>
  <c r="GG83" i="1"/>
  <c r="GH83" i="1"/>
  <c r="GI83" i="1"/>
  <c r="GM83" i="1"/>
  <c r="GN83" i="1"/>
  <c r="GO83" i="1"/>
  <c r="GP83" i="1"/>
  <c r="HB83" i="1"/>
  <c r="HC83" i="1"/>
  <c r="HD83" i="1"/>
  <c r="HE83" i="1"/>
  <c r="HQ83" i="1"/>
  <c r="HR83" i="1"/>
  <c r="HS83" i="1"/>
  <c r="HT83" i="1"/>
  <c r="HX83" i="1"/>
  <c r="HY83" i="1"/>
  <c r="HZ83" i="1"/>
  <c r="IA83" i="1"/>
  <c r="IM83" i="1"/>
  <c r="IN83" i="1"/>
  <c r="IO83" i="1"/>
  <c r="IP83" i="1"/>
  <c r="IT103" i="1"/>
  <c r="IU103" i="1"/>
  <c r="IV103" i="1"/>
  <c r="IW103" i="1"/>
  <c r="P84" i="1"/>
  <c r="Q84" i="1"/>
  <c r="EU84" i="1"/>
  <c r="EV84" i="1"/>
  <c r="FI84" i="1"/>
  <c r="FJ84" i="1"/>
  <c r="FK84" i="1"/>
  <c r="FL84" i="1"/>
  <c r="FP84" i="1"/>
  <c r="FQ84" i="1"/>
  <c r="FR84" i="1"/>
  <c r="FS84" i="1"/>
  <c r="GF84" i="1"/>
  <c r="GG84" i="1"/>
  <c r="GH84" i="1"/>
  <c r="GI84" i="1"/>
  <c r="GM84" i="1"/>
  <c r="GN84" i="1"/>
  <c r="GO84" i="1"/>
  <c r="GP84" i="1"/>
  <c r="HB84" i="1"/>
  <c r="HC84" i="1"/>
  <c r="HD84" i="1"/>
  <c r="HE84" i="1"/>
  <c r="HQ84" i="1"/>
  <c r="HR84" i="1"/>
  <c r="HS84" i="1"/>
  <c r="HT84" i="1"/>
  <c r="HX84" i="1"/>
  <c r="HY84" i="1"/>
  <c r="HZ84" i="1"/>
  <c r="IA84" i="1"/>
  <c r="IM84" i="1"/>
  <c r="IN84" i="1"/>
  <c r="IO84" i="1"/>
  <c r="IP84" i="1"/>
  <c r="IT104" i="1"/>
  <c r="IU104" i="1"/>
  <c r="IV104" i="1"/>
  <c r="IW104" i="1"/>
  <c r="P85" i="1"/>
  <c r="Q85" i="1"/>
  <c r="EU85" i="1"/>
  <c r="EV85" i="1"/>
  <c r="FI85" i="1"/>
  <c r="FJ85" i="1"/>
  <c r="FK85" i="1"/>
  <c r="FL85" i="1"/>
  <c r="FP85" i="1"/>
  <c r="FQ85" i="1"/>
  <c r="FR85" i="1"/>
  <c r="FS85" i="1"/>
  <c r="GF85" i="1"/>
  <c r="GG85" i="1"/>
  <c r="GH85" i="1"/>
  <c r="GI85" i="1"/>
  <c r="GM85" i="1"/>
  <c r="GN85" i="1"/>
  <c r="GO85" i="1"/>
  <c r="GP85" i="1"/>
  <c r="HB85" i="1"/>
  <c r="HC85" i="1"/>
  <c r="HD85" i="1"/>
  <c r="HE85" i="1"/>
  <c r="HQ85" i="1"/>
  <c r="HR85" i="1"/>
  <c r="HS85" i="1"/>
  <c r="HT85" i="1"/>
  <c r="HX85" i="1"/>
  <c r="HY85" i="1"/>
  <c r="HZ85" i="1"/>
  <c r="IA85" i="1"/>
  <c r="IM85" i="1"/>
  <c r="IN85" i="1"/>
  <c r="IO85" i="1"/>
  <c r="IP85" i="1"/>
  <c r="IT105" i="1"/>
  <c r="IU105" i="1"/>
  <c r="IV105" i="1"/>
  <c r="IW105" i="1"/>
  <c r="P86" i="1"/>
  <c r="Q86" i="1"/>
  <c r="EU86" i="1"/>
  <c r="EV86" i="1"/>
  <c r="FI86" i="1"/>
  <c r="FJ86" i="1"/>
  <c r="FK86" i="1"/>
  <c r="FL86" i="1"/>
  <c r="FP86" i="1"/>
  <c r="FQ86" i="1"/>
  <c r="FR86" i="1"/>
  <c r="FS86" i="1"/>
  <c r="GF86" i="1"/>
  <c r="GG86" i="1"/>
  <c r="GH86" i="1"/>
  <c r="GI86" i="1"/>
  <c r="GM86" i="1"/>
  <c r="GN86" i="1"/>
  <c r="GO86" i="1"/>
  <c r="GP86" i="1"/>
  <c r="HB86" i="1"/>
  <c r="HC86" i="1"/>
  <c r="HD86" i="1"/>
  <c r="HE86" i="1"/>
  <c r="HQ86" i="1"/>
  <c r="HR86" i="1"/>
  <c r="HS86" i="1"/>
  <c r="HT86" i="1"/>
  <c r="HX86" i="1"/>
  <c r="HY86" i="1"/>
  <c r="HZ86" i="1"/>
  <c r="IA86" i="1"/>
  <c r="IM86" i="1"/>
  <c r="IN86" i="1"/>
  <c r="IO86" i="1"/>
  <c r="IP86" i="1"/>
  <c r="IT106" i="1"/>
  <c r="IU106" i="1"/>
  <c r="IV106" i="1"/>
  <c r="IW106" i="1"/>
  <c r="P87" i="1"/>
  <c r="Q87" i="1"/>
  <c r="EU87" i="1"/>
  <c r="EV87" i="1"/>
  <c r="FI87" i="1"/>
  <c r="FJ87" i="1"/>
  <c r="FK87" i="1"/>
  <c r="FL87" i="1"/>
  <c r="FP87" i="1"/>
  <c r="FQ87" i="1"/>
  <c r="FR87" i="1"/>
  <c r="FS87" i="1"/>
  <c r="GF87" i="1"/>
  <c r="GG87" i="1"/>
  <c r="GH87" i="1"/>
  <c r="GI87" i="1"/>
  <c r="GM87" i="1"/>
  <c r="GN87" i="1"/>
  <c r="GO87" i="1"/>
  <c r="GP87" i="1"/>
  <c r="HB87" i="1"/>
  <c r="HC87" i="1"/>
  <c r="HD87" i="1"/>
  <c r="HE87" i="1"/>
  <c r="HQ87" i="1"/>
  <c r="HR87" i="1"/>
  <c r="HS87" i="1"/>
  <c r="HT87" i="1"/>
  <c r="HX87" i="1"/>
  <c r="HY87" i="1"/>
  <c r="HZ87" i="1"/>
  <c r="IA87" i="1"/>
  <c r="IM87" i="1"/>
  <c r="IN87" i="1"/>
  <c r="IO87" i="1"/>
  <c r="IP87" i="1"/>
  <c r="IT107" i="1"/>
  <c r="IU107" i="1"/>
  <c r="IV107" i="1"/>
  <c r="IW107" i="1"/>
  <c r="P88" i="1"/>
  <c r="Q88" i="1"/>
  <c r="EU88" i="1"/>
  <c r="EV88" i="1"/>
  <c r="FI88" i="1"/>
  <c r="FJ88" i="1"/>
  <c r="FK88" i="1"/>
  <c r="FL88" i="1"/>
  <c r="FP88" i="1"/>
  <c r="FQ88" i="1"/>
  <c r="FR88" i="1"/>
  <c r="FS88" i="1"/>
  <c r="GF88" i="1"/>
  <c r="GG88" i="1"/>
  <c r="GH88" i="1"/>
  <c r="GI88" i="1"/>
  <c r="GM88" i="1"/>
  <c r="GN88" i="1"/>
  <c r="GO88" i="1"/>
  <c r="GP88" i="1"/>
  <c r="HB88" i="1"/>
  <c r="HC88" i="1"/>
  <c r="HD88" i="1"/>
  <c r="HE88" i="1"/>
  <c r="HQ88" i="1"/>
  <c r="HR88" i="1"/>
  <c r="HS88" i="1"/>
  <c r="HT88" i="1"/>
  <c r="HX88" i="1"/>
  <c r="HY88" i="1"/>
  <c r="HZ88" i="1"/>
  <c r="IA88" i="1"/>
  <c r="IM88" i="1"/>
  <c r="IN88" i="1"/>
  <c r="IO88" i="1"/>
  <c r="IP88" i="1"/>
  <c r="IT108" i="1"/>
  <c r="IU108" i="1"/>
  <c r="IV108" i="1"/>
  <c r="IW108" i="1"/>
  <c r="P89" i="1"/>
  <c r="Q89" i="1"/>
  <c r="EU89" i="1"/>
  <c r="EV89" i="1"/>
  <c r="FI89" i="1"/>
  <c r="FJ89" i="1"/>
  <c r="FK89" i="1"/>
  <c r="FL89" i="1"/>
  <c r="FP89" i="1"/>
  <c r="FQ89" i="1"/>
  <c r="FR89" i="1"/>
  <c r="FS89" i="1"/>
  <c r="GF89" i="1"/>
  <c r="GG89" i="1"/>
  <c r="GH89" i="1"/>
  <c r="GI89" i="1"/>
  <c r="GM89" i="1"/>
  <c r="GN89" i="1"/>
  <c r="GO89" i="1"/>
  <c r="GP89" i="1"/>
  <c r="HB89" i="1"/>
  <c r="HC89" i="1"/>
  <c r="HD89" i="1"/>
  <c r="HE89" i="1"/>
  <c r="HQ89" i="1"/>
  <c r="HR89" i="1"/>
  <c r="HS89" i="1"/>
  <c r="HT89" i="1"/>
  <c r="HX89" i="1"/>
  <c r="HY89" i="1"/>
  <c r="HZ89" i="1"/>
  <c r="IA89" i="1"/>
  <c r="IM89" i="1"/>
  <c r="IN89" i="1"/>
  <c r="IO89" i="1"/>
  <c r="IP89" i="1"/>
  <c r="IT109" i="1"/>
  <c r="IU109" i="1"/>
  <c r="IV109" i="1"/>
  <c r="IW109" i="1"/>
  <c r="P90" i="1"/>
  <c r="Q90" i="1"/>
  <c r="EU90" i="1"/>
  <c r="EV90" i="1"/>
  <c r="FI90" i="1"/>
  <c r="FJ90" i="1"/>
  <c r="FK90" i="1"/>
  <c r="FL90" i="1"/>
  <c r="FP90" i="1"/>
  <c r="FQ90" i="1"/>
  <c r="FR90" i="1"/>
  <c r="FS90" i="1"/>
  <c r="GF90" i="1"/>
  <c r="GG90" i="1"/>
  <c r="GH90" i="1"/>
  <c r="GI90" i="1"/>
  <c r="GM90" i="1"/>
  <c r="GN90" i="1"/>
  <c r="GO90" i="1"/>
  <c r="GP90" i="1"/>
  <c r="HB90" i="1"/>
  <c r="HC90" i="1"/>
  <c r="HD90" i="1"/>
  <c r="HE90" i="1"/>
  <c r="HQ90" i="1"/>
  <c r="HR90" i="1"/>
  <c r="HS90" i="1"/>
  <c r="HT90" i="1"/>
  <c r="HX90" i="1"/>
  <c r="HY90" i="1"/>
  <c r="HZ90" i="1"/>
  <c r="IA90" i="1"/>
  <c r="IM90" i="1"/>
  <c r="IN90" i="1"/>
  <c r="IO90" i="1"/>
  <c r="IP90" i="1"/>
  <c r="IT110" i="1"/>
  <c r="IU110" i="1"/>
  <c r="IV110" i="1"/>
  <c r="IW110" i="1"/>
  <c r="P91" i="1"/>
  <c r="Q91" i="1"/>
  <c r="EU91" i="1"/>
  <c r="EV91" i="1"/>
  <c r="FI91" i="1"/>
  <c r="FJ91" i="1"/>
  <c r="FK91" i="1"/>
  <c r="FL91" i="1"/>
  <c r="FP91" i="1"/>
  <c r="FQ91" i="1"/>
  <c r="FR91" i="1"/>
  <c r="FS91" i="1"/>
  <c r="GF91" i="1"/>
  <c r="GG91" i="1"/>
  <c r="GH91" i="1"/>
  <c r="GI91" i="1"/>
  <c r="GM91" i="1"/>
  <c r="GN91" i="1"/>
  <c r="GO91" i="1"/>
  <c r="GP91" i="1"/>
  <c r="HB91" i="1"/>
  <c r="HC91" i="1"/>
  <c r="HD91" i="1"/>
  <c r="HE91" i="1"/>
  <c r="HQ91" i="1"/>
  <c r="HR91" i="1"/>
  <c r="HS91" i="1"/>
  <c r="HT91" i="1"/>
  <c r="HX91" i="1"/>
  <c r="HY91" i="1"/>
  <c r="HZ91" i="1"/>
  <c r="IA91" i="1"/>
  <c r="IM91" i="1"/>
  <c r="IN91" i="1"/>
  <c r="IO91" i="1"/>
  <c r="IP91" i="1"/>
  <c r="IT111" i="1"/>
  <c r="IU111" i="1"/>
  <c r="IV111" i="1"/>
  <c r="IW111" i="1"/>
  <c r="P92" i="1"/>
  <c r="Q92" i="1"/>
  <c r="EU92" i="1"/>
  <c r="EV92" i="1"/>
  <c r="FI92" i="1"/>
  <c r="FJ92" i="1"/>
  <c r="FK92" i="1"/>
  <c r="FL92" i="1"/>
  <c r="FP92" i="1"/>
  <c r="FQ92" i="1"/>
  <c r="FR92" i="1"/>
  <c r="FS92" i="1"/>
  <c r="GF92" i="1"/>
  <c r="GG92" i="1"/>
  <c r="GH92" i="1"/>
  <c r="GI92" i="1"/>
  <c r="GM92" i="1"/>
  <c r="GN92" i="1"/>
  <c r="GO92" i="1"/>
  <c r="GP92" i="1"/>
  <c r="HB92" i="1"/>
  <c r="HC92" i="1"/>
  <c r="HD92" i="1"/>
  <c r="HE92" i="1"/>
  <c r="HQ92" i="1"/>
  <c r="HR92" i="1"/>
  <c r="HS92" i="1"/>
  <c r="HT92" i="1"/>
  <c r="HX92" i="1"/>
  <c r="HY92" i="1"/>
  <c r="HZ92" i="1"/>
  <c r="IA92" i="1"/>
  <c r="IM92" i="1"/>
  <c r="IN92" i="1"/>
  <c r="IO92" i="1"/>
  <c r="IP92" i="1"/>
  <c r="IT112" i="1"/>
  <c r="IU112" i="1"/>
  <c r="IV112" i="1"/>
  <c r="IW112" i="1"/>
  <c r="P93" i="1"/>
  <c r="Q93" i="1"/>
  <c r="EU93" i="1"/>
  <c r="EV93" i="1"/>
  <c r="FI93" i="1"/>
  <c r="FJ93" i="1"/>
  <c r="FK93" i="1"/>
  <c r="FL93" i="1"/>
  <c r="FP93" i="1"/>
  <c r="FQ93" i="1"/>
  <c r="FR93" i="1"/>
  <c r="FS93" i="1"/>
  <c r="GF93" i="1"/>
  <c r="GG93" i="1"/>
  <c r="GH93" i="1"/>
  <c r="GI93" i="1"/>
  <c r="GM93" i="1"/>
  <c r="GN93" i="1"/>
  <c r="GO93" i="1"/>
  <c r="GP93" i="1"/>
  <c r="HB93" i="1"/>
  <c r="HC93" i="1"/>
  <c r="HD93" i="1"/>
  <c r="HE93" i="1"/>
  <c r="HQ93" i="1"/>
  <c r="HR93" i="1"/>
  <c r="HS93" i="1"/>
  <c r="HT93" i="1"/>
  <c r="HX93" i="1"/>
  <c r="HY93" i="1"/>
  <c r="HZ93" i="1"/>
  <c r="IA93" i="1"/>
  <c r="IM93" i="1"/>
  <c r="IN93" i="1"/>
  <c r="IO93" i="1"/>
  <c r="IP93" i="1"/>
  <c r="IT113" i="1"/>
  <c r="IU113" i="1"/>
  <c r="IV113" i="1"/>
  <c r="IW113" i="1"/>
  <c r="P94" i="1"/>
  <c r="Q94" i="1"/>
  <c r="EU94" i="1"/>
  <c r="EV94" i="1"/>
  <c r="FI94" i="1"/>
  <c r="FJ94" i="1"/>
  <c r="FK94" i="1"/>
  <c r="FL94" i="1"/>
  <c r="FP94" i="1"/>
  <c r="FQ94" i="1"/>
  <c r="FR94" i="1"/>
  <c r="FS94" i="1"/>
  <c r="GF94" i="1"/>
  <c r="GG94" i="1"/>
  <c r="GH94" i="1"/>
  <c r="GI94" i="1"/>
  <c r="GM94" i="1"/>
  <c r="GN94" i="1"/>
  <c r="GO94" i="1"/>
  <c r="GP94" i="1"/>
  <c r="HB94" i="1"/>
  <c r="HC94" i="1"/>
  <c r="HD94" i="1"/>
  <c r="HE94" i="1"/>
  <c r="HQ94" i="1"/>
  <c r="HR94" i="1"/>
  <c r="HS94" i="1"/>
  <c r="HT94" i="1"/>
  <c r="HX94" i="1"/>
  <c r="HY94" i="1"/>
  <c r="HZ94" i="1"/>
  <c r="IA94" i="1"/>
  <c r="IM94" i="1"/>
  <c r="IN94" i="1"/>
  <c r="IO94" i="1"/>
  <c r="IP94" i="1"/>
  <c r="IT114" i="1"/>
  <c r="IU114" i="1"/>
  <c r="IV114" i="1"/>
  <c r="IW114" i="1"/>
  <c r="P95" i="1"/>
  <c r="Q95" i="1"/>
  <c r="EU95" i="1"/>
  <c r="EV95" i="1"/>
  <c r="FI95" i="1"/>
  <c r="FJ95" i="1"/>
  <c r="FK95" i="1"/>
  <c r="FL95" i="1"/>
  <c r="FP95" i="1"/>
  <c r="FQ95" i="1"/>
  <c r="FR95" i="1"/>
  <c r="FS95" i="1"/>
  <c r="GF95" i="1"/>
  <c r="GG95" i="1"/>
  <c r="GH95" i="1"/>
  <c r="GI95" i="1"/>
  <c r="GM95" i="1"/>
  <c r="GN95" i="1"/>
  <c r="GO95" i="1"/>
  <c r="GP95" i="1"/>
  <c r="HB95" i="1"/>
  <c r="HC95" i="1"/>
  <c r="HD95" i="1"/>
  <c r="HE95" i="1"/>
  <c r="HQ95" i="1"/>
  <c r="HR95" i="1"/>
  <c r="HS95" i="1"/>
  <c r="HT95" i="1"/>
  <c r="HX95" i="1"/>
  <c r="HY95" i="1"/>
  <c r="HZ95" i="1"/>
  <c r="IA95" i="1"/>
  <c r="IM95" i="1"/>
  <c r="IN95" i="1"/>
  <c r="IO95" i="1"/>
  <c r="IP95" i="1"/>
  <c r="IT115" i="1"/>
  <c r="IU115" i="1"/>
  <c r="IV115" i="1"/>
  <c r="IW115" i="1"/>
  <c r="P96" i="1"/>
  <c r="Q96" i="1"/>
  <c r="EU96" i="1"/>
  <c r="EV96" i="1"/>
  <c r="FI96" i="1"/>
  <c r="FJ96" i="1"/>
  <c r="FK96" i="1"/>
  <c r="FL96" i="1"/>
  <c r="FP96" i="1"/>
  <c r="FQ96" i="1"/>
  <c r="FR96" i="1"/>
  <c r="FS96" i="1"/>
  <c r="GF96" i="1"/>
  <c r="GG96" i="1"/>
  <c r="GH96" i="1"/>
  <c r="GI96" i="1"/>
  <c r="GM96" i="1"/>
  <c r="GN96" i="1"/>
  <c r="GO96" i="1"/>
  <c r="GP96" i="1"/>
  <c r="HB96" i="1"/>
  <c r="HC96" i="1"/>
  <c r="HD96" i="1"/>
  <c r="HE96" i="1"/>
  <c r="HQ96" i="1"/>
  <c r="HR96" i="1"/>
  <c r="HS96" i="1"/>
  <c r="HT96" i="1"/>
  <c r="HX96" i="1"/>
  <c r="HY96" i="1"/>
  <c r="HZ96" i="1"/>
  <c r="IA96" i="1"/>
  <c r="IM96" i="1"/>
  <c r="IN96" i="1"/>
  <c r="IO96" i="1"/>
  <c r="IP96" i="1"/>
  <c r="IT116" i="1"/>
  <c r="IU116" i="1"/>
  <c r="IV116" i="1"/>
  <c r="IW116" i="1"/>
  <c r="P97" i="1"/>
  <c r="Q97" i="1"/>
  <c r="EU97" i="1"/>
  <c r="EV97" i="1"/>
  <c r="FI97" i="1"/>
  <c r="FJ97" i="1"/>
  <c r="FK97" i="1"/>
  <c r="FL97" i="1"/>
  <c r="FP97" i="1"/>
  <c r="FQ97" i="1"/>
  <c r="FR97" i="1"/>
  <c r="FS97" i="1"/>
  <c r="GF97" i="1"/>
  <c r="GG97" i="1"/>
  <c r="GH97" i="1"/>
  <c r="GI97" i="1"/>
  <c r="GM97" i="1"/>
  <c r="GN97" i="1"/>
  <c r="GO97" i="1"/>
  <c r="GP97" i="1"/>
  <c r="HB97" i="1"/>
  <c r="HC97" i="1"/>
  <c r="HD97" i="1"/>
  <c r="HE97" i="1"/>
  <c r="HQ97" i="1"/>
  <c r="HR97" i="1"/>
  <c r="HS97" i="1"/>
  <c r="HT97" i="1"/>
  <c r="HX97" i="1"/>
  <c r="HY97" i="1"/>
  <c r="HZ97" i="1"/>
  <c r="IA97" i="1"/>
  <c r="IM97" i="1"/>
  <c r="IN97" i="1"/>
  <c r="IO97" i="1"/>
  <c r="IP97" i="1"/>
  <c r="IT117" i="1"/>
  <c r="IU117" i="1"/>
  <c r="IV117" i="1"/>
  <c r="IW117" i="1"/>
  <c r="P98" i="1"/>
  <c r="Q98" i="1"/>
  <c r="EU98" i="1"/>
  <c r="EV98" i="1"/>
  <c r="FI98" i="1"/>
  <c r="FJ98" i="1"/>
  <c r="FK98" i="1"/>
  <c r="FL98" i="1"/>
  <c r="FP98" i="1"/>
  <c r="FQ98" i="1"/>
  <c r="FR98" i="1"/>
  <c r="FS98" i="1"/>
  <c r="GF98" i="1"/>
  <c r="GG98" i="1"/>
  <c r="GH98" i="1"/>
  <c r="GI98" i="1"/>
  <c r="GM98" i="1"/>
  <c r="GN98" i="1"/>
  <c r="GO98" i="1"/>
  <c r="GP98" i="1"/>
  <c r="HB98" i="1"/>
  <c r="HC98" i="1"/>
  <c r="HD98" i="1"/>
  <c r="HE98" i="1"/>
  <c r="HQ98" i="1"/>
  <c r="HR98" i="1"/>
  <c r="HS98" i="1"/>
  <c r="HT98" i="1"/>
  <c r="HX98" i="1"/>
  <c r="HY98" i="1"/>
  <c r="HZ98" i="1"/>
  <c r="IA98" i="1"/>
  <c r="IM98" i="1"/>
  <c r="IN98" i="1"/>
  <c r="IO98" i="1"/>
  <c r="IP98" i="1"/>
  <c r="IT118" i="1"/>
  <c r="IU118" i="1"/>
  <c r="IV118" i="1"/>
  <c r="IW118" i="1"/>
  <c r="P99" i="1"/>
  <c r="Q99" i="1"/>
  <c r="FP99" i="1"/>
  <c r="FQ99" i="1"/>
  <c r="FR99" i="1"/>
  <c r="FS99" i="1"/>
  <c r="GM99" i="1"/>
  <c r="GN99" i="1"/>
  <c r="GO99" i="1"/>
  <c r="GP99" i="1"/>
  <c r="HQ99" i="1"/>
  <c r="HR99" i="1"/>
  <c r="HS99" i="1"/>
  <c r="HT99" i="1"/>
  <c r="HX99" i="1"/>
  <c r="HY99" i="1"/>
  <c r="HZ99" i="1"/>
  <c r="IA99" i="1"/>
  <c r="IM99" i="1"/>
  <c r="IN99" i="1"/>
  <c r="IO99" i="1"/>
  <c r="IP99" i="1"/>
  <c r="IT119" i="1"/>
  <c r="IU119" i="1"/>
  <c r="IV119" i="1"/>
  <c r="IW119" i="1"/>
  <c r="P100" i="1"/>
  <c r="Q100" i="1"/>
  <c r="FP100" i="1"/>
  <c r="FQ100" i="1"/>
  <c r="FR100" i="1"/>
  <c r="FS100" i="1"/>
  <c r="GM100" i="1"/>
  <c r="GN100" i="1"/>
  <c r="GO100" i="1"/>
  <c r="GP100" i="1"/>
  <c r="HX100" i="1"/>
  <c r="HY100" i="1"/>
  <c r="HZ100" i="1"/>
  <c r="IA100" i="1"/>
  <c r="IM100" i="1"/>
  <c r="IN100" i="1"/>
  <c r="IO100" i="1"/>
  <c r="IP100" i="1"/>
  <c r="IT120" i="1"/>
  <c r="IU120" i="1"/>
  <c r="IV120" i="1"/>
  <c r="IW120" i="1"/>
  <c r="P101" i="1"/>
  <c r="Q101" i="1"/>
  <c r="AP101" i="1"/>
  <c r="AQ101" i="1"/>
  <c r="AR101" i="1"/>
  <c r="AS101" i="1"/>
  <c r="FP101" i="1"/>
  <c r="FQ101" i="1"/>
  <c r="FR101" i="1"/>
  <c r="FS101" i="1"/>
  <c r="GM101" i="1"/>
  <c r="GN101" i="1"/>
  <c r="GO101" i="1"/>
  <c r="GP101" i="1"/>
  <c r="HX101" i="1"/>
  <c r="HY101" i="1"/>
  <c r="HZ101" i="1"/>
  <c r="IA101" i="1"/>
  <c r="IM101" i="1"/>
  <c r="IN101" i="1"/>
  <c r="IO101" i="1"/>
  <c r="IP101" i="1"/>
  <c r="IT121" i="1"/>
  <c r="IU121" i="1"/>
  <c r="IV121" i="1"/>
  <c r="IW121" i="1"/>
  <c r="P102" i="1"/>
  <c r="Q102" i="1"/>
  <c r="IM102" i="1"/>
  <c r="IN102" i="1"/>
  <c r="IO102" i="1"/>
  <c r="IP102" i="1"/>
  <c r="IT122" i="1"/>
  <c r="IU122" i="1"/>
  <c r="IV122" i="1"/>
  <c r="IW122" i="1"/>
  <c r="P103" i="1"/>
  <c r="Q103" i="1"/>
  <c r="IM103" i="1"/>
  <c r="IN103" i="1"/>
  <c r="IO103" i="1"/>
  <c r="IP103" i="1"/>
  <c r="IT123" i="1"/>
  <c r="IU123" i="1"/>
  <c r="IV123" i="1"/>
  <c r="IW123" i="1"/>
  <c r="P104" i="1"/>
  <c r="Q104" i="1"/>
  <c r="IM104" i="1"/>
  <c r="IN104" i="1"/>
  <c r="IO104" i="1"/>
  <c r="IP104" i="1"/>
  <c r="IT124" i="1"/>
  <c r="IU124" i="1"/>
  <c r="IV124" i="1"/>
  <c r="IW124" i="1"/>
  <c r="P105" i="1"/>
  <c r="Q105" i="1"/>
  <c r="IM105" i="1"/>
  <c r="IN105" i="1"/>
  <c r="IO105" i="1"/>
  <c r="IP105" i="1"/>
  <c r="IT125" i="1"/>
  <c r="IU125" i="1"/>
  <c r="IV125" i="1"/>
  <c r="IW125" i="1"/>
  <c r="P106" i="1"/>
  <c r="Q106" i="1"/>
  <c r="IM106" i="1"/>
  <c r="IN106" i="1"/>
  <c r="IO106" i="1"/>
  <c r="IP106" i="1"/>
  <c r="IT126" i="1"/>
  <c r="IU126" i="1"/>
  <c r="IV126" i="1"/>
  <c r="IW126" i="1"/>
  <c r="P107" i="1"/>
  <c r="Q107" i="1"/>
  <c r="IM107" i="1"/>
  <c r="IN107" i="1"/>
  <c r="IO107" i="1"/>
  <c r="IP107" i="1"/>
  <c r="IT127" i="1"/>
  <c r="IU127" i="1"/>
  <c r="IV127" i="1"/>
  <c r="IW127" i="1"/>
  <c r="P108" i="1"/>
  <c r="Q108" i="1"/>
  <c r="IM108" i="1"/>
  <c r="IN108" i="1"/>
  <c r="IO108" i="1"/>
  <c r="IP108" i="1"/>
  <c r="IT128" i="1"/>
  <c r="IU128" i="1"/>
  <c r="IV128" i="1"/>
  <c r="IW128" i="1"/>
  <c r="P109" i="1"/>
  <c r="Q109" i="1"/>
  <c r="IM109" i="1"/>
  <c r="IN109" i="1"/>
  <c r="IO109" i="1"/>
  <c r="IP109" i="1"/>
  <c r="IT129" i="1"/>
  <c r="IU129" i="1"/>
  <c r="IV129" i="1"/>
  <c r="IW129" i="1"/>
  <c r="P110" i="1"/>
  <c r="Q110" i="1"/>
  <c r="IM110" i="1"/>
  <c r="IN110" i="1"/>
  <c r="IO110" i="1"/>
  <c r="IP110" i="1"/>
  <c r="IT130" i="1"/>
  <c r="IU130" i="1"/>
  <c r="IV130" i="1"/>
  <c r="IW130" i="1"/>
  <c r="P111" i="1"/>
  <c r="Q111" i="1"/>
  <c r="IM111" i="1"/>
  <c r="IN111" i="1"/>
  <c r="IO111" i="1"/>
  <c r="IP111" i="1"/>
  <c r="IT131" i="1"/>
  <c r="IU131" i="1"/>
  <c r="IV131" i="1"/>
  <c r="IW131" i="1"/>
  <c r="P112" i="1"/>
  <c r="Q112" i="1"/>
  <c r="IM112" i="1"/>
  <c r="IN112" i="1"/>
  <c r="IO112" i="1"/>
  <c r="IP112" i="1"/>
  <c r="IT132" i="1"/>
  <c r="IU132" i="1"/>
  <c r="IV132" i="1"/>
  <c r="IW132" i="1"/>
  <c r="P113" i="1"/>
  <c r="Q113" i="1"/>
  <c r="IM113" i="1"/>
  <c r="IN113" i="1"/>
  <c r="IO113" i="1"/>
  <c r="IP113" i="1"/>
  <c r="IT133" i="1"/>
  <c r="IU133" i="1"/>
  <c r="IV133" i="1"/>
  <c r="IW133" i="1"/>
  <c r="P114" i="1"/>
  <c r="Q114" i="1"/>
  <c r="IM114" i="1"/>
  <c r="IN114" i="1"/>
  <c r="IO114" i="1"/>
  <c r="IP114" i="1"/>
  <c r="IT134" i="1"/>
  <c r="IU134" i="1"/>
  <c r="IV134" i="1"/>
  <c r="IW134" i="1"/>
  <c r="P115" i="1"/>
  <c r="Q115" i="1"/>
  <c r="IM115" i="1"/>
  <c r="IN115" i="1"/>
  <c r="IO115" i="1"/>
  <c r="IP115" i="1"/>
  <c r="IT135" i="1"/>
  <c r="IU135" i="1"/>
  <c r="IV135" i="1"/>
  <c r="IW135" i="1"/>
  <c r="P116" i="1"/>
  <c r="Q116" i="1"/>
  <c r="IM116" i="1"/>
  <c r="IN116" i="1"/>
  <c r="IO116" i="1"/>
  <c r="IP116" i="1"/>
  <c r="IT136" i="1"/>
  <c r="IU136" i="1"/>
  <c r="IV136" i="1"/>
  <c r="IW136" i="1"/>
  <c r="P117" i="1"/>
  <c r="Q117" i="1"/>
  <c r="IM117" i="1"/>
  <c r="IN117" i="1"/>
  <c r="IO117" i="1"/>
  <c r="IP117" i="1"/>
  <c r="IT137" i="1"/>
  <c r="IU137" i="1"/>
  <c r="IV137" i="1"/>
  <c r="IW137" i="1"/>
  <c r="P118" i="1"/>
  <c r="Q118" i="1"/>
  <c r="IM118" i="1"/>
  <c r="IN118" i="1"/>
  <c r="IO118" i="1"/>
  <c r="IP118" i="1"/>
  <c r="IT138" i="1"/>
  <c r="IU138" i="1"/>
  <c r="IV138" i="1"/>
  <c r="IW138" i="1"/>
  <c r="P119" i="1"/>
  <c r="Q119" i="1"/>
  <c r="IM119" i="1"/>
  <c r="IN119" i="1"/>
  <c r="IO119" i="1"/>
  <c r="IP119" i="1"/>
  <c r="IT139" i="1"/>
  <c r="IU139" i="1"/>
  <c r="IV139" i="1"/>
  <c r="IW139" i="1"/>
  <c r="P120" i="1"/>
  <c r="Q120" i="1"/>
  <c r="IT140" i="1"/>
  <c r="IU140" i="1"/>
  <c r="IV140" i="1"/>
  <c r="IW140" i="1"/>
  <c r="P121" i="1"/>
  <c r="Q121" i="1"/>
  <c r="IT141" i="1"/>
  <c r="IU141" i="1"/>
  <c r="IV141" i="1"/>
  <c r="IW14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AZ5" i="1" l="1"/>
  <c r="G9" i="1"/>
  <c r="H9" i="1" s="1"/>
  <c r="G10" i="1" s="1"/>
  <c r="I19" i="1"/>
  <c r="AA13" i="3"/>
  <c r="AI54" i="3"/>
  <c r="AC12" i="3"/>
  <c r="AD12" i="3"/>
  <c r="AP56" i="3" s="1"/>
  <c r="AB12" i="3"/>
  <c r="BI52" i="3"/>
  <c r="BP54" i="3"/>
  <c r="AP55" i="3"/>
  <c r="BN54" i="3"/>
  <c r="BG52" i="3"/>
  <c r="BM54" i="3"/>
  <c r="H25" i="3"/>
  <c r="G26" i="3" s="1"/>
  <c r="DS11" i="3"/>
  <c r="AQ55" i="3"/>
  <c r="AJ53" i="3"/>
  <c r="CO8" i="3"/>
  <c r="CO7" i="3"/>
  <c r="CO6" i="3"/>
  <c r="CO5" i="3"/>
  <c r="CO9" i="3"/>
  <c r="CT47" i="3"/>
  <c r="I24" i="3"/>
  <c r="BH52" i="3"/>
  <c r="BO54" i="3"/>
  <c r="DD10" i="3"/>
  <c r="BF53" i="3"/>
  <c r="AZ11" i="3"/>
  <c r="AY11" i="3"/>
  <c r="AW12" i="3"/>
  <c r="AX11" i="3"/>
  <c r="H14" i="3"/>
  <c r="I14" i="3" s="1"/>
  <c r="AR55" i="3"/>
  <c r="AK53" i="3"/>
  <c r="AS55" i="3"/>
  <c r="AL53" i="3"/>
  <c r="CE47" i="3"/>
  <c r="BZ5" i="3"/>
  <c r="BZ6" i="3"/>
  <c r="BZ7" i="3"/>
  <c r="BZ8" i="3"/>
  <c r="CQ21" i="1"/>
  <c r="DU31" i="1"/>
  <c r="CQ23" i="1"/>
  <c r="DU26" i="1"/>
  <c r="DU22" i="1"/>
  <c r="CQ25" i="1"/>
  <c r="CL53" i="1"/>
  <c r="CM53" i="1" s="1"/>
  <c r="CU95" i="1" s="1"/>
  <c r="DU25" i="1"/>
  <c r="DU23" i="1"/>
  <c r="GZ13" i="1"/>
  <c r="CQ34" i="1"/>
  <c r="CQ28" i="1"/>
  <c r="DU36" i="1"/>
  <c r="DU34" i="1"/>
  <c r="DU29" i="1"/>
  <c r="DU30" i="1"/>
  <c r="G20" i="1"/>
  <c r="H20" i="1" s="1"/>
  <c r="G21" i="1" s="1"/>
  <c r="H21" i="1" s="1"/>
  <c r="G22" i="1" s="1"/>
  <c r="CQ29" i="1"/>
  <c r="DU27" i="1"/>
  <c r="CQ30" i="1"/>
  <c r="CQ26" i="1"/>
  <c r="DP49" i="1"/>
  <c r="DR49" i="1" s="1"/>
  <c r="CQ24" i="1"/>
  <c r="DP54" i="1"/>
  <c r="DS54" i="1" s="1"/>
  <c r="EH98" i="1" s="1"/>
  <c r="DP56" i="1"/>
  <c r="DS56" i="1" s="1"/>
  <c r="CL54" i="1"/>
  <c r="CM54" i="1" s="1"/>
  <c r="CU96" i="1" s="1"/>
  <c r="DU32" i="1"/>
  <c r="G47" i="1"/>
  <c r="H46" i="1" s="1"/>
  <c r="CL55" i="1"/>
  <c r="CN55" i="1" s="1"/>
  <c r="CV97" i="1" s="1"/>
  <c r="I49" i="1"/>
  <c r="CL56" i="1"/>
  <c r="CO56" i="1" s="1"/>
  <c r="CW98" i="1" s="1"/>
  <c r="CL45" i="1"/>
  <c r="CO45" i="1" s="1"/>
  <c r="CW87" i="1" s="1"/>
  <c r="DP57" i="1"/>
  <c r="DS57" i="1" s="1"/>
  <c r="CQ33" i="1"/>
  <c r="CL57" i="1"/>
  <c r="CM57" i="1" s="1"/>
  <c r="CU99" i="1" s="1"/>
  <c r="G54" i="1"/>
  <c r="S381" i="1" s="1" a="1"/>
  <c r="S381" i="1" s="1"/>
  <c r="U381" i="1" s="1"/>
  <c r="CQ31" i="1"/>
  <c r="CQ22" i="1"/>
  <c r="CL51" i="1"/>
  <c r="CN51" i="1" s="1"/>
  <c r="CV93" i="1" s="1"/>
  <c r="CQ35" i="1"/>
  <c r="DU28" i="1"/>
  <c r="LA14" i="1"/>
  <c r="LI18" i="1"/>
  <c r="DU35" i="1"/>
  <c r="DU33" i="1"/>
  <c r="DU24" i="1"/>
  <c r="CL42" i="1"/>
  <c r="CO42" i="1" s="1"/>
  <c r="CW84" i="1" s="1"/>
  <c r="DP55" i="1"/>
  <c r="DS55" i="1" s="1"/>
  <c r="DP47" i="1"/>
  <c r="DR47" i="1" s="1"/>
  <c r="IK15" i="1"/>
  <c r="CL49" i="1"/>
  <c r="CL48" i="1"/>
  <c r="CM48" i="1" s="1"/>
  <c r="CU90" i="1" s="1"/>
  <c r="HO14" i="1"/>
  <c r="KS16" i="1"/>
  <c r="CL44" i="1"/>
  <c r="CN44" i="1" s="1"/>
  <c r="CV86" i="1" s="1"/>
  <c r="CL34" i="1"/>
  <c r="CL50" i="1"/>
  <c r="CM50" i="1" s="1"/>
  <c r="CU92" i="1" s="1"/>
  <c r="CL47" i="1"/>
  <c r="KC12" i="1"/>
  <c r="CL36" i="1"/>
  <c r="CM36" i="1" s="1"/>
  <c r="CU78" i="1" s="1"/>
  <c r="CL52" i="1"/>
  <c r="CQ27" i="1"/>
  <c r="CL38" i="1"/>
  <c r="CO38" i="1" s="1"/>
  <c r="CW80" i="1" s="1"/>
  <c r="MO12" i="1"/>
  <c r="CQ32" i="1"/>
  <c r="CL40" i="1"/>
  <c r="CM40" i="1" s="1"/>
  <c r="CU82" i="1" s="1"/>
  <c r="FG16" i="1"/>
  <c r="CL41" i="1"/>
  <c r="CN41" i="1" s="1"/>
  <c r="CV83" i="1" s="1"/>
  <c r="I9" i="1"/>
  <c r="EL29" i="1" s="1"/>
  <c r="NE15" i="1"/>
  <c r="DR53" i="1"/>
  <c r="DQ53" i="1"/>
  <c r="DS53" i="1"/>
  <c r="DP52" i="1"/>
  <c r="DP51" i="1"/>
  <c r="CM39" i="1"/>
  <c r="CU81" i="1" s="1"/>
  <c r="CN39" i="1"/>
  <c r="CV81" i="1" s="1"/>
  <c r="CO39" i="1"/>
  <c r="CW81" i="1" s="1"/>
  <c r="DP20" i="1"/>
  <c r="DP46" i="1"/>
  <c r="DP15" i="1"/>
  <c r="DP24" i="1"/>
  <c r="DP28" i="1"/>
  <c r="DP11" i="1"/>
  <c r="DP16" i="1"/>
  <c r="DP10" i="1"/>
  <c r="DP25" i="1"/>
  <c r="DP5" i="1"/>
  <c r="DP6" i="1"/>
  <c r="DP13" i="1"/>
  <c r="DP7" i="1"/>
  <c r="DP8" i="1"/>
  <c r="DP21" i="1"/>
  <c r="DP12" i="1"/>
  <c r="DP14" i="1"/>
  <c r="DP18" i="1"/>
  <c r="DP32" i="1"/>
  <c r="DP45" i="1"/>
  <c r="DP27" i="1"/>
  <c r="DP31" i="1"/>
  <c r="DP37" i="1"/>
  <c r="DP17" i="1"/>
  <c r="DP22" i="1"/>
  <c r="DP26" i="1"/>
  <c r="DP29" i="1"/>
  <c r="DP30" i="1"/>
  <c r="DP33" i="1"/>
  <c r="DP38" i="1"/>
  <c r="DP9" i="1"/>
  <c r="DP23" i="1"/>
  <c r="DP19" i="1"/>
  <c r="DP35" i="1"/>
  <c r="DP43" i="1"/>
  <c r="DP34" i="1"/>
  <c r="DP40" i="1"/>
  <c r="DP36" i="1"/>
  <c r="DP42" i="1"/>
  <c r="DP50" i="1"/>
  <c r="DP44" i="1"/>
  <c r="DP48" i="1"/>
  <c r="DP39" i="1"/>
  <c r="DP41" i="1"/>
  <c r="CL29" i="1"/>
  <c r="CL27" i="1"/>
  <c r="AB5" i="1"/>
  <c r="CL17" i="1"/>
  <c r="CL26" i="1"/>
  <c r="CL8" i="1"/>
  <c r="CL12" i="1"/>
  <c r="CL14" i="1"/>
  <c r="CL23" i="1"/>
  <c r="CL31" i="1"/>
  <c r="CL15" i="1"/>
  <c r="CL9" i="1"/>
  <c r="CL11" i="1"/>
  <c r="CL19" i="1"/>
  <c r="CL28" i="1"/>
  <c r="CL10" i="1"/>
  <c r="CL13" i="1"/>
  <c r="CL20" i="1"/>
  <c r="CL5" i="1"/>
  <c r="CL6" i="1"/>
  <c r="CL21" i="1"/>
  <c r="CL25" i="1"/>
  <c r="CL35" i="1"/>
  <c r="CL16" i="1"/>
  <c r="CL43" i="1"/>
  <c r="CL46" i="1"/>
  <c r="I47" i="1"/>
  <c r="CL24" i="1"/>
  <c r="CL32" i="1"/>
  <c r="CL37" i="1"/>
  <c r="CL30" i="1"/>
  <c r="CL33" i="1"/>
  <c r="CL18" i="1"/>
  <c r="CL7" i="1"/>
  <c r="CL22" i="1"/>
  <c r="LY12" i="1"/>
  <c r="AW6" i="1"/>
  <c r="MG12" i="1"/>
  <c r="AA6" i="1"/>
  <c r="LQ14" i="1"/>
  <c r="NT16" i="1"/>
  <c r="GC17" i="1"/>
  <c r="AD5" i="1"/>
  <c r="KK17" i="1"/>
  <c r="MW13" i="1"/>
  <c r="AC5" i="1"/>
  <c r="H10" i="1"/>
  <c r="G11" i="1" s="1"/>
  <c r="AX5" i="1"/>
  <c r="I8" i="1"/>
  <c r="AY5" i="1"/>
  <c r="S372" i="1" l="1" a="1"/>
  <c r="S372" i="1" s="1"/>
  <c r="U372" i="1" s="1"/>
  <c r="S377" i="1" a="1"/>
  <c r="S377" i="1" s="1"/>
  <c r="U377" i="1" s="1"/>
  <c r="S375" i="1" a="1"/>
  <c r="S375" i="1" s="1"/>
  <c r="U375" i="1" s="1"/>
  <c r="S378" i="1" a="1"/>
  <c r="S378" i="1" s="1"/>
  <c r="U378" i="1" s="1"/>
  <c r="S373" i="1" a="1"/>
  <c r="S373" i="1" s="1"/>
  <c r="U373" i="1" s="1"/>
  <c r="S379" i="1" a="1"/>
  <c r="S379" i="1" s="1"/>
  <c r="U379" i="1" s="1"/>
  <c r="S374" i="1" a="1"/>
  <c r="S374" i="1" s="1"/>
  <c r="U374" i="1" s="1"/>
  <c r="S380" i="1" a="1"/>
  <c r="S380" i="1" s="1"/>
  <c r="U380" i="1" s="1"/>
  <c r="S385" i="1" a="1"/>
  <c r="S385" i="1" s="1"/>
  <c r="U385" i="1" s="1"/>
  <c r="S390" i="1" a="1"/>
  <c r="S390" i="1" s="1"/>
  <c r="U390" i="1" s="1"/>
  <c r="S395" i="1" a="1"/>
  <c r="S395" i="1" s="1"/>
  <c r="U395" i="1" s="1"/>
  <c r="S384" i="1" a="1"/>
  <c r="S384" i="1" s="1"/>
  <c r="U384" i="1" s="1"/>
  <c r="S389" i="1" a="1"/>
  <c r="S389" i="1" s="1"/>
  <c r="U389" i="1" s="1"/>
  <c r="S394" i="1" a="1"/>
  <c r="S394" i="1" s="1"/>
  <c r="U394" i="1" s="1"/>
  <c r="S383" i="1" a="1"/>
  <c r="S383" i="1" s="1"/>
  <c r="U383" i="1" s="1"/>
  <c r="S388" i="1" a="1"/>
  <c r="S388" i="1" s="1"/>
  <c r="U388" i="1" s="1"/>
  <c r="S393" i="1" a="1"/>
  <c r="S393" i="1" s="1"/>
  <c r="U393" i="1" s="1"/>
  <c r="S382" i="1" a="1"/>
  <c r="S382" i="1" s="1"/>
  <c r="U382" i="1" s="1"/>
  <c r="S387" i="1" a="1"/>
  <c r="S387" i="1" s="1"/>
  <c r="U387" i="1" s="1"/>
  <c r="S392" i="1" a="1"/>
  <c r="S392" i="1" s="1"/>
  <c r="U392" i="1" s="1"/>
  <c r="S386" i="1" a="1"/>
  <c r="S386" i="1" s="1"/>
  <c r="U386" i="1" s="1"/>
  <c r="S391" i="1" a="1"/>
  <c r="S391" i="1" s="1"/>
  <c r="U391" i="1" s="1"/>
  <c r="S376" i="1" a="1"/>
  <c r="S376" i="1" s="1"/>
  <c r="U376" i="1" s="1"/>
  <c r="S357" i="1" a="1"/>
  <c r="S357" i="1" s="1"/>
  <c r="U357" i="1" s="1"/>
  <c r="S368" i="1" a="1"/>
  <c r="S368" i="1" s="1"/>
  <c r="U368" i="1" s="1"/>
  <c r="S369" i="1" a="1"/>
  <c r="S369" i="1" s="1"/>
  <c r="U369" i="1" s="1"/>
  <c r="S367" i="1" a="1"/>
  <c r="S367" i="1" s="1"/>
  <c r="U367" i="1" s="1"/>
  <c r="S371" i="1" a="1"/>
  <c r="S371" i="1" s="1"/>
  <c r="U371" i="1" s="1"/>
  <c r="S370" i="1" a="1"/>
  <c r="S370" i="1" s="1"/>
  <c r="U370" i="1" s="1"/>
  <c r="S366" i="1" a="1"/>
  <c r="S366" i="1" s="1"/>
  <c r="U366" i="1" s="1"/>
  <c r="S362" i="1" a="1"/>
  <c r="S362" i="1" s="1"/>
  <c r="U362" i="1" s="1"/>
  <c r="S360" i="1" a="1"/>
  <c r="S360" i="1" s="1"/>
  <c r="U360" i="1" s="1"/>
  <c r="S358" i="1" a="1"/>
  <c r="S358" i="1" s="1"/>
  <c r="U358" i="1" s="1"/>
  <c r="S365" i="1" a="1"/>
  <c r="S365" i="1" s="1"/>
  <c r="U365" i="1" s="1"/>
  <c r="S361" i="1" a="1"/>
  <c r="S361" i="1" s="1"/>
  <c r="U361" i="1" s="1"/>
  <c r="S363" i="1" a="1"/>
  <c r="S363" i="1" s="1"/>
  <c r="U363" i="1" s="1"/>
  <c r="S359" i="1" a="1"/>
  <c r="S359" i="1" s="1"/>
  <c r="U359" i="1" s="1"/>
  <c r="S364" i="1" a="1"/>
  <c r="S364" i="1" s="1"/>
  <c r="U364" i="1" s="1"/>
  <c r="EL21" i="1"/>
  <c r="ET63" i="1" s="1"/>
  <c r="EL7" i="1"/>
  <c r="ET49" i="1" s="1"/>
  <c r="EL30" i="1"/>
  <c r="ET72" i="1" s="1"/>
  <c r="CN50" i="1"/>
  <c r="CV92" i="1" s="1"/>
  <c r="S355" i="1" a="1"/>
  <c r="S355" i="1" s="1"/>
  <c r="U355" i="1" s="1"/>
  <c r="S356" i="1" a="1"/>
  <c r="S356" i="1" s="1"/>
  <c r="U356" i="1" s="1"/>
  <c r="DS47" i="1"/>
  <c r="EH91" i="1" s="1"/>
  <c r="DR56" i="1"/>
  <c r="DZ98" i="1" s="1"/>
  <c r="I25" i="3"/>
  <c r="AQ56" i="3"/>
  <c r="AJ54" i="3"/>
  <c r="BM55" i="3"/>
  <c r="AI55" i="3"/>
  <c r="AC13" i="3"/>
  <c r="AB13" i="3"/>
  <c r="AA14" i="3"/>
  <c r="AD13" i="3"/>
  <c r="AP57" i="3" s="1"/>
  <c r="BN55" i="3"/>
  <c r="BG53" i="3"/>
  <c r="BZ9" i="3"/>
  <c r="AL54" i="3"/>
  <c r="AS56" i="3"/>
  <c r="AK54" i="3"/>
  <c r="AR56" i="3"/>
  <c r="BF54" i="3"/>
  <c r="AZ12" i="3"/>
  <c r="AW13" i="3"/>
  <c r="AX12" i="3"/>
  <c r="AY12" i="3"/>
  <c r="H26" i="3"/>
  <c r="G27" i="3" s="1"/>
  <c r="BI53" i="3"/>
  <c r="BP55" i="3"/>
  <c r="G15" i="3"/>
  <c r="CO10" i="3"/>
  <c r="BO55" i="3"/>
  <c r="BH53" i="3"/>
  <c r="CN56" i="1"/>
  <c r="CV98" i="1" s="1"/>
  <c r="CN42" i="1"/>
  <c r="CV84" i="1" s="1"/>
  <c r="CM42" i="1"/>
  <c r="CU84" i="1" s="1"/>
  <c r="H53" i="1"/>
  <c r="S33" i="1" s="1" a="1"/>
  <c r="S33" i="1" s="1"/>
  <c r="U33" i="1" s="1"/>
  <c r="I54" i="1"/>
  <c r="DA21" i="1" s="1"/>
  <c r="CO48" i="1"/>
  <c r="CW90" i="1" s="1"/>
  <c r="CN45" i="1"/>
  <c r="CV87" i="1" s="1"/>
  <c r="CO53" i="1"/>
  <c r="CW95" i="1" s="1"/>
  <c r="DR54" i="1"/>
  <c r="EG98" i="1" s="1"/>
  <c r="DQ54" i="1"/>
  <c r="EF98" i="1" s="1"/>
  <c r="I20" i="1"/>
  <c r="DR57" i="1"/>
  <c r="DZ99" i="1" s="1"/>
  <c r="CO55" i="1"/>
  <c r="CW97" i="1" s="1"/>
  <c r="DS49" i="1"/>
  <c r="EA91" i="1" s="1"/>
  <c r="CN57" i="1"/>
  <c r="CV99" i="1" s="1"/>
  <c r="CO57" i="1"/>
  <c r="CW99" i="1" s="1"/>
  <c r="CN53" i="1"/>
  <c r="CV95" i="1" s="1"/>
  <c r="CT95" i="1"/>
  <c r="CN54" i="1"/>
  <c r="CV96" i="1" s="1"/>
  <c r="EL11" i="1"/>
  <c r="ET53" i="1" s="1"/>
  <c r="EL24" i="1"/>
  <c r="ET66" i="1" s="1"/>
  <c r="EL16" i="1"/>
  <c r="ET58" i="1" s="1"/>
  <c r="EL15" i="1"/>
  <c r="ET57" i="1" s="1"/>
  <c r="EL6" i="1"/>
  <c r="ET48" i="1" s="1"/>
  <c r="EL23" i="1"/>
  <c r="ET65" i="1" s="1"/>
  <c r="EL5" i="1"/>
  <c r="ET47" i="1" s="1"/>
  <c r="EL18" i="1"/>
  <c r="ET60" i="1" s="1"/>
  <c r="EE98" i="1"/>
  <c r="CO44" i="1"/>
  <c r="CW86" i="1" s="1"/>
  <c r="EL10" i="1"/>
  <c r="ET52" i="1" s="1"/>
  <c r="EL22" i="1"/>
  <c r="ET64" i="1" s="1"/>
  <c r="EL14" i="1"/>
  <c r="ET56" i="1" s="1"/>
  <c r="EL12" i="1"/>
  <c r="ET54" i="1" s="1"/>
  <c r="DX96" i="1"/>
  <c r="EL9" i="1"/>
  <c r="ET51" i="1" s="1"/>
  <c r="CO36" i="1"/>
  <c r="CW78" i="1" s="1"/>
  <c r="DQ56" i="1"/>
  <c r="DY98" i="1" s="1"/>
  <c r="DX98" i="1"/>
  <c r="DQ49" i="1"/>
  <c r="DY91" i="1" s="1"/>
  <c r="DX91" i="1"/>
  <c r="EA96" i="1"/>
  <c r="CT84" i="1"/>
  <c r="CM51" i="1"/>
  <c r="CU93" i="1" s="1"/>
  <c r="CT93" i="1"/>
  <c r="S292" i="1" a="1"/>
  <c r="S292" i="1" s="1"/>
  <c r="S297" i="1" a="1"/>
  <c r="S297" i="1" s="1"/>
  <c r="S302" i="1" a="1"/>
  <c r="S302" i="1" s="1"/>
  <c r="S321" i="1" a="1"/>
  <c r="S321" i="1" s="1"/>
  <c r="U321" i="1" s="1"/>
  <c r="S326" i="1" a="1"/>
  <c r="S326" i="1" s="1"/>
  <c r="U326" i="1" s="1"/>
  <c r="S336" i="1" a="1"/>
  <c r="S336" i="1" s="1"/>
  <c r="U336" i="1" s="1"/>
  <c r="S346" i="1" a="1"/>
  <c r="S346" i="1" s="1"/>
  <c r="U346" i="1" s="1"/>
  <c r="S287" i="1" a="1"/>
  <c r="S287" i="1" s="1"/>
  <c r="S307" i="1" a="1"/>
  <c r="S307" i="1" s="1"/>
  <c r="S312" i="1" a="1"/>
  <c r="S312" i="1" s="1"/>
  <c r="S317" i="1" a="1"/>
  <c r="S317" i="1" s="1"/>
  <c r="S332" i="1" a="1"/>
  <c r="S332" i="1" s="1"/>
  <c r="U332" i="1" s="1"/>
  <c r="S293" i="1" a="1"/>
  <c r="S293" i="1" s="1"/>
  <c r="S298" i="1" a="1"/>
  <c r="S298" i="1" s="1"/>
  <c r="S303" i="1" a="1"/>
  <c r="S303" i="1" s="1"/>
  <c r="S322" i="1" a="1"/>
  <c r="S322" i="1" s="1"/>
  <c r="U322" i="1" s="1"/>
  <c r="S327" i="1" a="1"/>
  <c r="S327" i="1" s="1"/>
  <c r="U327" i="1" s="1"/>
  <c r="S337" i="1" a="1"/>
  <c r="S337" i="1" s="1"/>
  <c r="U337" i="1" s="1"/>
  <c r="S342" i="1" a="1"/>
  <c r="S342" i="1" s="1"/>
  <c r="U342" i="1" s="1"/>
  <c r="S351" i="1" a="1"/>
  <c r="S351" i="1" s="1"/>
  <c r="U351" i="1" s="1"/>
  <c r="S350" i="1" a="1"/>
  <c r="S350" i="1" s="1"/>
  <c r="U350" i="1" s="1"/>
  <c r="S288" i="1" a="1"/>
  <c r="S288" i="1" s="1"/>
  <c r="S308" i="1" a="1"/>
  <c r="S308" i="1" s="1"/>
  <c r="S347" i="1" a="1"/>
  <c r="S347" i="1" s="1"/>
  <c r="U347" i="1" s="1"/>
  <c r="S313" i="1" a="1"/>
  <c r="S313" i="1" s="1"/>
  <c r="S318" i="1" a="1"/>
  <c r="S318" i="1" s="1"/>
  <c r="U318" i="1" s="1"/>
  <c r="S299" i="1" a="1"/>
  <c r="S299" i="1" s="1"/>
  <c r="S323" i="1" a="1"/>
  <c r="S323" i="1" s="1"/>
  <c r="U323" i="1" s="1"/>
  <c r="S328" i="1" a="1"/>
  <c r="S328" i="1" s="1"/>
  <c r="U328" i="1" s="1"/>
  <c r="S333" i="1" a="1"/>
  <c r="S333" i="1" s="1"/>
  <c r="U333" i="1" s="1"/>
  <c r="S338" i="1" a="1"/>
  <c r="S338" i="1" s="1"/>
  <c r="U338" i="1" s="1"/>
  <c r="S343" i="1" a="1"/>
  <c r="S343" i="1" s="1"/>
  <c r="U343" i="1" s="1"/>
  <c r="S348" i="1" a="1"/>
  <c r="S348" i="1" s="1"/>
  <c r="U348" i="1" s="1"/>
  <c r="S354" i="1" a="1"/>
  <c r="S354" i="1" s="1"/>
  <c r="U354" i="1" s="1"/>
  <c r="S289" i="1" a="1"/>
  <c r="S289" i="1" s="1"/>
  <c r="S294" i="1" a="1"/>
  <c r="S294" i="1" s="1"/>
  <c r="S304" i="1" a="1"/>
  <c r="S304" i="1" s="1"/>
  <c r="S309" i="1" a="1"/>
  <c r="S309" i="1" s="1"/>
  <c r="S352" i="1" a="1"/>
  <c r="S352" i="1" s="1"/>
  <c r="U352" i="1" s="1"/>
  <c r="S314" i="1" a="1"/>
  <c r="S314" i="1" s="1"/>
  <c r="S319" i="1" a="1"/>
  <c r="S319" i="1" s="1"/>
  <c r="U319" i="1" s="1"/>
  <c r="S344" i="1" a="1"/>
  <c r="S344" i="1" s="1"/>
  <c r="U344" i="1" s="1"/>
  <c r="S331" i="1" a="1"/>
  <c r="S331" i="1" s="1"/>
  <c r="U331" i="1" s="1"/>
  <c r="S341" i="1" a="1"/>
  <c r="S341" i="1" s="1"/>
  <c r="U341" i="1" s="1"/>
  <c r="S300" i="1" a="1"/>
  <c r="S300" i="1" s="1"/>
  <c r="S324" i="1" a="1"/>
  <c r="S324" i="1" s="1"/>
  <c r="U324" i="1" s="1"/>
  <c r="S329" i="1" a="1"/>
  <c r="S329" i="1" s="1"/>
  <c r="U329" i="1" s="1"/>
  <c r="S334" i="1" a="1"/>
  <c r="S334" i="1" s="1"/>
  <c r="U334" i="1" s="1"/>
  <c r="S339" i="1" a="1"/>
  <c r="S339" i="1" s="1"/>
  <c r="U339" i="1" s="1"/>
  <c r="S290" i="1" a="1"/>
  <c r="S290" i="1" s="1"/>
  <c r="S295" i="1" a="1"/>
  <c r="S295" i="1" s="1"/>
  <c r="S305" i="1" a="1"/>
  <c r="S305" i="1" s="1"/>
  <c r="S310" i="1" a="1"/>
  <c r="S310" i="1" s="1"/>
  <c r="S315" i="1" a="1"/>
  <c r="S315" i="1" s="1"/>
  <c r="S353" i="1" a="1"/>
  <c r="S353" i="1" s="1"/>
  <c r="U353" i="1" s="1"/>
  <c r="S320" i="1" a="1"/>
  <c r="S320" i="1" s="1"/>
  <c r="U320" i="1" s="1"/>
  <c r="S325" i="1" a="1"/>
  <c r="S325" i="1" s="1"/>
  <c r="U325" i="1" s="1"/>
  <c r="S330" i="1" a="1"/>
  <c r="S330" i="1" s="1"/>
  <c r="U330" i="1" s="1"/>
  <c r="S335" i="1" a="1"/>
  <c r="S335" i="1" s="1"/>
  <c r="U335" i="1" s="1"/>
  <c r="S340" i="1" a="1"/>
  <c r="S340" i="1" s="1"/>
  <c r="U340" i="1" s="1"/>
  <c r="S349" i="1" a="1"/>
  <c r="S349" i="1" s="1"/>
  <c r="U349" i="1" s="1"/>
  <c r="S345" i="1" a="1"/>
  <c r="S345" i="1" s="1"/>
  <c r="U345" i="1" s="1"/>
  <c r="S311" i="1" a="1"/>
  <c r="S311" i="1" s="1"/>
  <c r="S291" i="1" a="1"/>
  <c r="S291" i="1" s="1"/>
  <c r="S296" i="1" a="1"/>
  <c r="S296" i="1" s="1"/>
  <c r="S301" i="1" a="1"/>
  <c r="S301" i="1" s="1"/>
  <c r="S286" i="1" a="1"/>
  <c r="S286" i="1" s="1"/>
  <c r="S306" i="1" a="1"/>
  <c r="S306" i="1" s="1"/>
  <c r="S316" i="1" a="1"/>
  <c r="S316" i="1" s="1"/>
  <c r="CN38" i="1"/>
  <c r="CV80" i="1" s="1"/>
  <c r="DQ57" i="1"/>
  <c r="DY99" i="1" s="1"/>
  <c r="DX99" i="1"/>
  <c r="CO51" i="1"/>
  <c r="CW93" i="1" s="1"/>
  <c r="CM45" i="1"/>
  <c r="CU87" i="1" s="1"/>
  <c r="CT87" i="1"/>
  <c r="CM56" i="1"/>
  <c r="CU98" i="1" s="1"/>
  <c r="CT98" i="1"/>
  <c r="CT99" i="1"/>
  <c r="CM55" i="1"/>
  <c r="CU97" i="1" s="1"/>
  <c r="CT97" i="1"/>
  <c r="CO54" i="1"/>
  <c r="CW96" i="1" s="1"/>
  <c r="CT96" i="1"/>
  <c r="CN34" i="1"/>
  <c r="CV76" i="1" s="1"/>
  <c r="CT76" i="1"/>
  <c r="CO34" i="1"/>
  <c r="CW76" i="1" s="1"/>
  <c r="CM44" i="1"/>
  <c r="CU86" i="1" s="1"/>
  <c r="CT86" i="1"/>
  <c r="S23" i="1" a="1"/>
  <c r="S23" i="1" s="1"/>
  <c r="U23" i="1" s="1"/>
  <c r="CO41" i="1"/>
  <c r="CW83" i="1" s="1"/>
  <c r="CO40" i="1"/>
  <c r="CW82" i="1" s="1"/>
  <c r="CN40" i="1"/>
  <c r="CV82" i="1" s="1"/>
  <c r="CT82" i="1"/>
  <c r="CN48" i="1"/>
  <c r="CV90" i="1" s="1"/>
  <c r="CT90" i="1"/>
  <c r="CM49" i="1"/>
  <c r="CU91" i="1" s="1"/>
  <c r="CT91" i="1"/>
  <c r="CO49" i="1"/>
  <c r="CW91" i="1" s="1"/>
  <c r="CN49" i="1"/>
  <c r="CV91" i="1" s="1"/>
  <c r="CM38" i="1"/>
  <c r="CU80" i="1" s="1"/>
  <c r="CT80" i="1"/>
  <c r="CO52" i="1"/>
  <c r="CW94" i="1" s="1"/>
  <c r="CM52" i="1"/>
  <c r="CU94" i="1" s="1"/>
  <c r="CN52" i="1"/>
  <c r="CV94" i="1" s="1"/>
  <c r="CT94" i="1"/>
  <c r="DQ47" i="1"/>
  <c r="DY89" i="1" s="1"/>
  <c r="DX89" i="1"/>
  <c r="CM41" i="1"/>
  <c r="CU83" i="1" s="1"/>
  <c r="CT83" i="1"/>
  <c r="DR55" i="1"/>
  <c r="DZ97" i="1" s="1"/>
  <c r="DX97" i="1"/>
  <c r="DQ55" i="1"/>
  <c r="DY97" i="1" s="1"/>
  <c r="CM34" i="1"/>
  <c r="CU76" i="1" s="1"/>
  <c r="CN36" i="1"/>
  <c r="CV78" i="1" s="1"/>
  <c r="CT78" i="1"/>
  <c r="CM47" i="1"/>
  <c r="CU89" i="1" s="1"/>
  <c r="CN47" i="1"/>
  <c r="CV89" i="1" s="1"/>
  <c r="CT89" i="1"/>
  <c r="CO47" i="1"/>
  <c r="CW89" i="1" s="1"/>
  <c r="CO50" i="1"/>
  <c r="CW92" i="1" s="1"/>
  <c r="CT92" i="1"/>
  <c r="EL55" i="1"/>
  <c r="ET97" i="1" s="1"/>
  <c r="EL37" i="1"/>
  <c r="ET79" i="1" s="1"/>
  <c r="EL45" i="1"/>
  <c r="ET87" i="1" s="1"/>
  <c r="EL49" i="1"/>
  <c r="ET91" i="1" s="1"/>
  <c r="EL17" i="1"/>
  <c r="ET59" i="1" s="1"/>
  <c r="EL56" i="1"/>
  <c r="ET98" i="1" s="1"/>
  <c r="EL13" i="1"/>
  <c r="ET55" i="1" s="1"/>
  <c r="EL28" i="1"/>
  <c r="ET70" i="1" s="1"/>
  <c r="EL57" i="1"/>
  <c r="EL25" i="1"/>
  <c r="ET67" i="1" s="1"/>
  <c r="EL36" i="1"/>
  <c r="ET78" i="1" s="1"/>
  <c r="EL46" i="1"/>
  <c r="ET88" i="1" s="1"/>
  <c r="EL47" i="1"/>
  <c r="ET89" i="1" s="1"/>
  <c r="EL35" i="1"/>
  <c r="ET77" i="1" s="1"/>
  <c r="EL44" i="1"/>
  <c r="ET86" i="1" s="1"/>
  <c r="EL38" i="1"/>
  <c r="ET80" i="1" s="1"/>
  <c r="EL33" i="1"/>
  <c r="ET75" i="1" s="1"/>
  <c r="EL43" i="1"/>
  <c r="ET85" i="1" s="1"/>
  <c r="EL32" i="1"/>
  <c r="ET74" i="1" s="1"/>
  <c r="EL34" i="1"/>
  <c r="ET76" i="1" s="1"/>
  <c r="EL20" i="1"/>
  <c r="ET62" i="1" s="1"/>
  <c r="EL42" i="1"/>
  <c r="ET84" i="1" s="1"/>
  <c r="EL31" i="1"/>
  <c r="ET73" i="1" s="1"/>
  <c r="EL41" i="1"/>
  <c r="ET83" i="1" s="1"/>
  <c r="EL53" i="1"/>
  <c r="ET95" i="1" s="1"/>
  <c r="EL19" i="1"/>
  <c r="ET61" i="1" s="1"/>
  <c r="EL26" i="1"/>
  <c r="ET68" i="1" s="1"/>
  <c r="EL40" i="1"/>
  <c r="ET82" i="1" s="1"/>
  <c r="EL50" i="1"/>
  <c r="ET92" i="1" s="1"/>
  <c r="EL51" i="1"/>
  <c r="ET93" i="1" s="1"/>
  <c r="EL52" i="1"/>
  <c r="ET94" i="1" s="1"/>
  <c r="EL54" i="1"/>
  <c r="ET96" i="1" s="1"/>
  <c r="EL8" i="1"/>
  <c r="ET50" i="1" s="1"/>
  <c r="EL39" i="1"/>
  <c r="ET81" i="1" s="1"/>
  <c r="EL27" i="1"/>
  <c r="ET69" i="1" s="1"/>
  <c r="EL48" i="1"/>
  <c r="ET90" i="1" s="1"/>
  <c r="CM24" i="1"/>
  <c r="CU66" i="1" s="1"/>
  <c r="CN24" i="1"/>
  <c r="CV66" i="1" s="1"/>
  <c r="CO24" i="1"/>
  <c r="CW66" i="1" s="1"/>
  <c r="CT66" i="1"/>
  <c r="DX51" i="1"/>
  <c r="DQ21" i="1"/>
  <c r="DR21" i="1"/>
  <c r="DS21" i="1"/>
  <c r="EE65" i="1" s="1"/>
  <c r="DX63" i="1"/>
  <c r="DS52" i="1"/>
  <c r="EE96" i="1" s="1"/>
  <c r="DQ52" i="1"/>
  <c r="DR52" i="1"/>
  <c r="DX94" i="1"/>
  <c r="BW9" i="1"/>
  <c r="BW29" i="1"/>
  <c r="BW19" i="1"/>
  <c r="BW32" i="1"/>
  <c r="BW10" i="1"/>
  <c r="BW13" i="1"/>
  <c r="BW20" i="1"/>
  <c r="BW5" i="1"/>
  <c r="BW6" i="1"/>
  <c r="BW21" i="1"/>
  <c r="BW7" i="1"/>
  <c r="BW22" i="1"/>
  <c r="BW17" i="1"/>
  <c r="BW26" i="1"/>
  <c r="BW12" i="1"/>
  <c r="BW14" i="1"/>
  <c r="BW8" i="1"/>
  <c r="BW31" i="1"/>
  <c r="BW37" i="1"/>
  <c r="BW33" i="1"/>
  <c r="BW49" i="1"/>
  <c r="BW30" i="1"/>
  <c r="BW38" i="1"/>
  <c r="BW18" i="1"/>
  <c r="BW34" i="1"/>
  <c r="BW50" i="1"/>
  <c r="BW28" i="1"/>
  <c r="BW11" i="1"/>
  <c r="BW27" i="1"/>
  <c r="BW23" i="1"/>
  <c r="BW43" i="1"/>
  <c r="BW24" i="1"/>
  <c r="BW16" i="1"/>
  <c r="BW35" i="1"/>
  <c r="BW40" i="1"/>
  <c r="BW36" i="1"/>
  <c r="BW42" i="1"/>
  <c r="BW46" i="1"/>
  <c r="BW54" i="1"/>
  <c r="BW44" i="1"/>
  <c r="BW45" i="1"/>
  <c r="BW48" i="1"/>
  <c r="BW15" i="1"/>
  <c r="BW25" i="1"/>
  <c r="BW39" i="1"/>
  <c r="BW57" i="1"/>
  <c r="BW55" i="1"/>
  <c r="BW47" i="1"/>
  <c r="BW56" i="1"/>
  <c r="H49" i="1"/>
  <c r="BW53" i="1"/>
  <c r="BW41" i="1"/>
  <c r="BW51" i="1"/>
  <c r="BW52" i="1"/>
  <c r="CT57" i="1"/>
  <c r="DR38" i="1"/>
  <c r="DQ38" i="1"/>
  <c r="DS38" i="1"/>
  <c r="EE82" i="1" s="1"/>
  <c r="DX80" i="1"/>
  <c r="DX50" i="1"/>
  <c r="AA7" i="1"/>
  <c r="AI48" i="1"/>
  <c r="AB6" i="1"/>
  <c r="AC6" i="1"/>
  <c r="AD6" i="1"/>
  <c r="AP50" i="1" s="1"/>
  <c r="CO46" i="1"/>
  <c r="CW88" i="1" s="1"/>
  <c r="CM46" i="1"/>
  <c r="CU88" i="1" s="1"/>
  <c r="CN46" i="1"/>
  <c r="CV88" i="1" s="1"/>
  <c r="CT88" i="1"/>
  <c r="CM31" i="1"/>
  <c r="CU73" i="1" s="1"/>
  <c r="CN31" i="1"/>
  <c r="CV73" i="1" s="1"/>
  <c r="CO31" i="1"/>
  <c r="CW73" i="1" s="1"/>
  <c r="CT73" i="1"/>
  <c r="DQ33" i="1"/>
  <c r="DR33" i="1"/>
  <c r="DS33" i="1"/>
  <c r="EE77" i="1" s="1"/>
  <c r="DX75" i="1"/>
  <c r="DX49" i="1"/>
  <c r="ET71" i="1"/>
  <c r="CO43" i="1"/>
  <c r="CW85" i="1" s="1"/>
  <c r="CM43" i="1"/>
  <c r="CU85" i="1" s="1"/>
  <c r="CN43" i="1"/>
  <c r="CV85" i="1" s="1"/>
  <c r="CT85" i="1"/>
  <c r="CM23" i="1"/>
  <c r="CU65" i="1" s="1"/>
  <c r="CN23" i="1"/>
  <c r="CV65" i="1" s="1"/>
  <c r="CO23" i="1"/>
  <c r="CW65" i="1" s="1"/>
  <c r="CT65" i="1"/>
  <c r="DS41" i="1"/>
  <c r="EE85" i="1" s="1"/>
  <c r="DQ41" i="1"/>
  <c r="DR41" i="1"/>
  <c r="DX83" i="1"/>
  <c r="DQ30" i="1"/>
  <c r="DR30" i="1"/>
  <c r="DS30" i="1"/>
  <c r="EE74" i="1" s="1"/>
  <c r="DX72" i="1"/>
  <c r="DX55" i="1"/>
  <c r="DQ46" i="1"/>
  <c r="DR46" i="1"/>
  <c r="DS46" i="1"/>
  <c r="EE90" i="1" s="1"/>
  <c r="DX88" i="1"/>
  <c r="DZ91" i="1"/>
  <c r="EH97" i="1"/>
  <c r="EA95" i="1"/>
  <c r="EE97" i="1"/>
  <c r="BJ47" i="1"/>
  <c r="BQ126" i="1"/>
  <c r="CT58" i="1"/>
  <c r="CT56" i="1"/>
  <c r="CT59" i="1"/>
  <c r="DQ39" i="1"/>
  <c r="DR39" i="1"/>
  <c r="DS39" i="1"/>
  <c r="EE83" i="1" s="1"/>
  <c r="DX81" i="1"/>
  <c r="DS29" i="1"/>
  <c r="EE73" i="1" s="1"/>
  <c r="DQ29" i="1"/>
  <c r="DR29" i="1"/>
  <c r="DX71" i="1"/>
  <c r="DX48" i="1"/>
  <c r="EE101" i="1"/>
  <c r="EA99" i="1"/>
  <c r="EH101" i="1"/>
  <c r="EF97" i="1"/>
  <c r="DY95" i="1"/>
  <c r="AX6" i="1"/>
  <c r="AW7" i="1"/>
  <c r="AY6" i="1"/>
  <c r="AZ6" i="1"/>
  <c r="BP127" i="1" s="1"/>
  <c r="BI48" i="1"/>
  <c r="CM35" i="1"/>
  <c r="CU77" i="1" s="1"/>
  <c r="CN35" i="1"/>
  <c r="CV77" i="1" s="1"/>
  <c r="CO35" i="1"/>
  <c r="CW77" i="1" s="1"/>
  <c r="CT77" i="1"/>
  <c r="CT54" i="1"/>
  <c r="AJ47" i="1"/>
  <c r="AQ49" i="1"/>
  <c r="DQ48" i="1"/>
  <c r="DS48" i="1"/>
  <c r="EE92" i="1" s="1"/>
  <c r="DR48" i="1"/>
  <c r="DX90" i="1"/>
  <c r="DQ26" i="1"/>
  <c r="DS26" i="1"/>
  <c r="EE70" i="1" s="1"/>
  <c r="DR26" i="1"/>
  <c r="DX68" i="1"/>
  <c r="DX47" i="1"/>
  <c r="EG97" i="1"/>
  <c r="DZ95" i="1"/>
  <c r="DR23" i="1"/>
  <c r="DS23" i="1"/>
  <c r="DQ23" i="1"/>
  <c r="DX65" i="1"/>
  <c r="CT50" i="1"/>
  <c r="DQ22" i="1"/>
  <c r="DR22" i="1"/>
  <c r="DS22" i="1"/>
  <c r="EE66" i="1" s="1"/>
  <c r="DX64" i="1"/>
  <c r="DQ25" i="1"/>
  <c r="DR25" i="1"/>
  <c r="DS25" i="1"/>
  <c r="EE69" i="1" s="1"/>
  <c r="DX67" i="1"/>
  <c r="DZ89" i="1"/>
  <c r="CN25" i="1"/>
  <c r="CV67" i="1" s="1"/>
  <c r="CM25" i="1"/>
  <c r="CU67" i="1" s="1"/>
  <c r="CO25" i="1"/>
  <c r="CW67" i="1" s="1"/>
  <c r="CT67" i="1"/>
  <c r="DR44" i="1"/>
  <c r="DS44" i="1"/>
  <c r="EE88" i="1" s="1"/>
  <c r="DQ44" i="1"/>
  <c r="DX86" i="1"/>
  <c r="I10" i="1"/>
  <c r="I21" i="1"/>
  <c r="CO21" i="1"/>
  <c r="CW63" i="1" s="1"/>
  <c r="CM21" i="1"/>
  <c r="CU63" i="1" s="1"/>
  <c r="CN21" i="1"/>
  <c r="CV63" i="1" s="1"/>
  <c r="CT63" i="1"/>
  <c r="DR50" i="1"/>
  <c r="DQ50" i="1"/>
  <c r="DS50" i="1"/>
  <c r="EE94" i="1" s="1"/>
  <c r="DX92" i="1"/>
  <c r="DX59" i="1"/>
  <c r="DX52" i="1"/>
  <c r="H11" i="1"/>
  <c r="G12" i="1" s="1"/>
  <c r="H22" i="1"/>
  <c r="G23" i="1" s="1"/>
  <c r="CT48" i="1"/>
  <c r="DQ42" i="1"/>
  <c r="DR42" i="1"/>
  <c r="DS42" i="1"/>
  <c r="EE86" i="1" s="1"/>
  <c r="DX84" i="1"/>
  <c r="DR37" i="1"/>
  <c r="DQ37" i="1"/>
  <c r="DS37" i="1"/>
  <c r="EE81" i="1" s="1"/>
  <c r="DX79" i="1"/>
  <c r="DX58" i="1"/>
  <c r="AR49" i="1"/>
  <c r="AK47" i="1"/>
  <c r="CN22" i="1"/>
  <c r="CV64" i="1" s="1"/>
  <c r="CO22" i="1"/>
  <c r="CW64" i="1" s="1"/>
  <c r="CM22" i="1"/>
  <c r="CU64" i="1" s="1"/>
  <c r="CT64" i="1"/>
  <c r="DQ36" i="1"/>
  <c r="DR36" i="1"/>
  <c r="DS36" i="1"/>
  <c r="EE80" i="1" s="1"/>
  <c r="DX78" i="1"/>
  <c r="DR31" i="1"/>
  <c r="DS31" i="1"/>
  <c r="EE75" i="1" s="1"/>
  <c r="DQ31" i="1"/>
  <c r="DX73" i="1"/>
  <c r="DX53" i="1"/>
  <c r="DX62" i="1"/>
  <c r="EA98" i="1"/>
  <c r="EE100" i="1"/>
  <c r="EH100" i="1"/>
  <c r="CT47" i="1"/>
  <c r="CT49" i="1"/>
  <c r="CT62" i="1"/>
  <c r="DQ40" i="1"/>
  <c r="DR40" i="1"/>
  <c r="DS40" i="1"/>
  <c r="DX82" i="1"/>
  <c r="DQ27" i="1"/>
  <c r="DR27" i="1"/>
  <c r="DS27" i="1"/>
  <c r="EE71" i="1" s="1"/>
  <c r="DX69" i="1"/>
  <c r="DQ28" i="1"/>
  <c r="DR28" i="1"/>
  <c r="DS28" i="1"/>
  <c r="EE72" i="1" s="1"/>
  <c r="DX70" i="1"/>
  <c r="CM32" i="1"/>
  <c r="CU74" i="1" s="1"/>
  <c r="CN32" i="1"/>
  <c r="CV74" i="1" s="1"/>
  <c r="CO32" i="1"/>
  <c r="CW74" i="1" s="1"/>
  <c r="CT74" i="1"/>
  <c r="CT60" i="1"/>
  <c r="CT55" i="1"/>
  <c r="CO26" i="1"/>
  <c r="CW68" i="1" s="1"/>
  <c r="CN26" i="1"/>
  <c r="CV68" i="1" s="1"/>
  <c r="CM26" i="1"/>
  <c r="CU68" i="1" s="1"/>
  <c r="CT68" i="1"/>
  <c r="DQ34" i="1"/>
  <c r="DS34" i="1"/>
  <c r="EE78" i="1" s="1"/>
  <c r="DR34" i="1"/>
  <c r="DX76" i="1"/>
  <c r="DS45" i="1"/>
  <c r="EE89" i="1" s="1"/>
  <c r="DQ45" i="1"/>
  <c r="DR45" i="1"/>
  <c r="DX87" i="1"/>
  <c r="DQ24" i="1"/>
  <c r="DR24" i="1"/>
  <c r="DS24" i="1"/>
  <c r="DX66" i="1"/>
  <c r="CT53" i="1"/>
  <c r="BS126" i="1"/>
  <c r="BP126" i="1"/>
  <c r="BL47" i="1"/>
  <c r="CN33" i="1"/>
  <c r="CV75" i="1" s="1"/>
  <c r="CO33" i="1"/>
  <c r="CW75" i="1" s="1"/>
  <c r="CM33" i="1"/>
  <c r="CU75" i="1" s="1"/>
  <c r="CT75" i="1"/>
  <c r="CT52" i="1"/>
  <c r="DS43" i="1"/>
  <c r="DQ43" i="1"/>
  <c r="DR43" i="1"/>
  <c r="DX85" i="1"/>
  <c r="DR32" i="1"/>
  <c r="DQ32" i="1"/>
  <c r="DS32" i="1"/>
  <c r="EE76" i="1" s="1"/>
  <c r="DX74" i="1"/>
  <c r="DX57" i="1"/>
  <c r="DX54" i="1"/>
  <c r="CT51" i="1"/>
  <c r="AP49" i="1"/>
  <c r="AS49" i="1"/>
  <c r="AL47" i="1"/>
  <c r="CM30" i="1"/>
  <c r="CU72" i="1" s="1"/>
  <c r="CN30" i="1"/>
  <c r="CV72" i="1" s="1"/>
  <c r="CO30" i="1"/>
  <c r="CW72" i="1" s="1"/>
  <c r="CT72" i="1"/>
  <c r="CN28" i="1"/>
  <c r="CV70" i="1" s="1"/>
  <c r="CM28" i="1"/>
  <c r="CU70" i="1" s="1"/>
  <c r="CO28" i="1"/>
  <c r="CW70" i="1" s="1"/>
  <c r="CT70" i="1"/>
  <c r="CO27" i="1"/>
  <c r="CW69" i="1" s="1"/>
  <c r="CT69" i="1"/>
  <c r="CM27" i="1"/>
  <c r="CU69" i="1" s="1"/>
  <c r="CN27" i="1"/>
  <c r="CV69" i="1" s="1"/>
  <c r="DQ35" i="1"/>
  <c r="DR35" i="1"/>
  <c r="DS35" i="1"/>
  <c r="EE79" i="1" s="1"/>
  <c r="DX77" i="1"/>
  <c r="DX60" i="1"/>
  <c r="EE99" i="1"/>
  <c r="EH99" i="1"/>
  <c r="EA97" i="1"/>
  <c r="BK47" i="1"/>
  <c r="BR126" i="1"/>
  <c r="CM37" i="1"/>
  <c r="CU79" i="1" s="1"/>
  <c r="CN37" i="1"/>
  <c r="CV79" i="1" s="1"/>
  <c r="CO37" i="1"/>
  <c r="CW79" i="1" s="1"/>
  <c r="CT79" i="1"/>
  <c r="CT61" i="1"/>
  <c r="CO29" i="1"/>
  <c r="CW71" i="1" s="1"/>
  <c r="CM29" i="1"/>
  <c r="CU71" i="1" s="1"/>
  <c r="CN29" i="1"/>
  <c r="CV71" i="1" s="1"/>
  <c r="CT71" i="1"/>
  <c r="DX61" i="1"/>
  <c r="DX56" i="1"/>
  <c r="DQ51" i="1"/>
  <c r="DR51" i="1"/>
  <c r="DS51" i="1"/>
  <c r="EE95" i="1" s="1"/>
  <c r="DX93" i="1"/>
  <c r="S28" i="1" l="1" a="1"/>
  <c r="S28" i="1" s="1"/>
  <c r="U28" i="1" s="1"/>
  <c r="S34" i="1" a="1"/>
  <c r="S34" i="1" s="1"/>
  <c r="U34" i="1" s="1"/>
  <c r="S269" i="1" a="1"/>
  <c r="S269" i="1" s="1"/>
  <c r="U269" i="1" s="1"/>
  <c r="S129" i="1" a="1"/>
  <c r="S129" i="1" s="1"/>
  <c r="U129" i="1" s="1"/>
  <c r="S187" i="1" a="1"/>
  <c r="S187" i="1" s="1"/>
  <c r="U187" i="1" s="1"/>
  <c r="S172" i="1" a="1"/>
  <c r="S172" i="1" s="1"/>
  <c r="U172" i="1" s="1"/>
  <c r="S165" i="1" a="1"/>
  <c r="S165" i="1" s="1"/>
  <c r="U165" i="1" s="1"/>
  <c r="S147" i="1" a="1"/>
  <c r="S147" i="1" s="1"/>
  <c r="U147" i="1" s="1"/>
  <c r="S131" i="1" a="1"/>
  <c r="S131" i="1" s="1"/>
  <c r="U131" i="1" s="1"/>
  <c r="S115" i="1" a="1"/>
  <c r="S115" i="1" s="1"/>
  <c r="U115" i="1" s="1"/>
  <c r="S108" i="1" a="1"/>
  <c r="S108" i="1" s="1"/>
  <c r="U108" i="1" s="1"/>
  <c r="S92" i="1" a="1"/>
  <c r="S92" i="1" s="1"/>
  <c r="U92" i="1" s="1"/>
  <c r="S85" i="1" a="1"/>
  <c r="S85" i="1" s="1"/>
  <c r="U85" i="1" s="1"/>
  <c r="S120" i="1" a="1"/>
  <c r="S120" i="1" s="1"/>
  <c r="U120" i="1" s="1"/>
  <c r="S140" i="1" a="1"/>
  <c r="S140" i="1" s="1"/>
  <c r="U140" i="1" s="1"/>
  <c r="S104" i="1" a="1"/>
  <c r="S104" i="1" s="1"/>
  <c r="U104" i="1" s="1"/>
  <c r="S30" i="1" a="1"/>
  <c r="S30" i="1" s="1"/>
  <c r="U30" i="1" s="1"/>
  <c r="S185" i="1" a="1"/>
  <c r="S185" i="1" s="1"/>
  <c r="U185" i="1" s="1"/>
  <c r="S268" i="1" a="1"/>
  <c r="S268" i="1" s="1"/>
  <c r="U268" i="1" s="1"/>
  <c r="S242" i="1" a="1"/>
  <c r="S242" i="1" s="1"/>
  <c r="U242" i="1" s="1"/>
  <c r="S84" i="1" a="1"/>
  <c r="S84" i="1" s="1"/>
  <c r="U84" i="1" s="1"/>
  <c r="S207" i="1" a="1"/>
  <c r="S207" i="1" s="1"/>
  <c r="U207" i="1" s="1"/>
  <c r="S248" i="1" a="1"/>
  <c r="S248" i="1" s="1"/>
  <c r="U248" i="1" s="1"/>
  <c r="S264" i="1" a="1"/>
  <c r="S264" i="1" s="1"/>
  <c r="U264" i="1" s="1"/>
  <c r="S93" i="1" a="1"/>
  <c r="S93" i="1" s="1"/>
  <c r="U93" i="1" s="1"/>
  <c r="S161" i="1" a="1"/>
  <c r="S161" i="1" s="1"/>
  <c r="U161" i="1" s="1"/>
  <c r="S200" i="1" a="1"/>
  <c r="S200" i="1" s="1"/>
  <c r="U200" i="1" s="1"/>
  <c r="S60" i="1" a="1"/>
  <c r="S60" i="1" s="1"/>
  <c r="U60" i="1" s="1"/>
  <c r="S270" i="1" a="1"/>
  <c r="S270" i="1" s="1"/>
  <c r="U270" i="1" s="1"/>
  <c r="S252" i="1" a="1"/>
  <c r="S252" i="1" s="1"/>
  <c r="U252" i="1" s="1"/>
  <c r="S226" i="1" a="1"/>
  <c r="S226" i="1" s="1"/>
  <c r="U226" i="1" s="1"/>
  <c r="S210" i="1" a="1"/>
  <c r="S210" i="1" s="1"/>
  <c r="U210" i="1" s="1"/>
  <c r="S265" i="1" a="1"/>
  <c r="S265" i="1" s="1"/>
  <c r="U265" i="1" s="1"/>
  <c r="S196" i="1" a="1"/>
  <c r="S196" i="1" s="1"/>
  <c r="U196" i="1" s="1"/>
  <c r="S184" i="1" a="1"/>
  <c r="S184" i="1" s="1"/>
  <c r="U184" i="1" s="1"/>
  <c r="S87" i="1" a="1"/>
  <c r="S87" i="1" s="1"/>
  <c r="U87" i="1" s="1"/>
  <c r="S174" i="1" a="1"/>
  <c r="S174" i="1" s="1"/>
  <c r="U174" i="1" s="1"/>
  <c r="S48" i="1" a="1"/>
  <c r="S48" i="1" s="1"/>
  <c r="U48" i="1" s="1"/>
  <c r="S190" i="1" a="1"/>
  <c r="S190" i="1" s="1"/>
  <c r="U190" i="1" s="1"/>
  <c r="S181" i="1" a="1"/>
  <c r="S181" i="1" s="1"/>
  <c r="U181" i="1" s="1"/>
  <c r="S103" i="1" a="1"/>
  <c r="S103" i="1" s="1"/>
  <c r="U103" i="1" s="1"/>
  <c r="S50" i="1" a="1"/>
  <c r="S50" i="1" s="1"/>
  <c r="U50" i="1" s="1"/>
  <c r="S255" i="1" a="1"/>
  <c r="S255" i="1" s="1"/>
  <c r="U255" i="1" s="1"/>
  <c r="S154" i="1" a="1"/>
  <c r="S154" i="1" s="1"/>
  <c r="U154" i="1" s="1"/>
  <c r="S100" i="1" a="1"/>
  <c r="S100" i="1" s="1"/>
  <c r="U100" i="1" s="1"/>
  <c r="S12" i="1" a="1"/>
  <c r="S12" i="1" s="1"/>
  <c r="U12" i="1" s="1"/>
  <c r="S97" i="1" a="1"/>
  <c r="S97" i="1" s="1"/>
  <c r="U97" i="1" s="1"/>
  <c r="S244" i="1" a="1"/>
  <c r="S244" i="1" s="1"/>
  <c r="U244" i="1" s="1"/>
  <c r="S246" i="1" a="1"/>
  <c r="S246" i="1" s="1"/>
  <c r="U246" i="1" s="1"/>
  <c r="S194" i="1" a="1"/>
  <c r="S194" i="1" s="1"/>
  <c r="U194" i="1" s="1"/>
  <c r="S99" i="1" a="1"/>
  <c r="S99" i="1" s="1"/>
  <c r="U99" i="1" s="1"/>
  <c r="S155" i="1" a="1"/>
  <c r="S155" i="1" s="1"/>
  <c r="U155" i="1" s="1"/>
  <c r="S35" i="1" a="1"/>
  <c r="S35" i="1" s="1"/>
  <c r="U35" i="1" s="1"/>
  <c r="S62" i="1" a="1"/>
  <c r="S62" i="1" s="1"/>
  <c r="U62" i="1" s="1"/>
  <c r="S254" i="1" a="1"/>
  <c r="S254" i="1" s="1"/>
  <c r="U254" i="1" s="1"/>
  <c r="S156" i="1" a="1"/>
  <c r="S156" i="1" s="1"/>
  <c r="U156" i="1" s="1"/>
  <c r="S113" i="1" a="1"/>
  <c r="S113" i="1" s="1"/>
  <c r="U113" i="1" s="1"/>
  <c r="S236" i="1" a="1"/>
  <c r="S236" i="1" s="1"/>
  <c r="U236" i="1" s="1"/>
  <c r="S135" i="1" a="1"/>
  <c r="S135" i="1" s="1"/>
  <c r="U135" i="1" s="1"/>
  <c r="S146" i="1" a="1"/>
  <c r="S146" i="1" s="1"/>
  <c r="U146" i="1" s="1"/>
  <c r="S143" i="1" a="1"/>
  <c r="S143" i="1" s="1"/>
  <c r="U143" i="1" s="1"/>
  <c r="S68" i="1" a="1"/>
  <c r="S68" i="1" s="1"/>
  <c r="U68" i="1" s="1"/>
  <c r="S144" i="1" a="1"/>
  <c r="S144" i="1" s="1"/>
  <c r="U144" i="1" s="1"/>
  <c r="S280" i="1" a="1"/>
  <c r="S280" i="1" s="1"/>
  <c r="U280" i="1" s="1"/>
  <c r="S151" i="1" a="1"/>
  <c r="S151" i="1" s="1"/>
  <c r="U151" i="1" s="1"/>
  <c r="S180" i="1" a="1"/>
  <c r="S180" i="1" s="1"/>
  <c r="U180" i="1" s="1"/>
  <c r="S224" i="1" a="1"/>
  <c r="S224" i="1" s="1"/>
  <c r="U224" i="1" s="1"/>
  <c r="S230" i="1" a="1"/>
  <c r="S230" i="1" s="1"/>
  <c r="U230" i="1" s="1"/>
  <c r="S220" i="1" a="1"/>
  <c r="S220" i="1" s="1"/>
  <c r="U220" i="1" s="1"/>
  <c r="S178" i="1" a="1"/>
  <c r="S178" i="1" s="1"/>
  <c r="U178" i="1" s="1"/>
  <c r="S275" i="1" a="1"/>
  <c r="S275" i="1" s="1"/>
  <c r="U275" i="1" s="1"/>
  <c r="S130" i="1" a="1"/>
  <c r="S130" i="1" s="1"/>
  <c r="U130" i="1" s="1"/>
  <c r="S88" i="1" a="1"/>
  <c r="S88" i="1" s="1"/>
  <c r="U88" i="1" s="1"/>
  <c r="S127" i="1" a="1"/>
  <c r="S127" i="1" s="1"/>
  <c r="U127" i="1" s="1"/>
  <c r="S139" i="1" a="1"/>
  <c r="S139" i="1" s="1"/>
  <c r="U139" i="1" s="1"/>
  <c r="S90" i="1" a="1"/>
  <c r="S90" i="1" s="1"/>
  <c r="U90" i="1" s="1"/>
  <c r="S16" i="1" a="1"/>
  <c r="S16" i="1" s="1"/>
  <c r="U16" i="1" s="1"/>
  <c r="S166" i="1" a="1"/>
  <c r="S166" i="1" s="1"/>
  <c r="U166" i="1" s="1"/>
  <c r="S70" i="1" a="1"/>
  <c r="S70" i="1" s="1"/>
  <c r="U70" i="1" s="1"/>
  <c r="S263" i="1" a="1"/>
  <c r="S263" i="1" s="1"/>
  <c r="U263" i="1" s="1"/>
  <c r="S95" i="1" a="1"/>
  <c r="S95" i="1" s="1"/>
  <c r="U95" i="1" s="1"/>
  <c r="S7" i="1" a="1"/>
  <c r="S7" i="1" s="1"/>
  <c r="U7" i="1" s="1"/>
  <c r="S8" i="1" a="1"/>
  <c r="S8" i="1" s="1"/>
  <c r="U8" i="1" s="1"/>
  <c r="S46" i="1" a="1"/>
  <c r="S46" i="1" s="1"/>
  <c r="U46" i="1" s="1"/>
  <c r="S106" i="1" a="1"/>
  <c r="S106" i="1" s="1"/>
  <c r="U106" i="1" s="1"/>
  <c r="S261" i="1" a="1"/>
  <c r="S261" i="1" s="1"/>
  <c r="U261" i="1" s="1"/>
  <c r="S76" i="1" a="1"/>
  <c r="S76" i="1" s="1"/>
  <c r="U76" i="1" s="1"/>
  <c r="S191" i="1" a="1"/>
  <c r="S191" i="1" s="1"/>
  <c r="U191" i="1" s="1"/>
  <c r="S256" i="1" a="1"/>
  <c r="S256" i="1" s="1"/>
  <c r="U256" i="1" s="1"/>
  <c r="S228" i="1" a="1"/>
  <c r="S228" i="1" s="1"/>
  <c r="U228" i="1" s="1"/>
  <c r="S167" i="1" a="1"/>
  <c r="S167" i="1" s="1"/>
  <c r="U167" i="1" s="1"/>
  <c r="S176" i="1" a="1"/>
  <c r="S176" i="1" s="1"/>
  <c r="U176" i="1" s="1"/>
  <c r="S182" i="1" a="1"/>
  <c r="S182" i="1" s="1"/>
  <c r="U182" i="1" s="1"/>
  <c r="S157" i="1" a="1"/>
  <c r="S157" i="1" s="1"/>
  <c r="U157" i="1" s="1"/>
  <c r="S74" i="1" a="1"/>
  <c r="S74" i="1" s="1"/>
  <c r="U74" i="1" s="1"/>
  <c r="S227" i="1" a="1"/>
  <c r="S227" i="1" s="1"/>
  <c r="U227" i="1" s="1"/>
  <c r="S141" i="1" a="1"/>
  <c r="S141" i="1" s="1"/>
  <c r="U141" i="1" s="1"/>
  <c r="S142" i="1" a="1"/>
  <c r="S142" i="1" s="1"/>
  <c r="U142" i="1" s="1"/>
  <c r="S138" i="1" a="1"/>
  <c r="S138" i="1" s="1"/>
  <c r="U138" i="1" s="1"/>
  <c r="S134" i="1" a="1"/>
  <c r="S134" i="1" s="1"/>
  <c r="U134" i="1" s="1"/>
  <c r="S67" i="1" a="1"/>
  <c r="S67" i="1" s="1"/>
  <c r="U67" i="1" s="1"/>
  <c r="S58" i="1" a="1"/>
  <c r="S58" i="1" s="1"/>
  <c r="U58" i="1" s="1"/>
  <c r="S36" i="1" a="1"/>
  <c r="S36" i="1" s="1"/>
  <c r="U36" i="1" s="1"/>
  <c r="S238" i="1" a="1"/>
  <c r="S238" i="1" s="1"/>
  <c r="U238" i="1" s="1"/>
  <c r="S243" i="1" a="1"/>
  <c r="S243" i="1" s="1"/>
  <c r="U243" i="1" s="1"/>
  <c r="S273" i="1" a="1"/>
  <c r="S273" i="1" s="1"/>
  <c r="U273" i="1" s="1"/>
  <c r="S250" i="1" a="1"/>
  <c r="S250" i="1" s="1"/>
  <c r="U250" i="1" s="1"/>
  <c r="S278" i="1" a="1"/>
  <c r="S278" i="1" s="1"/>
  <c r="U278" i="1" s="1"/>
  <c r="S234" i="1" a="1"/>
  <c r="S234" i="1" s="1"/>
  <c r="U234" i="1" s="1"/>
  <c r="S168" i="1" a="1"/>
  <c r="S168" i="1" s="1"/>
  <c r="U168" i="1" s="1"/>
  <c r="S162" i="1" a="1"/>
  <c r="S162" i="1" s="1"/>
  <c r="U162" i="1" s="1"/>
  <c r="S124" i="1" a="1"/>
  <c r="S124" i="1" s="1"/>
  <c r="U124" i="1" s="1"/>
  <c r="S253" i="1" a="1"/>
  <c r="S253" i="1" s="1"/>
  <c r="U253" i="1" s="1"/>
  <c r="S211" i="1" a="1"/>
  <c r="S211" i="1" s="1"/>
  <c r="U211" i="1" s="1"/>
  <c r="S125" i="1" a="1"/>
  <c r="S125" i="1" s="1"/>
  <c r="U125" i="1" s="1"/>
  <c r="S126" i="1" a="1"/>
  <c r="S126" i="1" s="1"/>
  <c r="U126" i="1" s="1"/>
  <c r="S122" i="1" a="1"/>
  <c r="S122" i="1" s="1"/>
  <c r="U122" i="1" s="1"/>
  <c r="S110" i="1" a="1"/>
  <c r="S110" i="1" s="1"/>
  <c r="U110" i="1" s="1"/>
  <c r="S72" i="1" a="1"/>
  <c r="S72" i="1" s="1"/>
  <c r="U72" i="1" s="1"/>
  <c r="S47" i="1" a="1"/>
  <c r="S47" i="1" s="1"/>
  <c r="U47" i="1" s="1"/>
  <c r="S59" i="1" a="1"/>
  <c r="S59" i="1" s="1"/>
  <c r="U59" i="1" s="1"/>
  <c r="S14" i="1" a="1"/>
  <c r="S14" i="1" s="1"/>
  <c r="U14" i="1" s="1"/>
  <c r="S260" i="1" a="1"/>
  <c r="S260" i="1" s="1"/>
  <c r="U260" i="1" s="1"/>
  <c r="S262" i="1" a="1"/>
  <c r="S262" i="1" s="1"/>
  <c r="U262" i="1" s="1"/>
  <c r="S107" i="1" a="1"/>
  <c r="S107" i="1" s="1"/>
  <c r="U107" i="1" s="1"/>
  <c r="S171" i="1" a="1"/>
  <c r="S171" i="1" s="1"/>
  <c r="U171" i="1" s="1"/>
  <c r="S233" i="1" a="1"/>
  <c r="S233" i="1" s="1"/>
  <c r="U233" i="1" s="1"/>
  <c r="S257" i="1" a="1"/>
  <c r="S257" i="1" s="1"/>
  <c r="U257" i="1" s="1"/>
  <c r="S218" i="1" a="1"/>
  <c r="S218" i="1" s="1"/>
  <c r="U218" i="1" s="1"/>
  <c r="S159" i="1" a="1"/>
  <c r="S159" i="1" s="1"/>
  <c r="U159" i="1" s="1"/>
  <c r="S150" i="1" a="1"/>
  <c r="S150" i="1" s="1"/>
  <c r="U150" i="1" s="1"/>
  <c r="S247" i="1" a="1"/>
  <c r="S247" i="1" s="1"/>
  <c r="U247" i="1" s="1"/>
  <c r="S237" i="1" a="1"/>
  <c r="S237" i="1" s="1"/>
  <c r="U237" i="1" s="1"/>
  <c r="S195" i="1" a="1"/>
  <c r="S195" i="1" s="1"/>
  <c r="U195" i="1" s="1"/>
  <c r="S109" i="1" a="1"/>
  <c r="S109" i="1" s="1"/>
  <c r="U109" i="1" s="1"/>
  <c r="S118" i="1" a="1"/>
  <c r="S118" i="1" s="1"/>
  <c r="U118" i="1" s="1"/>
  <c r="S114" i="1" a="1"/>
  <c r="S114" i="1" s="1"/>
  <c r="U114" i="1" s="1"/>
  <c r="S79" i="1" a="1"/>
  <c r="S79" i="1" s="1"/>
  <c r="U79" i="1" s="1"/>
  <c r="S83" i="1" a="1"/>
  <c r="S83" i="1" s="1"/>
  <c r="U83" i="1" s="1"/>
  <c r="S11" i="1" a="1"/>
  <c r="S11" i="1" s="1"/>
  <c r="U11" i="1" s="1"/>
  <c r="S9" i="1" a="1"/>
  <c r="S9" i="1" s="1"/>
  <c r="U9" i="1" s="1"/>
  <c r="S21" i="1" a="1"/>
  <c r="S21" i="1" s="1"/>
  <c r="U21" i="1" s="1"/>
  <c r="S214" i="1" a="1"/>
  <c r="S214" i="1" s="1"/>
  <c r="U214" i="1" s="1"/>
  <c r="S78" i="1" a="1"/>
  <c r="S78" i="1" s="1"/>
  <c r="U78" i="1" s="1"/>
  <c r="S192" i="1" a="1"/>
  <c r="S192" i="1" s="1"/>
  <c r="U192" i="1" s="1"/>
  <c r="S276" i="1" a="1"/>
  <c r="S276" i="1" s="1"/>
  <c r="U276" i="1" s="1"/>
  <c r="S277" i="1" a="1"/>
  <c r="S277" i="1" s="1"/>
  <c r="U277" i="1" s="1"/>
  <c r="S212" i="1" a="1"/>
  <c r="S212" i="1" s="1"/>
  <c r="U212" i="1" s="1"/>
  <c r="S202" i="1" a="1"/>
  <c r="S202" i="1" s="1"/>
  <c r="U202" i="1" s="1"/>
  <c r="S283" i="1" a="1"/>
  <c r="S283" i="1" s="1"/>
  <c r="U283" i="1" s="1"/>
  <c r="S241" i="1" a="1"/>
  <c r="S241" i="1" s="1"/>
  <c r="U241" i="1" s="1"/>
  <c r="S231" i="1" a="1"/>
  <c r="S231" i="1" s="1"/>
  <c r="U231" i="1" s="1"/>
  <c r="S221" i="1" a="1"/>
  <c r="S221" i="1" s="1"/>
  <c r="U221" i="1" s="1"/>
  <c r="S179" i="1" a="1"/>
  <c r="S179" i="1" s="1"/>
  <c r="U179" i="1" s="1"/>
  <c r="S101" i="1" a="1"/>
  <c r="S101" i="1" s="1"/>
  <c r="U101" i="1" s="1"/>
  <c r="S102" i="1" a="1"/>
  <c r="S102" i="1" s="1"/>
  <c r="U102" i="1" s="1"/>
  <c r="S98" i="1" a="1"/>
  <c r="S98" i="1" s="1"/>
  <c r="U98" i="1" s="1"/>
  <c r="S52" i="1" a="1"/>
  <c r="S52" i="1" s="1"/>
  <c r="U52" i="1" s="1"/>
  <c r="S77" i="1" a="1"/>
  <c r="S77" i="1" s="1"/>
  <c r="U77" i="1" s="1"/>
  <c r="S41" i="1" a="1"/>
  <c r="S41" i="1" s="1"/>
  <c r="U41" i="1" s="1"/>
  <c r="S65" i="1" a="1"/>
  <c r="S65" i="1" s="1"/>
  <c r="U65" i="1" s="1"/>
  <c r="S24" i="1" a="1"/>
  <c r="S24" i="1" s="1"/>
  <c r="U24" i="1" s="1"/>
  <c r="S281" i="1" a="1"/>
  <c r="S281" i="1" s="1"/>
  <c r="U281" i="1" s="1"/>
  <c r="S259" i="1" a="1"/>
  <c r="S259" i="1" s="1"/>
  <c r="U259" i="1" s="1"/>
  <c r="S158" i="1" a="1"/>
  <c r="S158" i="1" s="1"/>
  <c r="U158" i="1" s="1"/>
  <c r="S186" i="1" a="1"/>
  <c r="S186" i="1" s="1"/>
  <c r="U186" i="1" s="1"/>
  <c r="S267" i="1" a="1"/>
  <c r="S267" i="1" s="1"/>
  <c r="U267" i="1" s="1"/>
  <c r="S225" i="1" a="1"/>
  <c r="S225" i="1" s="1"/>
  <c r="U225" i="1" s="1"/>
  <c r="S215" i="1" a="1"/>
  <c r="S215" i="1" s="1"/>
  <c r="U215" i="1" s="1"/>
  <c r="S205" i="1" a="1"/>
  <c r="S205" i="1" s="1"/>
  <c r="U205" i="1" s="1"/>
  <c r="S170" i="1" a="1"/>
  <c r="S170" i="1" s="1"/>
  <c r="U170" i="1" s="1"/>
  <c r="S89" i="1" a="1"/>
  <c r="S89" i="1" s="1"/>
  <c r="U89" i="1" s="1"/>
  <c r="S137" i="1" a="1"/>
  <c r="S137" i="1" s="1"/>
  <c r="U137" i="1" s="1"/>
  <c r="S149" i="1" a="1"/>
  <c r="S149" i="1" s="1"/>
  <c r="U149" i="1" s="1"/>
  <c r="S80" i="1" a="1"/>
  <c r="S80" i="1" s="1"/>
  <c r="U80" i="1" s="1"/>
  <c r="S69" i="1" a="1"/>
  <c r="S69" i="1" s="1"/>
  <c r="U69" i="1" s="1"/>
  <c r="S54" i="1" a="1"/>
  <c r="S54" i="1" s="1"/>
  <c r="U54" i="1" s="1"/>
  <c r="S22" i="1" a="1"/>
  <c r="S22" i="1" s="1"/>
  <c r="U22" i="1" s="1"/>
  <c r="S274" i="1" a="1"/>
  <c r="S274" i="1" s="1"/>
  <c r="U274" i="1" s="1"/>
  <c r="S111" i="1" a="1"/>
  <c r="S111" i="1" s="1"/>
  <c r="U111" i="1" s="1"/>
  <c r="S198" i="1" a="1"/>
  <c r="S198" i="1" s="1"/>
  <c r="U198" i="1" s="1"/>
  <c r="S116" i="1" a="1"/>
  <c r="S116" i="1" s="1"/>
  <c r="U116" i="1" s="1"/>
  <c r="S282" i="1" a="1"/>
  <c r="S282" i="1" s="1"/>
  <c r="U282" i="1" s="1"/>
  <c r="S217" i="1" a="1"/>
  <c r="S217" i="1" s="1"/>
  <c r="U217" i="1" s="1"/>
  <c r="S285" i="1" a="1"/>
  <c r="S285" i="1" s="1"/>
  <c r="U285" i="1" s="1"/>
  <c r="S245" i="1" a="1"/>
  <c r="S245" i="1" s="1"/>
  <c r="U245" i="1" s="1"/>
  <c r="S251" i="1" a="1"/>
  <c r="S251" i="1" s="1"/>
  <c r="U251" i="1" s="1"/>
  <c r="S209" i="1" a="1"/>
  <c r="S209" i="1" s="1"/>
  <c r="U209" i="1" s="1"/>
  <c r="S199" i="1" a="1"/>
  <c r="S199" i="1" s="1"/>
  <c r="U199" i="1" s="1"/>
  <c r="S189" i="1" a="1"/>
  <c r="S189" i="1" s="1"/>
  <c r="U189" i="1" s="1"/>
  <c r="S153" i="1" a="1"/>
  <c r="S153" i="1" s="1"/>
  <c r="U153" i="1" s="1"/>
  <c r="S136" i="1" a="1"/>
  <c r="S136" i="1" s="1"/>
  <c r="U136" i="1" s="1"/>
  <c r="S105" i="1" a="1"/>
  <c r="S105" i="1" s="1"/>
  <c r="U105" i="1" s="1"/>
  <c r="S133" i="1" a="1"/>
  <c r="S133" i="1" s="1"/>
  <c r="U133" i="1" s="1"/>
  <c r="S94" i="1" a="1"/>
  <c r="S94" i="1" s="1"/>
  <c r="U94" i="1" s="1"/>
  <c r="S86" i="1" a="1"/>
  <c r="S86" i="1" s="1"/>
  <c r="U86" i="1" s="1"/>
  <c r="S204" i="1" a="1"/>
  <c r="S204" i="1" s="1"/>
  <c r="U204" i="1" s="1"/>
  <c r="S123" i="1" a="1"/>
  <c r="S123" i="1" s="1"/>
  <c r="U123" i="1" s="1"/>
  <c r="S63" i="1" a="1"/>
  <c r="S63" i="1" s="1"/>
  <c r="U63" i="1" s="1"/>
  <c r="S145" i="1" a="1"/>
  <c r="S145" i="1" s="1"/>
  <c r="U145" i="1" s="1"/>
  <c r="S223" i="1" a="1"/>
  <c r="S223" i="1" s="1"/>
  <c r="U223" i="1" s="1"/>
  <c r="S175" i="1" a="1"/>
  <c r="S175" i="1" s="1"/>
  <c r="U175" i="1" s="1"/>
  <c r="S271" i="1" a="1"/>
  <c r="S271" i="1" s="1"/>
  <c r="U271" i="1" s="1"/>
  <c r="S272" i="1" a="1"/>
  <c r="S272" i="1" s="1"/>
  <c r="U272" i="1" s="1"/>
  <c r="S229" i="1" a="1"/>
  <c r="S229" i="1" s="1"/>
  <c r="U229" i="1" s="1"/>
  <c r="S235" i="1" a="1"/>
  <c r="S235" i="1" s="1"/>
  <c r="U235" i="1" s="1"/>
  <c r="S193" i="1" a="1"/>
  <c r="S193" i="1" s="1"/>
  <c r="U193" i="1" s="1"/>
  <c r="S183" i="1" a="1"/>
  <c r="S183" i="1" s="1"/>
  <c r="U183" i="1" s="1"/>
  <c r="S160" i="1" a="1"/>
  <c r="S160" i="1" s="1"/>
  <c r="U160" i="1" s="1"/>
  <c r="S119" i="1" a="1"/>
  <c r="S119" i="1" s="1"/>
  <c r="U119" i="1" s="1"/>
  <c r="S112" i="1" a="1"/>
  <c r="S112" i="1" s="1"/>
  <c r="U112" i="1" s="1"/>
  <c r="S164" i="1" a="1"/>
  <c r="S164" i="1" s="1"/>
  <c r="U164" i="1" s="1"/>
  <c r="S121" i="1" a="1"/>
  <c r="S121" i="1" s="1"/>
  <c r="U121" i="1" s="1"/>
  <c r="S75" i="1" a="1"/>
  <c r="S75" i="1" s="1"/>
  <c r="U75" i="1" s="1"/>
  <c r="S73" i="1" a="1"/>
  <c r="S73" i="1" s="1"/>
  <c r="U73" i="1" s="1"/>
  <c r="S61" i="1" a="1"/>
  <c r="S61" i="1" s="1"/>
  <c r="U61" i="1" s="1"/>
  <c r="S266" i="1" a="1"/>
  <c r="S266" i="1" s="1"/>
  <c r="U266" i="1" s="1"/>
  <c r="S188" i="1" a="1"/>
  <c r="S188" i="1" s="1"/>
  <c r="U188" i="1" s="1"/>
  <c r="S56" i="1" a="1"/>
  <c r="S56" i="1" s="1"/>
  <c r="U56" i="1" s="1"/>
  <c r="S279" i="1" a="1"/>
  <c r="S279" i="1" s="1"/>
  <c r="U279" i="1" s="1"/>
  <c r="S201" i="1" a="1"/>
  <c r="S201" i="1" s="1"/>
  <c r="U201" i="1" s="1"/>
  <c r="S249" i="1" a="1"/>
  <c r="S249" i="1" s="1"/>
  <c r="U249" i="1" s="1"/>
  <c r="S213" i="1" a="1"/>
  <c r="S213" i="1" s="1"/>
  <c r="U213" i="1" s="1"/>
  <c r="S219" i="1" a="1"/>
  <c r="S219" i="1" s="1"/>
  <c r="U219" i="1" s="1"/>
  <c r="S177" i="1" a="1"/>
  <c r="S177" i="1" s="1"/>
  <c r="U177" i="1" s="1"/>
  <c r="S173" i="1" a="1"/>
  <c r="S173" i="1" s="1"/>
  <c r="U173" i="1" s="1"/>
  <c r="S232" i="1" a="1"/>
  <c r="S232" i="1" s="1"/>
  <c r="U232" i="1" s="1"/>
  <c r="S222" i="1" a="1"/>
  <c r="S222" i="1" s="1"/>
  <c r="U222" i="1" s="1"/>
  <c r="S96" i="1" a="1"/>
  <c r="S96" i="1" s="1"/>
  <c r="U96" i="1" s="1"/>
  <c r="S148" i="1" a="1"/>
  <c r="S148" i="1" s="1"/>
  <c r="U148" i="1" s="1"/>
  <c r="S117" i="1" a="1"/>
  <c r="S117" i="1" s="1"/>
  <c r="U117" i="1" s="1"/>
  <c r="S81" i="1" a="1"/>
  <c r="S81" i="1" s="1"/>
  <c r="U81" i="1" s="1"/>
  <c r="S6" i="1" a="1"/>
  <c r="S6" i="1" s="1"/>
  <c r="U6" i="1" s="1"/>
  <c r="S5" i="1" a="1"/>
  <c r="S5" i="1" s="1"/>
  <c r="U5" i="1" s="1"/>
  <c r="S17" i="1" a="1"/>
  <c r="S17" i="1" s="1"/>
  <c r="U17" i="1" s="1"/>
  <c r="S27" i="1" a="1"/>
  <c r="S27" i="1" s="1"/>
  <c r="U27" i="1" s="1"/>
  <c r="S208" i="1" a="1"/>
  <c r="S208" i="1" s="1"/>
  <c r="U208" i="1" s="1"/>
  <c r="S82" i="1" a="1"/>
  <c r="S82" i="1" s="1"/>
  <c r="U82" i="1" s="1"/>
  <c r="S91" i="1" a="1"/>
  <c r="S91" i="1" s="1"/>
  <c r="U91" i="1" s="1"/>
  <c r="S240" i="1" a="1"/>
  <c r="S240" i="1" s="1"/>
  <c r="U240" i="1" s="1"/>
  <c r="S258" i="1" a="1"/>
  <c r="S258" i="1" s="1"/>
  <c r="U258" i="1" s="1"/>
  <c r="S284" i="1" a="1"/>
  <c r="S284" i="1" s="1"/>
  <c r="U284" i="1" s="1"/>
  <c r="S239" i="1" a="1"/>
  <c r="S239" i="1" s="1"/>
  <c r="U239" i="1" s="1"/>
  <c r="S197" i="1" a="1"/>
  <c r="S197" i="1" s="1"/>
  <c r="U197" i="1" s="1"/>
  <c r="S203" i="1" a="1"/>
  <c r="S203" i="1" s="1"/>
  <c r="U203" i="1" s="1"/>
  <c r="S152" i="1" a="1"/>
  <c r="S152" i="1" s="1"/>
  <c r="U152" i="1" s="1"/>
  <c r="S169" i="1" a="1"/>
  <c r="S169" i="1" s="1"/>
  <c r="U169" i="1" s="1"/>
  <c r="S216" i="1" a="1"/>
  <c r="S216" i="1" s="1"/>
  <c r="U216" i="1" s="1"/>
  <c r="S206" i="1" a="1"/>
  <c r="S206" i="1" s="1"/>
  <c r="U206" i="1" s="1"/>
  <c r="S163" i="1" a="1"/>
  <c r="S163" i="1" s="1"/>
  <c r="U163" i="1" s="1"/>
  <c r="S132" i="1" a="1"/>
  <c r="S132" i="1" s="1"/>
  <c r="U132" i="1" s="1"/>
  <c r="S128" i="1" a="1"/>
  <c r="S128" i="1" s="1"/>
  <c r="U128" i="1" s="1"/>
  <c r="S71" i="1" a="1"/>
  <c r="S71" i="1" s="1"/>
  <c r="U71" i="1" s="1"/>
  <c r="S19" i="1" a="1"/>
  <c r="S19" i="1" s="1"/>
  <c r="U19" i="1" s="1"/>
  <c r="S64" i="1" a="1"/>
  <c r="S64" i="1" s="1"/>
  <c r="U64" i="1" s="1"/>
  <c r="S29" i="1" a="1"/>
  <c r="S29" i="1" s="1"/>
  <c r="U29" i="1" s="1"/>
  <c r="S20" i="1" a="1"/>
  <c r="S20" i="1" s="1"/>
  <c r="U20" i="1" s="1"/>
  <c r="EF99" i="1"/>
  <c r="S13" i="1" a="1"/>
  <c r="S13" i="1" s="1"/>
  <c r="U13" i="1" s="1"/>
  <c r="S10" i="1" a="1"/>
  <c r="S10" i="1" s="1"/>
  <c r="U10" i="1" s="1"/>
  <c r="S39" i="1" a="1"/>
  <c r="S39" i="1" s="1"/>
  <c r="U39" i="1" s="1"/>
  <c r="S15" i="1" a="1"/>
  <c r="S15" i="1" s="1"/>
  <c r="U15" i="1" s="1"/>
  <c r="EE91" i="1"/>
  <c r="I26" i="3"/>
  <c r="DA37" i="1"/>
  <c r="DC37" i="1" s="1"/>
  <c r="DK79" i="1" s="1"/>
  <c r="DA48" i="1"/>
  <c r="DD48" i="1" s="1"/>
  <c r="DL90" i="1" s="1"/>
  <c r="DA39" i="1"/>
  <c r="DD39" i="1" s="1"/>
  <c r="DL81" i="1" s="1"/>
  <c r="DA27" i="1"/>
  <c r="DB27" i="1" s="1"/>
  <c r="DJ69" i="1" s="1"/>
  <c r="DA30" i="1"/>
  <c r="DC30" i="1" s="1"/>
  <c r="DK72" i="1" s="1"/>
  <c r="DA26" i="1"/>
  <c r="DB26" i="1" s="1"/>
  <c r="DJ68" i="1" s="1"/>
  <c r="DA51" i="1"/>
  <c r="DD51" i="1" s="1"/>
  <c r="DL93" i="1" s="1"/>
  <c r="DY96" i="1"/>
  <c r="EG91" i="1"/>
  <c r="EA89" i="1"/>
  <c r="EG100" i="1"/>
  <c r="S45" i="1" a="1"/>
  <c r="S45" i="1" s="1"/>
  <c r="U45" i="1" s="1"/>
  <c r="S38" i="1" a="1"/>
  <c r="S38" i="1" s="1"/>
  <c r="U38" i="1" s="1"/>
  <c r="S26" i="1" a="1"/>
  <c r="S26" i="1" s="1"/>
  <c r="U26" i="1" s="1"/>
  <c r="DA57" i="1"/>
  <c r="DC57" i="1" s="1"/>
  <c r="DK99" i="1" s="1"/>
  <c r="DA33" i="1"/>
  <c r="DC33" i="1" s="1"/>
  <c r="DK75" i="1" s="1"/>
  <c r="DA17" i="1"/>
  <c r="DI59" i="1" s="1"/>
  <c r="DA7" i="1"/>
  <c r="DI49" i="1" s="1"/>
  <c r="DA55" i="1"/>
  <c r="DC55" i="1" s="1"/>
  <c r="DK97" i="1" s="1"/>
  <c r="DA44" i="1"/>
  <c r="DB44" i="1" s="1"/>
  <c r="DJ86" i="1" s="1"/>
  <c r="DA28" i="1"/>
  <c r="DD28" i="1" s="1"/>
  <c r="DL70" i="1" s="1"/>
  <c r="DA6" i="1"/>
  <c r="DI48" i="1" s="1"/>
  <c r="S42" i="1" a="1"/>
  <c r="S42" i="1" s="1"/>
  <c r="U42" i="1" s="1"/>
  <c r="DA53" i="1"/>
  <c r="DD53" i="1" s="1"/>
  <c r="DL95" i="1" s="1"/>
  <c r="DA42" i="1"/>
  <c r="DD42" i="1" s="1"/>
  <c r="DL84" i="1" s="1"/>
  <c r="DA22" i="1"/>
  <c r="DD22" i="1" s="1"/>
  <c r="DL64" i="1" s="1"/>
  <c r="DA20" i="1"/>
  <c r="DI62" i="1" s="1"/>
  <c r="DA52" i="1"/>
  <c r="DD52" i="1" s="1"/>
  <c r="DL94" i="1" s="1"/>
  <c r="DA40" i="1"/>
  <c r="DB40" i="1" s="1"/>
  <c r="DJ82" i="1" s="1"/>
  <c r="DA16" i="1"/>
  <c r="DI58" i="1" s="1"/>
  <c r="DA13" i="1"/>
  <c r="DI55" i="1" s="1"/>
  <c r="S53" i="1" a="1"/>
  <c r="S53" i="1" s="1"/>
  <c r="U53" i="1" s="1"/>
  <c r="DA45" i="1"/>
  <c r="DC45" i="1" s="1"/>
  <c r="DK87" i="1" s="1"/>
  <c r="DA32" i="1"/>
  <c r="DD32" i="1" s="1"/>
  <c r="DL74" i="1" s="1"/>
  <c r="DA11" i="1"/>
  <c r="DI53" i="1" s="1"/>
  <c r="DA5" i="1"/>
  <c r="DI47" i="1" s="1"/>
  <c r="DA50" i="1"/>
  <c r="DC50" i="1" s="1"/>
  <c r="DK92" i="1" s="1"/>
  <c r="DA24" i="1"/>
  <c r="DB24" i="1" s="1"/>
  <c r="DJ66" i="1" s="1"/>
  <c r="DA38" i="1"/>
  <c r="DI80" i="1" s="1"/>
  <c r="DA35" i="1"/>
  <c r="DD35" i="1" s="1"/>
  <c r="DL77" i="1" s="1"/>
  <c r="DA15" i="1"/>
  <c r="DI57" i="1" s="1"/>
  <c r="DA56" i="1"/>
  <c r="DD56" i="1" s="1"/>
  <c r="DL98" i="1" s="1"/>
  <c r="DA23" i="1"/>
  <c r="DD23" i="1" s="1"/>
  <c r="DL65" i="1" s="1"/>
  <c r="DA9" i="1"/>
  <c r="DI51" i="1" s="1"/>
  <c r="S49" i="1" a="1"/>
  <c r="S49" i="1" s="1"/>
  <c r="U49" i="1" s="1"/>
  <c r="DA36" i="1"/>
  <c r="DC36" i="1" s="1"/>
  <c r="DK78" i="1" s="1"/>
  <c r="DA19" i="1"/>
  <c r="DI61" i="1" s="1"/>
  <c r="DA29" i="1"/>
  <c r="DI71" i="1" s="1"/>
  <c r="DA46" i="1"/>
  <c r="DD46" i="1" s="1"/>
  <c r="DL88" i="1" s="1"/>
  <c r="DA25" i="1"/>
  <c r="DD25" i="1" s="1"/>
  <c r="DL67" i="1" s="1"/>
  <c r="DA18" i="1"/>
  <c r="DI60" i="1" s="1"/>
  <c r="DA47" i="1"/>
  <c r="DB47" i="1" s="1"/>
  <c r="DJ89" i="1" s="1"/>
  <c r="DA10" i="1"/>
  <c r="DI52" i="1" s="1"/>
  <c r="DA14" i="1"/>
  <c r="DI56" i="1" s="1"/>
  <c r="S31" i="1" a="1"/>
  <c r="S31" i="1" s="1"/>
  <c r="U31" i="1" s="1"/>
  <c r="DA43" i="1"/>
  <c r="DB43" i="1" s="1"/>
  <c r="DJ85" i="1" s="1"/>
  <c r="DA41" i="1"/>
  <c r="DB41" i="1" s="1"/>
  <c r="DJ83" i="1" s="1"/>
  <c r="DA12" i="1"/>
  <c r="DI54" i="1" s="1"/>
  <c r="S43" i="1" a="1"/>
  <c r="S43" i="1" s="1"/>
  <c r="U43" i="1" s="1"/>
  <c r="DA54" i="1"/>
  <c r="DB54" i="1" s="1"/>
  <c r="DJ96" i="1" s="1"/>
  <c r="DA34" i="1"/>
  <c r="DC34" i="1" s="1"/>
  <c r="DK76" i="1" s="1"/>
  <c r="DA8" i="1"/>
  <c r="DI50" i="1" s="1"/>
  <c r="S66" i="1" a="1"/>
  <c r="S66" i="1" s="1"/>
  <c r="U66" i="1" s="1"/>
  <c r="S40" i="1" a="1"/>
  <c r="S40" i="1" s="1"/>
  <c r="U40" i="1" s="1"/>
  <c r="DA31" i="1"/>
  <c r="DC31" i="1" s="1"/>
  <c r="DK73" i="1" s="1"/>
  <c r="DA49" i="1"/>
  <c r="DD49" i="1" s="1"/>
  <c r="DL91" i="1" s="1"/>
  <c r="S18" i="1" a="1"/>
  <c r="S18" i="1" s="1"/>
  <c r="U18" i="1" s="1"/>
  <c r="S51" i="1" a="1"/>
  <c r="S51" i="1" s="1"/>
  <c r="U51" i="1" s="1"/>
  <c r="S55" i="1" a="1"/>
  <c r="S55" i="1" s="1"/>
  <c r="U55" i="1" s="1"/>
  <c r="S25" i="1" a="1"/>
  <c r="S25" i="1" s="1"/>
  <c r="U25" i="1" s="1"/>
  <c r="DZ96" i="1"/>
  <c r="EG99" i="1"/>
  <c r="EF91" i="1"/>
  <c r="EG93" i="1"/>
  <c r="EF100" i="1"/>
  <c r="EE93" i="1"/>
  <c r="EH93" i="1"/>
  <c r="EF93" i="1"/>
  <c r="H15" i="3"/>
  <c r="BH54" i="3"/>
  <c r="BO56" i="3"/>
  <c r="H27" i="3"/>
  <c r="G28" i="3" s="1"/>
  <c r="BG54" i="3"/>
  <c r="BN56" i="3"/>
  <c r="AW14" i="3"/>
  <c r="BF55" i="3"/>
  <c r="AZ13" i="3"/>
  <c r="AY13" i="3"/>
  <c r="AX13" i="3"/>
  <c r="AS57" i="3"/>
  <c r="AL55" i="3"/>
  <c r="AK55" i="3"/>
  <c r="AR57" i="3"/>
  <c r="AI56" i="3"/>
  <c r="AA15" i="3"/>
  <c r="AD14" i="3"/>
  <c r="AC14" i="3"/>
  <c r="AB14" i="3"/>
  <c r="BP56" i="3"/>
  <c r="BI54" i="3"/>
  <c r="BM56" i="3"/>
  <c r="AJ55" i="3"/>
  <c r="AQ57" i="3"/>
  <c r="EG101" i="1"/>
  <c r="S57" i="1" a="1"/>
  <c r="S57" i="1" s="1"/>
  <c r="U57" i="1" s="1"/>
  <c r="S44" i="1" a="1"/>
  <c r="S44" i="1" s="1"/>
  <c r="U44" i="1" s="1"/>
  <c r="S32" i="1" a="1"/>
  <c r="S32" i="1" s="1"/>
  <c r="U32" i="1" s="1"/>
  <c r="S37" i="1" a="1"/>
  <c r="S37" i="1" s="1"/>
  <c r="U37" i="1" s="1"/>
  <c r="I22" i="1"/>
  <c r="EF101" i="1"/>
  <c r="EN57" i="1"/>
  <c r="EM57" i="1"/>
  <c r="EO57" i="1"/>
  <c r="BX34" i="1"/>
  <c r="CF76" i="1" s="1"/>
  <c r="BZ34" i="1"/>
  <c r="CH76" i="1" s="1"/>
  <c r="BY34" i="1"/>
  <c r="CG76" i="1" s="1"/>
  <c r="CE76" i="1"/>
  <c r="EH87" i="1"/>
  <c r="EA85" i="1"/>
  <c r="EF68" i="1"/>
  <c r="DY66" i="1"/>
  <c r="DY82" i="1"/>
  <c r="EF84" i="1"/>
  <c r="H23" i="1"/>
  <c r="G24" i="1" s="1"/>
  <c r="EA67" i="1"/>
  <c r="EH69" i="1"/>
  <c r="EG67" i="1"/>
  <c r="DZ65" i="1"/>
  <c r="DZ68" i="1"/>
  <c r="EG70" i="1"/>
  <c r="AD7" i="1"/>
  <c r="AA8" i="1"/>
  <c r="AB7" i="1"/>
  <c r="AC7" i="1"/>
  <c r="AI49" i="1"/>
  <c r="BZ54" i="1"/>
  <c r="CH96" i="1" s="1"/>
  <c r="BX54" i="1"/>
  <c r="CF96" i="1" s="1"/>
  <c r="BY54" i="1"/>
  <c r="CG96" i="1" s="1"/>
  <c r="CE96" i="1"/>
  <c r="BY38" i="1"/>
  <c r="CG80" i="1" s="1"/>
  <c r="BX38" i="1"/>
  <c r="CF80" i="1" s="1"/>
  <c r="BZ38" i="1"/>
  <c r="CH80" i="1" s="1"/>
  <c r="CE80" i="1"/>
  <c r="CE62" i="1"/>
  <c r="EH68" i="1"/>
  <c r="EA66" i="1"/>
  <c r="BX45" i="1"/>
  <c r="CF87" i="1" s="1"/>
  <c r="BZ45" i="1"/>
  <c r="CH87" i="1" s="1"/>
  <c r="BY45" i="1"/>
  <c r="CG87" i="1" s="1"/>
  <c r="CE87" i="1"/>
  <c r="I11" i="1"/>
  <c r="EG69" i="1"/>
  <c r="DZ67" i="1"/>
  <c r="EA68" i="1"/>
  <c r="EH70" i="1"/>
  <c r="EA72" i="1"/>
  <c r="EH74" i="1"/>
  <c r="EH77" i="1"/>
  <c r="EA75" i="1"/>
  <c r="BY52" i="1"/>
  <c r="CG94" i="1" s="1"/>
  <c r="BZ52" i="1"/>
  <c r="CH94" i="1" s="1"/>
  <c r="CE94" i="1"/>
  <c r="BX52" i="1"/>
  <c r="CF94" i="1" s="1"/>
  <c r="BZ46" i="1"/>
  <c r="CH88" i="1" s="1"/>
  <c r="BX46" i="1"/>
  <c r="CF88" i="1" s="1"/>
  <c r="BY46" i="1"/>
  <c r="CG88" i="1" s="1"/>
  <c r="CE88" i="1"/>
  <c r="BY30" i="1"/>
  <c r="CG72" i="1" s="1"/>
  <c r="BX30" i="1"/>
  <c r="CF72" i="1" s="1"/>
  <c r="BZ30" i="1"/>
  <c r="CH72" i="1" s="1"/>
  <c r="CE72" i="1"/>
  <c r="CE55" i="1"/>
  <c r="EF67" i="1"/>
  <c r="DY65" i="1"/>
  <c r="EG68" i="1"/>
  <c r="DZ66" i="1"/>
  <c r="DZ82" i="1"/>
  <c r="EG84" i="1"/>
  <c r="EH67" i="1"/>
  <c r="EA65" i="1"/>
  <c r="H12" i="1"/>
  <c r="G13" i="1" s="1"/>
  <c r="DY86" i="1"/>
  <c r="EF88" i="1"/>
  <c r="DY67" i="1"/>
  <c r="EF69" i="1"/>
  <c r="EF70" i="1"/>
  <c r="DY68" i="1"/>
  <c r="DZ72" i="1"/>
  <c r="EG74" i="1"/>
  <c r="EG77" i="1"/>
  <c r="DZ75" i="1"/>
  <c r="BZ51" i="1"/>
  <c r="CH93" i="1" s="1"/>
  <c r="BX51" i="1"/>
  <c r="CF93" i="1" s="1"/>
  <c r="BY51" i="1"/>
  <c r="CG93" i="1" s="1"/>
  <c r="CE93" i="1"/>
  <c r="BX42" i="1"/>
  <c r="CF84" i="1" s="1"/>
  <c r="BY42" i="1"/>
  <c r="CG84" i="1" s="1"/>
  <c r="BZ42" i="1"/>
  <c r="CH84" i="1" s="1"/>
  <c r="CE84" i="1"/>
  <c r="BZ49" i="1"/>
  <c r="CH91" i="1" s="1"/>
  <c r="BX49" i="1"/>
  <c r="CF91" i="1" s="1"/>
  <c r="BY49" i="1"/>
  <c r="CG91" i="1" s="1"/>
  <c r="CE91" i="1"/>
  <c r="CE52" i="1"/>
  <c r="EH65" i="1"/>
  <c r="EA63" i="1"/>
  <c r="EG89" i="1"/>
  <c r="DZ87" i="1"/>
  <c r="EH81" i="1"/>
  <c r="EA79" i="1"/>
  <c r="EH88" i="1"/>
  <c r="EA86" i="1"/>
  <c r="EF74" i="1"/>
  <c r="DY72" i="1"/>
  <c r="EF77" i="1"/>
  <c r="DY75" i="1"/>
  <c r="BX41" i="1"/>
  <c r="CF83" i="1" s="1"/>
  <c r="BY41" i="1"/>
  <c r="CG83" i="1" s="1"/>
  <c r="BZ41" i="1"/>
  <c r="CH83" i="1" s="1"/>
  <c r="CE83" i="1"/>
  <c r="BZ36" i="1"/>
  <c r="CH78" i="1" s="1"/>
  <c r="BX36" i="1"/>
  <c r="CF78" i="1" s="1"/>
  <c r="BY36" i="1"/>
  <c r="CG78" i="1" s="1"/>
  <c r="CE78" i="1"/>
  <c r="BX33" i="1"/>
  <c r="CF75" i="1" s="1"/>
  <c r="BY33" i="1"/>
  <c r="CG75" i="1" s="1"/>
  <c r="BZ33" i="1"/>
  <c r="CH75" i="1" s="1"/>
  <c r="CE75" i="1"/>
  <c r="BX32" i="1"/>
  <c r="CF74" i="1" s="1"/>
  <c r="BY32" i="1"/>
  <c r="CG74" i="1" s="1"/>
  <c r="BZ32" i="1"/>
  <c r="CH74" i="1" s="1"/>
  <c r="CE74" i="1"/>
  <c r="EG65" i="1"/>
  <c r="DZ63" i="1"/>
  <c r="EF89" i="1"/>
  <c r="DY87" i="1"/>
  <c r="EH72" i="1"/>
  <c r="EA70" i="1"/>
  <c r="DD21" i="1"/>
  <c r="DL63" i="1" s="1"/>
  <c r="DB21" i="1"/>
  <c r="DJ63" i="1" s="1"/>
  <c r="DC21" i="1"/>
  <c r="DK63" i="1" s="1"/>
  <c r="DI63" i="1"/>
  <c r="EF81" i="1"/>
  <c r="DY79" i="1"/>
  <c r="EG88" i="1"/>
  <c r="DZ86" i="1"/>
  <c r="BS127" i="1"/>
  <c r="BL48" i="1"/>
  <c r="BZ53" i="1"/>
  <c r="CH95" i="1" s="1"/>
  <c r="BX53" i="1"/>
  <c r="CF95" i="1" s="1"/>
  <c r="BY53" i="1"/>
  <c r="CG95" i="1" s="1"/>
  <c r="CE95" i="1"/>
  <c r="BX40" i="1"/>
  <c r="CF82" i="1" s="1"/>
  <c r="BY40" i="1"/>
  <c r="CG82" i="1" s="1"/>
  <c r="BZ40" i="1"/>
  <c r="CH82" i="1" s="1"/>
  <c r="CE82" i="1"/>
  <c r="BX37" i="1"/>
  <c r="CF79" i="1" s="1"/>
  <c r="BY37" i="1"/>
  <c r="CG79" i="1" s="1"/>
  <c r="BZ37" i="1"/>
  <c r="CH79" i="1" s="1"/>
  <c r="CE79" i="1"/>
  <c r="CE61" i="1"/>
  <c r="EF65" i="1"/>
  <c r="DY63" i="1"/>
  <c r="EH84" i="1"/>
  <c r="EA82" i="1"/>
  <c r="EA87" i="1"/>
  <c r="EH89" i="1"/>
  <c r="EG72" i="1"/>
  <c r="DZ70" i="1"/>
  <c r="EG81" i="1"/>
  <c r="DZ79" i="1"/>
  <c r="EH94" i="1"/>
  <c r="EA92" i="1"/>
  <c r="EA64" i="1"/>
  <c r="EH66" i="1"/>
  <c r="EG92" i="1"/>
  <c r="DZ90" i="1"/>
  <c r="BR127" i="1"/>
  <c r="BK48" i="1"/>
  <c r="G50" i="1"/>
  <c r="R60" i="1" s="1" a="1"/>
  <c r="R60" i="1" s="1"/>
  <c r="T60" i="1" s="1"/>
  <c r="BX35" i="1"/>
  <c r="CF77" i="1" s="1"/>
  <c r="BY35" i="1"/>
  <c r="CG77" i="1" s="1"/>
  <c r="BZ35" i="1"/>
  <c r="CH77" i="1" s="1"/>
  <c r="CE77" i="1"/>
  <c r="BX31" i="1"/>
  <c r="CF73" i="1" s="1"/>
  <c r="BY31" i="1"/>
  <c r="CG73" i="1" s="1"/>
  <c r="BZ31" i="1"/>
  <c r="CH73" i="1" s="1"/>
  <c r="CE73" i="1"/>
  <c r="BX29" i="1"/>
  <c r="CF71" i="1" s="1"/>
  <c r="BY29" i="1"/>
  <c r="CG71" i="1" s="1"/>
  <c r="BZ29" i="1"/>
  <c r="CH71" i="1" s="1"/>
  <c r="CE71" i="1"/>
  <c r="EF72" i="1"/>
  <c r="DY70" i="1"/>
  <c r="DY73" i="1"/>
  <c r="EF75" i="1"/>
  <c r="EF94" i="1"/>
  <c r="DY92" i="1"/>
  <c r="DZ64" i="1"/>
  <c r="EG66" i="1"/>
  <c r="EH92" i="1"/>
  <c r="EA90" i="1"/>
  <c r="AX7" i="1"/>
  <c r="AY7" i="1"/>
  <c r="AZ7" i="1"/>
  <c r="AW8" i="1"/>
  <c r="BI49" i="1"/>
  <c r="DZ83" i="1"/>
  <c r="EG85" i="1"/>
  <c r="BX56" i="1"/>
  <c r="CF98" i="1" s="1"/>
  <c r="BY56" i="1"/>
  <c r="CG98" i="1" s="1"/>
  <c r="BZ56" i="1"/>
  <c r="CH98" i="1" s="1"/>
  <c r="CE98" i="1"/>
  <c r="CE58" i="1"/>
  <c r="CE50" i="1"/>
  <c r="CE51" i="1"/>
  <c r="CE60" i="1"/>
  <c r="EA73" i="1"/>
  <c r="EH75" i="1"/>
  <c r="DZ92" i="1"/>
  <c r="EG94" i="1"/>
  <c r="DY64" i="1"/>
  <c r="EF66" i="1"/>
  <c r="EF92" i="1"/>
  <c r="DY90" i="1"/>
  <c r="BQ127" i="1"/>
  <c r="BJ48" i="1"/>
  <c r="EG73" i="1"/>
  <c r="DZ71" i="1"/>
  <c r="EA88" i="1"/>
  <c r="EH90" i="1"/>
  <c r="EF85" i="1"/>
  <c r="DY83" i="1"/>
  <c r="BX47" i="1"/>
  <c r="CF89" i="1" s="1"/>
  <c r="BY47" i="1"/>
  <c r="CG89" i="1" s="1"/>
  <c r="BZ47" i="1"/>
  <c r="CH89" i="1" s="1"/>
  <c r="CE89" i="1"/>
  <c r="BZ24" i="1"/>
  <c r="CH66" i="1" s="1"/>
  <c r="BY24" i="1"/>
  <c r="CG66" i="1" s="1"/>
  <c r="BX24" i="1"/>
  <c r="CF66" i="1" s="1"/>
  <c r="CE66" i="1"/>
  <c r="CE56" i="1"/>
  <c r="EF87" i="1"/>
  <c r="DY85" i="1"/>
  <c r="EG78" i="1"/>
  <c r="DZ76" i="1"/>
  <c r="DZ73" i="1"/>
  <c r="EG75" i="1"/>
  <c r="EA84" i="1"/>
  <c r="EH86" i="1"/>
  <c r="EF73" i="1"/>
  <c r="DY71" i="1"/>
  <c r="DZ88" i="1"/>
  <c r="EG90" i="1"/>
  <c r="EA83" i="1"/>
  <c r="EH85" i="1"/>
  <c r="BY55" i="1"/>
  <c r="CG97" i="1" s="1"/>
  <c r="BX55" i="1"/>
  <c r="CF97" i="1" s="1"/>
  <c r="BZ55" i="1"/>
  <c r="CH97" i="1" s="1"/>
  <c r="CE97" i="1"/>
  <c r="BX43" i="1"/>
  <c r="CF85" i="1" s="1"/>
  <c r="BY43" i="1"/>
  <c r="CG85" i="1" s="1"/>
  <c r="BZ43" i="1"/>
  <c r="CH85" i="1" s="1"/>
  <c r="CE85" i="1"/>
  <c r="CE54" i="1"/>
  <c r="AJ48" i="1"/>
  <c r="AQ50" i="1"/>
  <c r="EA77" i="1"/>
  <c r="EH79" i="1"/>
  <c r="EH76" i="1"/>
  <c r="EA74" i="1"/>
  <c r="EH78" i="1"/>
  <c r="EA76" i="1"/>
  <c r="EA69" i="1"/>
  <c r="EH71" i="1"/>
  <c r="EG86" i="1"/>
  <c r="DZ84" i="1"/>
  <c r="EH73" i="1"/>
  <c r="EA71" i="1"/>
  <c r="EF90" i="1"/>
  <c r="DY88" i="1"/>
  <c r="BX57" i="1"/>
  <c r="CF99" i="1" s="1"/>
  <c r="BY57" i="1"/>
  <c r="CG99" i="1" s="1"/>
  <c r="BZ57" i="1"/>
  <c r="CH99" i="1" s="1"/>
  <c r="CE99" i="1"/>
  <c r="BX23" i="1"/>
  <c r="CF65" i="1" s="1"/>
  <c r="BY23" i="1"/>
  <c r="CG65" i="1" s="1"/>
  <c r="BZ23" i="1"/>
  <c r="CH65" i="1" s="1"/>
  <c r="CE65" i="1"/>
  <c r="BX26" i="1"/>
  <c r="CF68" i="1" s="1"/>
  <c r="BY26" i="1"/>
  <c r="CG68" i="1" s="1"/>
  <c r="BZ26" i="1"/>
  <c r="CH68" i="1" s="1"/>
  <c r="CE68" i="1"/>
  <c r="BX44" i="1"/>
  <c r="CF86" i="1" s="1"/>
  <c r="BY44" i="1"/>
  <c r="CG86" i="1" s="1"/>
  <c r="BZ44" i="1"/>
  <c r="CH86" i="1" s="1"/>
  <c r="CE86" i="1"/>
  <c r="DZ77" i="1"/>
  <c r="EG79" i="1"/>
  <c r="EF76" i="1"/>
  <c r="DY74" i="1"/>
  <c r="EF78" i="1"/>
  <c r="DY76" i="1"/>
  <c r="DZ69" i="1"/>
  <c r="EG71" i="1"/>
  <c r="EF86" i="1"/>
  <c r="DY84" i="1"/>
  <c r="EH82" i="1"/>
  <c r="EA80" i="1"/>
  <c r="BX39" i="1"/>
  <c r="CF81" i="1" s="1"/>
  <c r="BY39" i="1"/>
  <c r="CG81" i="1" s="1"/>
  <c r="BZ39" i="1"/>
  <c r="CH81" i="1" s="1"/>
  <c r="CE81" i="1"/>
  <c r="BX27" i="1"/>
  <c r="CF69" i="1" s="1"/>
  <c r="BZ27" i="1"/>
  <c r="CH69" i="1" s="1"/>
  <c r="BY27" i="1"/>
  <c r="CG69" i="1" s="1"/>
  <c r="CE69" i="1"/>
  <c r="CE59" i="1"/>
  <c r="EF83" i="1"/>
  <c r="DY81" i="1"/>
  <c r="DY77" i="1"/>
  <c r="EF79" i="1"/>
  <c r="EG76" i="1"/>
  <c r="DZ74" i="1"/>
  <c r="DY69" i="1"/>
  <c r="EF71" i="1"/>
  <c r="EA78" i="1"/>
  <c r="EH80" i="1"/>
  <c r="EF82" i="1"/>
  <c r="DY80" i="1"/>
  <c r="BX25" i="1"/>
  <c r="CF67" i="1" s="1"/>
  <c r="BY25" i="1"/>
  <c r="CG67" i="1" s="1"/>
  <c r="BZ25" i="1"/>
  <c r="CH67" i="1" s="1"/>
  <c r="CE67" i="1"/>
  <c r="CE53" i="1"/>
  <c r="BX22" i="1"/>
  <c r="CF64" i="1" s="1"/>
  <c r="BY22" i="1"/>
  <c r="CG64" i="1" s="1"/>
  <c r="BZ22" i="1"/>
  <c r="CH64" i="1" s="1"/>
  <c r="CE64" i="1"/>
  <c r="EG96" i="1"/>
  <c r="DZ94" i="1"/>
  <c r="DZ85" i="1"/>
  <c r="EG87" i="1"/>
  <c r="CE48" i="1"/>
  <c r="EG95" i="1"/>
  <c r="DZ93" i="1"/>
  <c r="EE68" i="1"/>
  <c r="EE84" i="1"/>
  <c r="EG80" i="1"/>
  <c r="DZ78" i="1"/>
  <c r="EH83" i="1"/>
  <c r="EA81" i="1"/>
  <c r="AL48" i="1"/>
  <c r="AS50" i="1"/>
  <c r="EG82" i="1"/>
  <c r="DZ80" i="1"/>
  <c r="CE57" i="1"/>
  <c r="BX28" i="1"/>
  <c r="CF70" i="1" s="1"/>
  <c r="BY28" i="1"/>
  <c r="CG70" i="1" s="1"/>
  <c r="BZ28" i="1"/>
  <c r="CH70" i="1" s="1"/>
  <c r="CE70" i="1"/>
  <c r="CE49" i="1"/>
  <c r="EF96" i="1"/>
  <c r="DY94" i="1"/>
  <c r="CE47" i="1"/>
  <c r="EH95" i="1"/>
  <c r="EA93" i="1"/>
  <c r="EF95" i="1"/>
  <c r="DY93" i="1"/>
  <c r="EE87" i="1"/>
  <c r="EF80" i="1"/>
  <c r="DY78" i="1"/>
  <c r="EE67" i="1"/>
  <c r="DZ81" i="1"/>
  <c r="EG83" i="1"/>
  <c r="AK48" i="1"/>
  <c r="AR50" i="1"/>
  <c r="BY48" i="1"/>
  <c r="CG90" i="1" s="1"/>
  <c r="BZ48" i="1"/>
  <c r="CH90" i="1" s="1"/>
  <c r="CE90" i="1"/>
  <c r="BX48" i="1"/>
  <c r="CF90" i="1" s="1"/>
  <c r="BX50" i="1"/>
  <c r="CF92" i="1" s="1"/>
  <c r="BY50" i="1"/>
  <c r="CG92" i="1" s="1"/>
  <c r="BZ50" i="1"/>
  <c r="CH92" i="1" s="1"/>
  <c r="CE92" i="1"/>
  <c r="BX21" i="1"/>
  <c r="CF63" i="1" s="1"/>
  <c r="BY21" i="1"/>
  <c r="CG63" i="1" s="1"/>
  <c r="BZ21" i="1"/>
  <c r="CH63" i="1" s="1"/>
  <c r="CE63" i="1"/>
  <c r="EA94" i="1"/>
  <c r="EH96" i="1"/>
  <c r="DD45" i="1" l="1"/>
  <c r="DL87" i="1" s="1"/>
  <c r="DI94" i="1"/>
  <c r="DB45" i="1"/>
  <c r="DJ87" i="1" s="1"/>
  <c r="DD37" i="1"/>
  <c r="DL79" i="1" s="1"/>
  <c r="DI79" i="1"/>
  <c r="DB37" i="1"/>
  <c r="DJ79" i="1" s="1"/>
  <c r="DI93" i="1"/>
  <c r="DI73" i="1"/>
  <c r="DI87" i="1"/>
  <c r="DC48" i="1"/>
  <c r="DK90" i="1" s="1"/>
  <c r="DB49" i="1"/>
  <c r="DJ91" i="1" s="1"/>
  <c r="DB48" i="1"/>
  <c r="DJ90" i="1" s="1"/>
  <c r="DC49" i="1"/>
  <c r="DK91" i="1" s="1"/>
  <c r="DC32" i="1"/>
  <c r="DK74" i="1" s="1"/>
  <c r="DB31" i="1"/>
  <c r="DJ73" i="1" s="1"/>
  <c r="DD31" i="1"/>
  <c r="DL73" i="1" s="1"/>
  <c r="DI81" i="1"/>
  <c r="DC39" i="1"/>
  <c r="DK81" i="1" s="1"/>
  <c r="DI74" i="1"/>
  <c r="DI90" i="1"/>
  <c r="DB32" i="1"/>
  <c r="DJ74" i="1" s="1"/>
  <c r="DB39" i="1"/>
  <c r="DJ81" i="1" s="1"/>
  <c r="DI68" i="1"/>
  <c r="DD26" i="1"/>
  <c r="DL68" i="1" s="1"/>
  <c r="DC26" i="1"/>
  <c r="DK68" i="1" s="1"/>
  <c r="DI69" i="1"/>
  <c r="DI70" i="1"/>
  <c r="DD27" i="1"/>
  <c r="DL69" i="1" s="1"/>
  <c r="DI86" i="1"/>
  <c r="DC27" i="1"/>
  <c r="DK69" i="1" s="1"/>
  <c r="DD44" i="1"/>
  <c r="DL86" i="1" s="1"/>
  <c r="DI72" i="1"/>
  <c r="DC44" i="1"/>
  <c r="DK86" i="1" s="1"/>
  <c r="DB30" i="1"/>
  <c r="DJ72" i="1" s="1"/>
  <c r="DD30" i="1"/>
  <c r="DL72" i="1" s="1"/>
  <c r="DC42" i="1"/>
  <c r="DK84" i="1" s="1"/>
  <c r="DB42" i="1"/>
  <c r="DJ84" i="1" s="1"/>
  <c r="DB51" i="1"/>
  <c r="DJ93" i="1" s="1"/>
  <c r="DC51" i="1"/>
  <c r="DK93" i="1" s="1"/>
  <c r="DB29" i="1"/>
  <c r="DJ71" i="1" s="1"/>
  <c r="DC29" i="1"/>
  <c r="DK71" i="1" s="1"/>
  <c r="DD29" i="1"/>
  <c r="DL71" i="1" s="1"/>
  <c r="R380" i="1" a="1"/>
  <c r="R380" i="1" s="1"/>
  <c r="T380" i="1" s="1"/>
  <c r="R383" i="1" a="1"/>
  <c r="R383" i="1" s="1"/>
  <c r="T383" i="1" s="1"/>
  <c r="DI99" i="1"/>
  <c r="DD57" i="1"/>
  <c r="DL99" i="1" s="1"/>
  <c r="DB57" i="1"/>
  <c r="DJ99" i="1" s="1"/>
  <c r="DI66" i="1"/>
  <c r="R381" i="1" a="1"/>
  <c r="R381" i="1" s="1"/>
  <c r="T381" i="1" s="1"/>
  <c r="R394" i="1" a="1"/>
  <c r="R394" i="1" s="1"/>
  <c r="T394" i="1" s="1"/>
  <c r="R376" i="1" a="1"/>
  <c r="R376" i="1" s="1"/>
  <c r="T376" i="1" s="1"/>
  <c r="R389" i="1" a="1"/>
  <c r="R389" i="1" s="1"/>
  <c r="T389" i="1" s="1"/>
  <c r="R377" i="1" a="1"/>
  <c r="R377" i="1" s="1"/>
  <c r="T377" i="1" s="1"/>
  <c r="DD24" i="1"/>
  <c r="DL66" i="1" s="1"/>
  <c r="R393" i="1" a="1"/>
  <c r="R393" i="1" s="1"/>
  <c r="T393" i="1" s="1"/>
  <c r="DC24" i="1"/>
  <c r="DK66" i="1" s="1"/>
  <c r="R374" i="1" a="1"/>
  <c r="R374" i="1" s="1"/>
  <c r="T374" i="1" s="1"/>
  <c r="R379" i="1" a="1"/>
  <c r="R379" i="1" s="1"/>
  <c r="T379" i="1" s="1"/>
  <c r="R386" i="1" a="1"/>
  <c r="R386" i="1" s="1"/>
  <c r="T386" i="1" s="1"/>
  <c r="R372" i="1" a="1"/>
  <c r="R372" i="1" s="1"/>
  <c r="T372" i="1" s="1"/>
  <c r="R385" i="1" a="1"/>
  <c r="R385" i="1" s="1"/>
  <c r="T385" i="1" s="1"/>
  <c r="R384" i="1" a="1"/>
  <c r="R384" i="1" s="1"/>
  <c r="T384" i="1" s="1"/>
  <c r="R392" i="1" a="1"/>
  <c r="R392" i="1" s="1"/>
  <c r="T392" i="1" s="1"/>
  <c r="R391" i="1" a="1"/>
  <c r="R391" i="1" s="1"/>
  <c r="T391" i="1" s="1"/>
  <c r="R387" i="1" a="1"/>
  <c r="R387" i="1" s="1"/>
  <c r="T387" i="1" s="1"/>
  <c r="R378" i="1" a="1"/>
  <c r="R378" i="1" s="1"/>
  <c r="T378" i="1" s="1"/>
  <c r="R382" i="1" a="1"/>
  <c r="R382" i="1" s="1"/>
  <c r="T382" i="1" s="1"/>
  <c r="R390" i="1" a="1"/>
  <c r="R390" i="1" s="1"/>
  <c r="T390" i="1" s="1"/>
  <c r="R375" i="1" a="1"/>
  <c r="R375" i="1" s="1"/>
  <c r="T375" i="1" s="1"/>
  <c r="R373" i="1" a="1"/>
  <c r="R373" i="1" s="1"/>
  <c r="T373" i="1" s="1"/>
  <c r="R388" i="1" a="1"/>
  <c r="R388" i="1" s="1"/>
  <c r="T388" i="1" s="1"/>
  <c r="R395" i="1" a="1"/>
  <c r="R395" i="1" s="1"/>
  <c r="T395" i="1" s="1"/>
  <c r="DI88" i="1"/>
  <c r="DC28" i="1"/>
  <c r="DK70" i="1" s="1"/>
  <c r="DB50" i="1"/>
  <c r="DJ92" i="1" s="1"/>
  <c r="DB28" i="1"/>
  <c r="DJ70" i="1" s="1"/>
  <c r="DI92" i="1"/>
  <c r="DD50" i="1"/>
  <c r="DL92" i="1" s="1"/>
  <c r="DI97" i="1"/>
  <c r="DD55" i="1"/>
  <c r="DL97" i="1" s="1"/>
  <c r="DB55" i="1"/>
  <c r="DJ97" i="1" s="1"/>
  <c r="DB36" i="1"/>
  <c r="DJ78" i="1" s="1"/>
  <c r="DI78" i="1"/>
  <c r="DI91" i="1"/>
  <c r="DD36" i="1"/>
  <c r="DL78" i="1" s="1"/>
  <c r="DI89" i="1"/>
  <c r="DC25" i="1"/>
  <c r="DK67" i="1" s="1"/>
  <c r="DB52" i="1"/>
  <c r="DJ94" i="1" s="1"/>
  <c r="DI96" i="1"/>
  <c r="DC52" i="1"/>
  <c r="DK94" i="1" s="1"/>
  <c r="DC54" i="1"/>
  <c r="DK96" i="1" s="1"/>
  <c r="DD54" i="1"/>
  <c r="DL96" i="1" s="1"/>
  <c r="R371" i="1" a="1"/>
  <c r="R371" i="1" s="1"/>
  <c r="T371" i="1" s="1"/>
  <c r="R366" i="1" a="1"/>
  <c r="R366" i="1" s="1"/>
  <c r="T366" i="1" s="1"/>
  <c r="R367" i="1" a="1"/>
  <c r="R367" i="1" s="1"/>
  <c r="T367" i="1" s="1"/>
  <c r="R368" i="1" a="1"/>
  <c r="R368" i="1" s="1"/>
  <c r="T368" i="1" s="1"/>
  <c r="R369" i="1" a="1"/>
  <c r="R369" i="1" s="1"/>
  <c r="T369" i="1" s="1"/>
  <c r="R370" i="1" a="1"/>
  <c r="R370" i="1" s="1"/>
  <c r="T370" i="1" s="1"/>
  <c r="DC47" i="1"/>
  <c r="DK89" i="1" s="1"/>
  <c r="DC35" i="1"/>
  <c r="DK77" i="1" s="1"/>
  <c r="DB35" i="1"/>
  <c r="DJ77" i="1" s="1"/>
  <c r="DI77" i="1"/>
  <c r="DB38" i="1"/>
  <c r="DJ80" i="1" s="1"/>
  <c r="DI95" i="1"/>
  <c r="DC38" i="1"/>
  <c r="DK80" i="1" s="1"/>
  <c r="DD43" i="1"/>
  <c r="DL85" i="1" s="1"/>
  <c r="DC53" i="1"/>
  <c r="DK95" i="1" s="1"/>
  <c r="DB53" i="1"/>
  <c r="DJ95" i="1" s="1"/>
  <c r="DC43" i="1"/>
  <c r="DK85" i="1" s="1"/>
  <c r="DB25" i="1"/>
  <c r="DJ67" i="1" s="1"/>
  <c r="DC46" i="1"/>
  <c r="DK88" i="1" s="1"/>
  <c r="DB46" i="1"/>
  <c r="DJ88" i="1" s="1"/>
  <c r="DI83" i="1"/>
  <c r="DD41" i="1"/>
  <c r="DL83" i="1" s="1"/>
  <c r="DC56" i="1"/>
  <c r="DK98" i="1" s="1"/>
  <c r="DC41" i="1"/>
  <c r="DK83" i="1" s="1"/>
  <c r="DB56" i="1"/>
  <c r="DJ98" i="1" s="1"/>
  <c r="DI85" i="1"/>
  <c r="DI64" i="1"/>
  <c r="DC22" i="1"/>
  <c r="DK64" i="1" s="1"/>
  <c r="DI84" i="1"/>
  <c r="BS128" i="1"/>
  <c r="R361" i="1" a="1"/>
  <c r="R361" i="1" s="1"/>
  <c r="T361" i="1" s="1"/>
  <c r="R362" i="1" a="1"/>
  <c r="R362" i="1" s="1"/>
  <c r="T362" i="1" s="1"/>
  <c r="R365" i="1" a="1"/>
  <c r="R365" i="1" s="1"/>
  <c r="T365" i="1" s="1"/>
  <c r="R363" i="1" a="1"/>
  <c r="R363" i="1" s="1"/>
  <c r="T363" i="1" s="1"/>
  <c r="R358" i="1" a="1"/>
  <c r="R358" i="1" s="1"/>
  <c r="T358" i="1" s="1"/>
  <c r="R364" i="1" a="1"/>
  <c r="R364" i="1" s="1"/>
  <c r="T364" i="1" s="1"/>
  <c r="R359" i="1" a="1"/>
  <c r="R359" i="1" s="1"/>
  <c r="T359" i="1" s="1"/>
  <c r="R360" i="1" a="1"/>
  <c r="R360" i="1" s="1"/>
  <c r="T360" i="1" s="1"/>
  <c r="DI98" i="1"/>
  <c r="DD38" i="1"/>
  <c r="DL80" i="1" s="1"/>
  <c r="DC23" i="1"/>
  <c r="DK65" i="1" s="1"/>
  <c r="DB22" i="1"/>
  <c r="DJ64" i="1" s="1"/>
  <c r="DD47" i="1"/>
  <c r="DL89" i="1" s="1"/>
  <c r="DB23" i="1"/>
  <c r="DJ65" i="1" s="1"/>
  <c r="U293" i="1"/>
  <c r="DI65" i="1"/>
  <c r="BR128" i="1"/>
  <c r="BQ128" i="1"/>
  <c r="BP128" i="1"/>
  <c r="DB34" i="1"/>
  <c r="DJ76" i="1" s="1"/>
  <c r="DI82" i="1"/>
  <c r="DC40" i="1"/>
  <c r="DK82" i="1" s="1"/>
  <c r="DD40" i="1"/>
  <c r="DL82" i="1" s="1"/>
  <c r="R14" i="1" a="1"/>
  <c r="R14" i="1" s="1"/>
  <c r="T14" i="1" s="1"/>
  <c r="U310" i="1"/>
  <c r="R49" i="1" a="1"/>
  <c r="R49" i="1" s="1"/>
  <c r="T49" i="1" s="1"/>
  <c r="DD33" i="1"/>
  <c r="DL75" i="1" s="1"/>
  <c r="R308" i="1" a="1"/>
  <c r="R308" i="1" s="1"/>
  <c r="T308" i="1" s="1"/>
  <c r="DB33" i="1"/>
  <c r="DJ75" i="1" s="1"/>
  <c r="DI75" i="1"/>
  <c r="DI76" i="1"/>
  <c r="DD34" i="1"/>
  <c r="DL76" i="1" s="1"/>
  <c r="DI67" i="1"/>
  <c r="R180" i="1" a="1"/>
  <c r="R180" i="1" s="1"/>
  <c r="T180" i="1" s="1"/>
  <c r="R27" i="1" a="1"/>
  <c r="R27" i="1" s="1"/>
  <c r="T27" i="1" s="1"/>
  <c r="R33" i="1" a="1"/>
  <c r="R33" i="1" s="1"/>
  <c r="T33" i="1" s="1"/>
  <c r="R15" i="1" a="1"/>
  <c r="R15" i="1" s="1"/>
  <c r="T15" i="1" s="1"/>
  <c r="R307" i="1" a="1"/>
  <c r="R307" i="1" s="1"/>
  <c r="T307" i="1" s="1"/>
  <c r="R334" i="1" a="1"/>
  <c r="R334" i="1" s="1"/>
  <c r="T334" i="1" s="1"/>
  <c r="R292" i="1" a="1"/>
  <c r="R292" i="1" s="1"/>
  <c r="T292" i="1" s="1"/>
  <c r="R283" i="1" a="1"/>
  <c r="R283" i="1" s="1"/>
  <c r="T283" i="1" s="1"/>
  <c r="R233" i="1" a="1"/>
  <c r="R233" i="1" s="1"/>
  <c r="R337" i="1" a="1"/>
  <c r="R337" i="1" s="1"/>
  <c r="T337" i="1" s="1"/>
  <c r="R281" i="1" a="1"/>
  <c r="R281" i="1" s="1"/>
  <c r="T281" i="1" s="1"/>
  <c r="R175" i="1" a="1"/>
  <c r="R175" i="1" s="1"/>
  <c r="T175" i="1" s="1"/>
  <c r="R229" i="1" a="1"/>
  <c r="R229" i="1" s="1"/>
  <c r="R182" i="1" a="1"/>
  <c r="R182" i="1" s="1"/>
  <c r="T182" i="1" s="1"/>
  <c r="R230" i="1" a="1"/>
  <c r="R230" i="1" s="1"/>
  <c r="R29" i="1" a="1"/>
  <c r="R29" i="1" s="1"/>
  <c r="T29" i="1" s="1"/>
  <c r="R8" i="1" a="1"/>
  <c r="R8" i="1" s="1"/>
  <c r="T8" i="1" s="1"/>
  <c r="R39" i="1" a="1"/>
  <c r="R39" i="1" s="1"/>
  <c r="T39" i="1" s="1"/>
  <c r="R260" i="1" a="1"/>
  <c r="R260" i="1" s="1"/>
  <c r="T260" i="1" s="1"/>
  <c r="R296" i="1" a="1"/>
  <c r="R296" i="1" s="1"/>
  <c r="T296" i="1" s="1"/>
  <c r="R248" i="1" a="1"/>
  <c r="R248" i="1" s="1"/>
  <c r="R264" i="1" a="1"/>
  <c r="R264" i="1" s="1"/>
  <c r="T264" i="1" s="1"/>
  <c r="R347" i="1" a="1"/>
  <c r="R347" i="1" s="1"/>
  <c r="T347" i="1" s="1"/>
  <c r="R321" i="1" a="1"/>
  <c r="R321" i="1" s="1"/>
  <c r="T321" i="1" s="1"/>
  <c r="R275" i="1" a="1"/>
  <c r="R275" i="1" s="1"/>
  <c r="T275" i="1" s="1"/>
  <c r="R97" i="1" a="1"/>
  <c r="R97" i="1" s="1"/>
  <c r="T97" i="1" s="1"/>
  <c r="R197" i="1" a="1"/>
  <c r="R197" i="1" s="1"/>
  <c r="T197" i="1" s="1"/>
  <c r="R162" i="1" a="1"/>
  <c r="R162" i="1" s="1"/>
  <c r="T162" i="1" s="1"/>
  <c r="R298" i="1" a="1"/>
  <c r="R298" i="1" s="1"/>
  <c r="T298" i="1" s="1"/>
  <c r="R45" i="1" a="1"/>
  <c r="R45" i="1" s="1"/>
  <c r="T45" i="1" s="1"/>
  <c r="R12" i="1" a="1"/>
  <c r="R12" i="1" s="1"/>
  <c r="T12" i="1" s="1"/>
  <c r="R9" i="1" a="1"/>
  <c r="R9" i="1" s="1"/>
  <c r="T9" i="1" s="1"/>
  <c r="R244" i="1" a="1"/>
  <c r="R244" i="1" s="1"/>
  <c r="R350" i="1" a="1"/>
  <c r="R350" i="1" s="1"/>
  <c r="T350" i="1" s="1"/>
  <c r="R243" i="1" a="1"/>
  <c r="R243" i="1" s="1"/>
  <c r="R190" i="1" a="1"/>
  <c r="R190" i="1" s="1"/>
  <c r="T190" i="1" s="1"/>
  <c r="R331" i="1" a="1"/>
  <c r="R331" i="1" s="1"/>
  <c r="T331" i="1" s="1"/>
  <c r="R305" i="1" a="1"/>
  <c r="R305" i="1" s="1"/>
  <c r="T305" i="1" s="1"/>
  <c r="R164" i="1" a="1"/>
  <c r="R164" i="1" s="1"/>
  <c r="T164" i="1" s="1"/>
  <c r="R239" i="1" a="1"/>
  <c r="R239" i="1" s="1"/>
  <c r="R181" i="1" a="1"/>
  <c r="R181" i="1" s="1"/>
  <c r="T181" i="1" s="1"/>
  <c r="R150" i="1" a="1"/>
  <c r="R150" i="1" s="1"/>
  <c r="T150" i="1" s="1"/>
  <c r="R295" i="1" a="1"/>
  <c r="R295" i="1" s="1"/>
  <c r="T295" i="1" s="1"/>
  <c r="R42" i="1" a="1"/>
  <c r="R42" i="1" s="1"/>
  <c r="T42" i="1" s="1"/>
  <c r="R32" i="1" a="1"/>
  <c r="R32" i="1" s="1"/>
  <c r="T32" i="1" s="1"/>
  <c r="R5" i="1" a="1"/>
  <c r="R5" i="1" s="1"/>
  <c r="T5" i="1" s="1"/>
  <c r="R179" i="1" a="1"/>
  <c r="R179" i="1" s="1"/>
  <c r="T179" i="1" s="1"/>
  <c r="R318" i="1" a="1"/>
  <c r="R318" i="1" s="1"/>
  <c r="T318" i="1" s="1"/>
  <c r="R222" i="1" a="1"/>
  <c r="R222" i="1" s="1"/>
  <c r="R325" i="1" a="1"/>
  <c r="R325" i="1" s="1"/>
  <c r="T325" i="1" s="1"/>
  <c r="R315" i="1" a="1"/>
  <c r="R315" i="1" s="1"/>
  <c r="T315" i="1" s="1"/>
  <c r="R289" i="1" a="1"/>
  <c r="R289" i="1" s="1"/>
  <c r="T289" i="1" s="1"/>
  <c r="R338" i="1" a="1"/>
  <c r="R338" i="1" s="1"/>
  <c r="T338" i="1" s="1"/>
  <c r="R223" i="1" a="1"/>
  <c r="R223" i="1" s="1"/>
  <c r="R168" i="1" a="1"/>
  <c r="R168" i="1" s="1"/>
  <c r="T168" i="1" s="1"/>
  <c r="R241" i="1" a="1"/>
  <c r="R241" i="1" s="1"/>
  <c r="R339" i="1" a="1"/>
  <c r="R339" i="1" s="1"/>
  <c r="T339" i="1" s="1"/>
  <c r="R26" i="1" a="1"/>
  <c r="R26" i="1" s="1"/>
  <c r="T26" i="1" s="1"/>
  <c r="R25" i="1" a="1"/>
  <c r="R25" i="1" s="1"/>
  <c r="T25" i="1" s="1"/>
  <c r="R37" i="1" a="1"/>
  <c r="R37" i="1" s="1"/>
  <c r="T37" i="1" s="1"/>
  <c r="R255" i="1" a="1"/>
  <c r="R255" i="1" s="1"/>
  <c r="T255" i="1" s="1"/>
  <c r="R279" i="1" a="1"/>
  <c r="R279" i="1" s="1"/>
  <c r="T279" i="1" s="1"/>
  <c r="R335" i="1" a="1"/>
  <c r="R335" i="1" s="1"/>
  <c r="T335" i="1" s="1"/>
  <c r="R309" i="1" a="1"/>
  <c r="R309" i="1" s="1"/>
  <c r="T309" i="1" s="1"/>
  <c r="R299" i="1" a="1"/>
  <c r="R299" i="1" s="1"/>
  <c r="T299" i="1" s="1"/>
  <c r="R284" i="1" a="1"/>
  <c r="R284" i="1" s="1"/>
  <c r="T284" i="1" s="1"/>
  <c r="R322" i="1" a="1"/>
  <c r="R322" i="1" s="1"/>
  <c r="T322" i="1" s="1"/>
  <c r="R207" i="1" a="1"/>
  <c r="R207" i="1" s="1"/>
  <c r="R146" i="1" a="1"/>
  <c r="R146" i="1" s="1"/>
  <c r="T146" i="1" s="1"/>
  <c r="R177" i="1" a="1"/>
  <c r="R177" i="1" s="1"/>
  <c r="T177" i="1" s="1"/>
  <c r="R353" i="1" a="1"/>
  <c r="R353" i="1" s="1"/>
  <c r="T353" i="1" s="1"/>
  <c r="R22" i="1" a="1"/>
  <c r="R22" i="1" s="1"/>
  <c r="T22" i="1" s="1"/>
  <c r="R23" i="1" a="1"/>
  <c r="R23" i="1" s="1"/>
  <c r="T23" i="1" s="1"/>
  <c r="R19" i="1" a="1"/>
  <c r="R19" i="1" s="1"/>
  <c r="T19" i="1" s="1"/>
  <c r="R349" i="1" a="1"/>
  <c r="R349" i="1" s="1"/>
  <c r="T349" i="1" s="1"/>
  <c r="R345" i="1" a="1"/>
  <c r="R345" i="1" s="1"/>
  <c r="T345" i="1" s="1"/>
  <c r="R319" i="1" a="1"/>
  <c r="R319" i="1" s="1"/>
  <c r="T319" i="1" s="1"/>
  <c r="R293" i="1" a="1"/>
  <c r="R293" i="1" s="1"/>
  <c r="T293" i="1" s="1"/>
  <c r="R217" i="1" a="1"/>
  <c r="R217" i="1" s="1"/>
  <c r="R185" i="1" a="1"/>
  <c r="R185" i="1" s="1"/>
  <c r="T185" i="1" s="1"/>
  <c r="R306" i="1" a="1"/>
  <c r="R306" i="1" s="1"/>
  <c r="T306" i="1" s="1"/>
  <c r="R191" i="1" a="1"/>
  <c r="R191" i="1" s="1"/>
  <c r="T191" i="1" s="1"/>
  <c r="R113" i="1" a="1"/>
  <c r="R113" i="1" s="1"/>
  <c r="T113" i="1" s="1"/>
  <c r="R231" i="1" a="1"/>
  <c r="R231" i="1" s="1"/>
  <c r="R245" i="1" a="1"/>
  <c r="R245" i="1" s="1"/>
  <c r="R38" i="1" a="1"/>
  <c r="R38" i="1" s="1"/>
  <c r="T38" i="1" s="1"/>
  <c r="R24" i="1" a="1"/>
  <c r="R24" i="1" s="1"/>
  <c r="T24" i="1" s="1"/>
  <c r="R11" i="1" a="1"/>
  <c r="R11" i="1" s="1"/>
  <c r="T11" i="1" s="1"/>
  <c r="R291" i="1" a="1"/>
  <c r="R291" i="1" s="1"/>
  <c r="T291" i="1" s="1"/>
  <c r="R329" i="1" a="1"/>
  <c r="R329" i="1" s="1"/>
  <c r="T329" i="1" s="1"/>
  <c r="R303" i="1" a="1"/>
  <c r="R303" i="1" s="1"/>
  <c r="T303" i="1" s="1"/>
  <c r="R280" i="1" a="1"/>
  <c r="R280" i="1" s="1"/>
  <c r="T280" i="1" s="1"/>
  <c r="R342" i="1" a="1"/>
  <c r="R342" i="1" s="1"/>
  <c r="T342" i="1" s="1"/>
  <c r="R348" i="1" a="1"/>
  <c r="R348" i="1" s="1"/>
  <c r="T348" i="1" s="1"/>
  <c r="R290" i="1" a="1"/>
  <c r="R290" i="1" s="1"/>
  <c r="T290" i="1" s="1"/>
  <c r="R171" i="1" a="1"/>
  <c r="R171" i="1" s="1"/>
  <c r="T171" i="1" s="1"/>
  <c r="R224" i="1" a="1"/>
  <c r="R224" i="1" s="1"/>
  <c r="R215" i="1" a="1"/>
  <c r="R215" i="1" s="1"/>
  <c r="R250" i="1" a="1"/>
  <c r="R250" i="1" s="1"/>
  <c r="T250" i="1" s="1"/>
  <c r="R20" i="1" a="1"/>
  <c r="R20" i="1" s="1"/>
  <c r="T20" i="1" s="1"/>
  <c r="R43" i="1" a="1"/>
  <c r="R43" i="1" s="1"/>
  <c r="T43" i="1" s="1"/>
  <c r="R31" i="1" a="1"/>
  <c r="R31" i="1" s="1"/>
  <c r="T31" i="1" s="1"/>
  <c r="R167" i="1" a="1"/>
  <c r="R167" i="1" s="1"/>
  <c r="T167" i="1" s="1"/>
  <c r="R313" i="1" a="1"/>
  <c r="R313" i="1" s="1"/>
  <c r="T313" i="1" s="1"/>
  <c r="R287" i="1" a="1"/>
  <c r="R287" i="1" s="1"/>
  <c r="T287" i="1" s="1"/>
  <c r="R254" i="1" a="1"/>
  <c r="R254" i="1" s="1"/>
  <c r="T254" i="1" s="1"/>
  <c r="R326" i="1" a="1"/>
  <c r="R326" i="1" s="1"/>
  <c r="T326" i="1" s="1"/>
  <c r="R332" i="1" a="1"/>
  <c r="R332" i="1" s="1"/>
  <c r="T332" i="1" s="1"/>
  <c r="R272" i="1" a="1"/>
  <c r="R272" i="1" s="1"/>
  <c r="T272" i="1" s="1"/>
  <c r="R161" i="1" a="1"/>
  <c r="R161" i="1" s="1"/>
  <c r="T161" i="1" s="1"/>
  <c r="R208" i="1" a="1"/>
  <c r="R208" i="1" s="1"/>
  <c r="R199" i="1" a="1"/>
  <c r="R199" i="1" s="1"/>
  <c r="T199" i="1" s="1"/>
  <c r="R341" i="1" a="1"/>
  <c r="R341" i="1" s="1"/>
  <c r="T341" i="1" s="1"/>
  <c r="R310" i="1" a="1"/>
  <c r="R310" i="1" s="1"/>
  <c r="T310" i="1" s="1"/>
  <c r="R316" i="1" a="1"/>
  <c r="R316" i="1" s="1"/>
  <c r="T316" i="1" s="1"/>
  <c r="R333" i="1" a="1"/>
  <c r="R333" i="1" s="1"/>
  <c r="T333" i="1" s="1"/>
  <c r="R156" i="1" a="1"/>
  <c r="R156" i="1" s="1"/>
  <c r="T156" i="1" s="1"/>
  <c r="R192" i="1" a="1"/>
  <c r="R192" i="1" s="1"/>
  <c r="T192" i="1" s="1"/>
  <c r="R226" i="1" a="1"/>
  <c r="R226" i="1" s="1"/>
  <c r="R17" i="1" a="1"/>
  <c r="R17" i="1" s="1"/>
  <c r="T17" i="1" s="1"/>
  <c r="R57" i="1" a="1"/>
  <c r="R57" i="1" s="1"/>
  <c r="T57" i="1" s="1"/>
  <c r="R18" i="1" a="1"/>
  <c r="R18" i="1" s="1"/>
  <c r="T18" i="1" s="1"/>
  <c r="R6" i="1" a="1"/>
  <c r="R6" i="1" s="1"/>
  <c r="T6" i="1" s="1"/>
  <c r="R263" i="1" a="1"/>
  <c r="R263" i="1" s="1"/>
  <c r="T263" i="1" s="1"/>
  <c r="R276" i="1" a="1"/>
  <c r="R276" i="1" s="1"/>
  <c r="T276" i="1" s="1"/>
  <c r="R267" i="1" a="1"/>
  <c r="R267" i="1" s="1"/>
  <c r="T267" i="1" s="1"/>
  <c r="R352" i="1" a="1"/>
  <c r="R352" i="1" s="1"/>
  <c r="T352" i="1" s="1"/>
  <c r="R294" i="1" a="1"/>
  <c r="R294" i="1" s="1"/>
  <c r="T294" i="1" s="1"/>
  <c r="R300" i="1" a="1"/>
  <c r="R300" i="1" s="1"/>
  <c r="T300" i="1" s="1"/>
  <c r="R317" i="1" a="1"/>
  <c r="R317" i="1" s="1"/>
  <c r="T317" i="1" s="1"/>
  <c r="R234" i="1" a="1"/>
  <c r="R234" i="1" s="1"/>
  <c r="R176" i="1" a="1"/>
  <c r="R176" i="1" s="1"/>
  <c r="T176" i="1" s="1"/>
  <c r="R194" i="1" a="1"/>
  <c r="R194" i="1" s="1"/>
  <c r="T194" i="1" s="1"/>
  <c r="R270" i="1" a="1"/>
  <c r="R270" i="1" s="1"/>
  <c r="T270" i="1" s="1"/>
  <c r="R28" i="1" a="1"/>
  <c r="R28" i="1" s="1"/>
  <c r="T28" i="1" s="1"/>
  <c r="R41" i="1" a="1"/>
  <c r="R41" i="1" s="1"/>
  <c r="T41" i="1" s="1"/>
  <c r="R286" i="1" a="1"/>
  <c r="R286" i="1" s="1"/>
  <c r="T286" i="1" s="1"/>
  <c r="R195" i="1" a="1"/>
  <c r="R195" i="1" s="1"/>
  <c r="T195" i="1" s="1"/>
  <c r="R273" i="1" a="1"/>
  <c r="R273" i="1" s="1"/>
  <c r="T273" i="1" s="1"/>
  <c r="R206" i="1" a="1"/>
  <c r="R206" i="1" s="1"/>
  <c r="R336" i="1" a="1"/>
  <c r="R336" i="1" s="1"/>
  <c r="T336" i="1" s="1"/>
  <c r="R271" i="1" a="1"/>
  <c r="R271" i="1" s="1"/>
  <c r="T271" i="1" s="1"/>
  <c r="R265" i="1" a="1"/>
  <c r="R265" i="1" s="1"/>
  <c r="T265" i="1" s="1"/>
  <c r="R301" i="1" a="1"/>
  <c r="R301" i="1" s="1"/>
  <c r="T301" i="1" s="1"/>
  <c r="R186" i="1" a="1"/>
  <c r="R186" i="1" s="1"/>
  <c r="T186" i="1" s="1"/>
  <c r="R219" i="1" a="1"/>
  <c r="R219" i="1" s="1"/>
  <c r="R178" i="1" a="1"/>
  <c r="R178" i="1" s="1"/>
  <c r="T178" i="1" s="1"/>
  <c r="R302" i="1" a="1"/>
  <c r="R302" i="1" s="1"/>
  <c r="T302" i="1" s="1"/>
  <c r="R34" i="1" a="1"/>
  <c r="R34" i="1" s="1"/>
  <c r="T34" i="1" s="1"/>
  <c r="R21" i="1" a="1"/>
  <c r="R21" i="1" s="1"/>
  <c r="T21" i="1" s="1"/>
  <c r="R44" i="1" a="1"/>
  <c r="R44" i="1" s="1"/>
  <c r="T44" i="1" s="1"/>
  <c r="R282" i="1" a="1"/>
  <c r="R282" i="1" s="1"/>
  <c r="T282" i="1" s="1"/>
  <c r="R266" i="1" a="1"/>
  <c r="R266" i="1" s="1"/>
  <c r="T266" i="1" s="1"/>
  <c r="R258" i="1" a="1"/>
  <c r="R258" i="1" s="1"/>
  <c r="T258" i="1" s="1"/>
  <c r="R170" i="1" a="1"/>
  <c r="R170" i="1" s="1"/>
  <c r="T170" i="1" s="1"/>
  <c r="R320" i="1" a="1"/>
  <c r="R320" i="1" s="1"/>
  <c r="T320" i="1" s="1"/>
  <c r="R268" i="1" a="1"/>
  <c r="R268" i="1" s="1"/>
  <c r="T268" i="1" s="1"/>
  <c r="R151" i="1" a="1"/>
  <c r="R151" i="1" s="1"/>
  <c r="T151" i="1" s="1"/>
  <c r="R249" i="1" a="1"/>
  <c r="R249" i="1" s="1"/>
  <c r="T249" i="1" s="1"/>
  <c r="R154" i="1" a="1"/>
  <c r="R154" i="1" s="1"/>
  <c r="T154" i="1" s="1"/>
  <c r="R187" i="1" a="1"/>
  <c r="R187" i="1" s="1"/>
  <c r="T187" i="1" s="1"/>
  <c r="R166" i="1" a="1"/>
  <c r="R166" i="1" s="1"/>
  <c r="T166" i="1" s="1"/>
  <c r="R7" i="1" a="1"/>
  <c r="R7" i="1" s="1"/>
  <c r="T7" i="1" s="1"/>
  <c r="R36" i="1" a="1"/>
  <c r="R36" i="1" s="1"/>
  <c r="T36" i="1" s="1"/>
  <c r="R48" i="1" a="1"/>
  <c r="R48" i="1" s="1"/>
  <c r="T48" i="1" s="1"/>
  <c r="R52" i="1" a="1"/>
  <c r="R52" i="1" s="1"/>
  <c r="T52" i="1" s="1"/>
  <c r="R16" i="1" a="1"/>
  <c r="R16" i="1" s="1"/>
  <c r="T16" i="1" s="1"/>
  <c r="R344" i="1" a="1"/>
  <c r="R344" i="1" s="1"/>
  <c r="T344" i="1" s="1"/>
  <c r="R328" i="1" a="1"/>
  <c r="R328" i="1" s="1"/>
  <c r="T328" i="1" s="1"/>
  <c r="R238" i="1" a="1"/>
  <c r="R238" i="1" s="1"/>
  <c r="R346" i="1" a="1"/>
  <c r="R346" i="1" s="1"/>
  <c r="T346" i="1" s="1"/>
  <c r="R304" i="1" a="1"/>
  <c r="R304" i="1" s="1"/>
  <c r="T304" i="1" s="1"/>
  <c r="R259" i="1" a="1"/>
  <c r="R259" i="1" s="1"/>
  <c r="T259" i="1" s="1"/>
  <c r="R343" i="1" a="1"/>
  <c r="R343" i="1" s="1"/>
  <c r="T343" i="1" s="1"/>
  <c r="R228" i="1" a="1"/>
  <c r="R228" i="1" s="1"/>
  <c r="R86" i="1" a="1"/>
  <c r="R86" i="1" s="1"/>
  <c r="T86" i="1" s="1"/>
  <c r="R172" i="1" a="1"/>
  <c r="R172" i="1" s="1"/>
  <c r="T172" i="1" s="1"/>
  <c r="R269" i="1" a="1"/>
  <c r="R269" i="1" s="1"/>
  <c r="T269" i="1" s="1"/>
  <c r="R211" i="1" a="1"/>
  <c r="R211" i="1" s="1"/>
  <c r="R297" i="1" a="1"/>
  <c r="R297" i="1" s="1"/>
  <c r="T297" i="1" s="1"/>
  <c r="R30" i="1" a="1"/>
  <c r="R30" i="1" s="1"/>
  <c r="T30" i="1" s="1"/>
  <c r="R55" i="1" a="1"/>
  <c r="R55" i="1" s="1"/>
  <c r="T55" i="1" s="1"/>
  <c r="R47" i="1" a="1"/>
  <c r="R47" i="1" s="1"/>
  <c r="T47" i="1" s="1"/>
  <c r="R323" i="1" a="1"/>
  <c r="R323" i="1" s="1"/>
  <c r="T323" i="1" s="1"/>
  <c r="R351" i="1" a="1"/>
  <c r="R351" i="1" s="1"/>
  <c r="T351" i="1" s="1"/>
  <c r="R340" i="1" a="1"/>
  <c r="R340" i="1" s="1"/>
  <c r="T340" i="1" s="1"/>
  <c r="R330" i="1" a="1"/>
  <c r="R330" i="1" s="1"/>
  <c r="T330" i="1" s="1"/>
  <c r="R288" i="1" a="1"/>
  <c r="R288" i="1" s="1"/>
  <c r="T288" i="1" s="1"/>
  <c r="R201" i="1" a="1"/>
  <c r="R201" i="1" s="1"/>
  <c r="R327" i="1" a="1"/>
  <c r="R327" i="1" s="1"/>
  <c r="T327" i="1" s="1"/>
  <c r="R212" i="1" a="1"/>
  <c r="R212" i="1" s="1"/>
  <c r="R277" i="1" a="1"/>
  <c r="R277" i="1" s="1"/>
  <c r="T277" i="1" s="1"/>
  <c r="R278" i="1" a="1"/>
  <c r="R278" i="1" s="1"/>
  <c r="T278" i="1" s="1"/>
  <c r="R221" i="1" a="1"/>
  <c r="R221" i="1" s="1"/>
  <c r="R40" i="1" a="1"/>
  <c r="R40" i="1" s="1"/>
  <c r="T40" i="1" s="1"/>
  <c r="R10" i="1" a="1"/>
  <c r="R10" i="1" s="1"/>
  <c r="T10" i="1" s="1"/>
  <c r="R13" i="1" a="1"/>
  <c r="R13" i="1" s="1"/>
  <c r="T13" i="1" s="1"/>
  <c r="R35" i="1" a="1"/>
  <c r="R35" i="1" s="1"/>
  <c r="T35" i="1" s="1"/>
  <c r="R354" i="1" a="1"/>
  <c r="R354" i="1" s="1"/>
  <c r="T354" i="1" s="1"/>
  <c r="R312" i="1" a="1"/>
  <c r="R312" i="1" s="1"/>
  <c r="T312" i="1" s="1"/>
  <c r="R324" i="1" a="1"/>
  <c r="R324" i="1" s="1"/>
  <c r="T324" i="1" s="1"/>
  <c r="R314" i="1" a="1"/>
  <c r="R314" i="1" s="1"/>
  <c r="T314" i="1" s="1"/>
  <c r="R274" i="1" a="1"/>
  <c r="R274" i="1" s="1"/>
  <c r="T274" i="1" s="1"/>
  <c r="R134" i="1" a="1"/>
  <c r="R134" i="1" s="1"/>
  <c r="T134" i="1" s="1"/>
  <c r="R311" i="1" a="1"/>
  <c r="R311" i="1" s="1"/>
  <c r="T311" i="1" s="1"/>
  <c r="R196" i="1" a="1"/>
  <c r="R196" i="1" s="1"/>
  <c r="T196" i="1" s="1"/>
  <c r="R261" i="1" a="1"/>
  <c r="R261" i="1" s="1"/>
  <c r="T261" i="1" s="1"/>
  <c r="R262" i="1" a="1"/>
  <c r="R262" i="1" s="1"/>
  <c r="T262" i="1" s="1"/>
  <c r="R112" i="1" a="1"/>
  <c r="R112" i="1" s="1"/>
  <c r="T112" i="1" s="1"/>
  <c r="R257" i="1" a="1"/>
  <c r="R257" i="1" s="1"/>
  <c r="T257" i="1" s="1"/>
  <c r="R147" i="1" a="1"/>
  <c r="R147" i="1" s="1"/>
  <c r="T147" i="1" s="1"/>
  <c r="R355" i="1" a="1"/>
  <c r="R355" i="1" s="1"/>
  <c r="T355" i="1" s="1"/>
  <c r="R356" i="1" a="1"/>
  <c r="R356" i="1" s="1"/>
  <c r="T356" i="1" s="1"/>
  <c r="R110" i="1" a="1"/>
  <c r="R110" i="1" s="1"/>
  <c r="T110" i="1" s="1"/>
  <c r="R357" i="1" a="1"/>
  <c r="R357" i="1" s="1"/>
  <c r="T357" i="1" s="1"/>
  <c r="R252" i="1" a="1"/>
  <c r="R252" i="1" s="1"/>
  <c r="T252" i="1" s="1"/>
  <c r="R251" i="1" a="1"/>
  <c r="R251" i="1" s="1"/>
  <c r="T251" i="1" s="1"/>
  <c r="R236" i="1" a="1"/>
  <c r="R236" i="1" s="1"/>
  <c r="R235" i="1" a="1"/>
  <c r="R235" i="1" s="1"/>
  <c r="R247" i="1" a="1"/>
  <c r="R247" i="1" s="1"/>
  <c r="U311" i="1"/>
  <c r="U314" i="1"/>
  <c r="U295" i="1"/>
  <c r="U316" i="1"/>
  <c r="U300" i="1"/>
  <c r="U301" i="1"/>
  <c r="U306" i="1"/>
  <c r="U289" i="1"/>
  <c r="U288" i="1"/>
  <c r="U317" i="1"/>
  <c r="U291" i="1"/>
  <c r="U296" i="1"/>
  <c r="U312" i="1"/>
  <c r="U292" i="1"/>
  <c r="U315" i="1"/>
  <c r="U294" i="1"/>
  <c r="U308" i="1"/>
  <c r="U297" i="1"/>
  <c r="U290" i="1"/>
  <c r="U313" i="1"/>
  <c r="U286" i="1"/>
  <c r="U299" i="1"/>
  <c r="U304" i="1"/>
  <c r="U298" i="1"/>
  <c r="U302" i="1"/>
  <c r="U303" i="1"/>
  <c r="U307" i="1"/>
  <c r="U309" i="1"/>
  <c r="U305" i="1"/>
  <c r="U287" i="1"/>
  <c r="AK56" i="3"/>
  <c r="AR58" i="3"/>
  <c r="AQ58" i="3"/>
  <c r="AJ56" i="3"/>
  <c r="AS58" i="3"/>
  <c r="AL56" i="3"/>
  <c r="BN57" i="3"/>
  <c r="BG55" i="3"/>
  <c r="AP58" i="3"/>
  <c r="BP57" i="3"/>
  <c r="BI55" i="3"/>
  <c r="H28" i="3"/>
  <c r="I27" i="3"/>
  <c r="BF56" i="3"/>
  <c r="AZ14" i="3"/>
  <c r="BM58" i="3" s="1"/>
  <c r="AY14" i="3"/>
  <c r="AX14" i="3"/>
  <c r="AW15" i="3"/>
  <c r="G16" i="3"/>
  <c r="BO57" i="3"/>
  <c r="BH55" i="3"/>
  <c r="BM57" i="3"/>
  <c r="I15" i="3"/>
  <c r="AI57" i="3"/>
  <c r="AC15" i="3"/>
  <c r="AB15" i="3"/>
  <c r="AA16" i="3"/>
  <c r="AD15" i="3"/>
  <c r="R68" i="1" a="1"/>
  <c r="R68" i="1" s="1"/>
  <c r="T68" i="1" s="1"/>
  <c r="R216" i="1" a="1"/>
  <c r="R216" i="1" s="1"/>
  <c r="R183" i="1" a="1"/>
  <c r="R183" i="1" s="1"/>
  <c r="T183" i="1" s="1"/>
  <c r="R200" i="1" a="1"/>
  <c r="R200" i="1" s="1"/>
  <c r="T200" i="1" s="1"/>
  <c r="R225" i="1" a="1"/>
  <c r="R225" i="1" s="1"/>
  <c r="R155" i="1" a="1"/>
  <c r="R155" i="1" s="1"/>
  <c r="T155" i="1" s="1"/>
  <c r="R174" i="1" a="1"/>
  <c r="R174" i="1" s="1"/>
  <c r="T174" i="1" s="1"/>
  <c r="R209" i="1" a="1"/>
  <c r="R209" i="1" s="1"/>
  <c r="R139" i="1" a="1"/>
  <c r="R139" i="1" s="1"/>
  <c r="T139" i="1" s="1"/>
  <c r="R140" i="1" a="1"/>
  <c r="R140" i="1" s="1"/>
  <c r="T140" i="1" s="1"/>
  <c r="R213" i="1" a="1"/>
  <c r="R213" i="1" s="1"/>
  <c r="R203" i="1" a="1"/>
  <c r="R203" i="1" s="1"/>
  <c r="R193" i="1" a="1"/>
  <c r="R193" i="1" s="1"/>
  <c r="T193" i="1" s="1"/>
  <c r="R242" i="1" a="1"/>
  <c r="R242" i="1" s="1"/>
  <c r="R116" i="1" a="1"/>
  <c r="R116" i="1" s="1"/>
  <c r="T116" i="1" s="1"/>
  <c r="R100" i="1" a="1"/>
  <c r="R100" i="1" s="1"/>
  <c r="T100" i="1" s="1"/>
  <c r="R89" i="1" a="1"/>
  <c r="R89" i="1" s="1"/>
  <c r="T89" i="1" s="1"/>
  <c r="R152" i="1" a="1"/>
  <c r="R152" i="1" s="1"/>
  <c r="T152" i="1" s="1"/>
  <c r="R129" i="1" a="1"/>
  <c r="R129" i="1" s="1"/>
  <c r="T129" i="1" s="1"/>
  <c r="R246" i="1" a="1"/>
  <c r="R246" i="1" s="1"/>
  <c r="R220" i="1" a="1"/>
  <c r="R220" i="1" s="1"/>
  <c r="R163" i="1" a="1"/>
  <c r="R163" i="1" s="1"/>
  <c r="T163" i="1" s="1"/>
  <c r="R96" i="1" a="1"/>
  <c r="R96" i="1" s="1"/>
  <c r="T96" i="1" s="1"/>
  <c r="R204" i="1" a="1"/>
  <c r="R204" i="1" s="1"/>
  <c r="R160" i="1" a="1"/>
  <c r="R160" i="1" s="1"/>
  <c r="T160" i="1" s="1"/>
  <c r="R131" i="1" a="1"/>
  <c r="R131" i="1" s="1"/>
  <c r="T131" i="1" s="1"/>
  <c r="R218" i="1" a="1"/>
  <c r="R218" i="1" s="1"/>
  <c r="R256" i="1" a="1"/>
  <c r="R256" i="1" s="1"/>
  <c r="T256" i="1" s="1"/>
  <c r="R214" i="1" a="1"/>
  <c r="R214" i="1" s="1"/>
  <c r="R188" i="1" a="1"/>
  <c r="R188" i="1" s="1"/>
  <c r="T188" i="1" s="1"/>
  <c r="R123" i="1" a="1"/>
  <c r="R123" i="1" s="1"/>
  <c r="T123" i="1" s="1"/>
  <c r="R94" i="1" a="1"/>
  <c r="R94" i="1" s="1"/>
  <c r="T94" i="1" s="1"/>
  <c r="R227" i="1" a="1"/>
  <c r="R227" i="1" s="1"/>
  <c r="R202" i="1" a="1"/>
  <c r="R202" i="1" s="1"/>
  <c r="R240" i="1" a="1"/>
  <c r="R240" i="1" s="1"/>
  <c r="R198" i="1" a="1"/>
  <c r="R198" i="1" s="1"/>
  <c r="T198" i="1" s="1"/>
  <c r="R169" i="1" a="1"/>
  <c r="R169" i="1" s="1"/>
  <c r="T169" i="1" s="1"/>
  <c r="R285" i="1" a="1"/>
  <c r="R285" i="1" s="1"/>
  <c r="T285" i="1" s="1"/>
  <c r="R92" i="1" a="1"/>
  <c r="R92" i="1" s="1"/>
  <c r="T92" i="1" s="1"/>
  <c r="R210" i="1" a="1"/>
  <c r="R210" i="1" s="1"/>
  <c r="R124" i="1" a="1"/>
  <c r="R124" i="1" s="1"/>
  <c r="T124" i="1" s="1"/>
  <c r="R101" i="1" a="1"/>
  <c r="R101" i="1" s="1"/>
  <c r="T101" i="1" s="1"/>
  <c r="R145" i="1" a="1"/>
  <c r="R145" i="1" s="1"/>
  <c r="T145" i="1" s="1"/>
  <c r="R136" i="1" a="1"/>
  <c r="R136" i="1" s="1"/>
  <c r="T136" i="1" s="1"/>
  <c r="R74" i="1" a="1"/>
  <c r="R74" i="1" s="1"/>
  <c r="T74" i="1" s="1"/>
  <c r="R76" i="1" a="1"/>
  <c r="R76" i="1" s="1"/>
  <c r="T76" i="1" s="1"/>
  <c r="R54" i="1" a="1"/>
  <c r="R54" i="1" s="1"/>
  <c r="T54" i="1" s="1"/>
  <c r="R135" i="1" a="1"/>
  <c r="R135" i="1" s="1"/>
  <c r="T135" i="1" s="1"/>
  <c r="R115" i="1" a="1"/>
  <c r="R115" i="1" s="1"/>
  <c r="T115" i="1" s="1"/>
  <c r="R253" i="1" a="1"/>
  <c r="R253" i="1" s="1"/>
  <c r="T253" i="1" s="1"/>
  <c r="R119" i="1" a="1"/>
  <c r="R119" i="1" s="1"/>
  <c r="T119" i="1" s="1"/>
  <c r="R99" i="1" a="1"/>
  <c r="R99" i="1" s="1"/>
  <c r="T99" i="1" s="1"/>
  <c r="R237" i="1" a="1"/>
  <c r="R237" i="1" s="1"/>
  <c r="R103" i="1" a="1"/>
  <c r="R103" i="1" s="1"/>
  <c r="T103" i="1" s="1"/>
  <c r="R158" i="1" a="1"/>
  <c r="R158" i="1" s="1"/>
  <c r="T158" i="1" s="1"/>
  <c r="R91" i="1" a="1"/>
  <c r="R91" i="1" s="1"/>
  <c r="T91" i="1" s="1"/>
  <c r="R142" i="1" a="1"/>
  <c r="R142" i="1" s="1"/>
  <c r="T142" i="1" s="1"/>
  <c r="R205" i="1" a="1"/>
  <c r="R205" i="1" s="1"/>
  <c r="R87" i="1" a="1"/>
  <c r="R87" i="1" s="1"/>
  <c r="T87" i="1" s="1"/>
  <c r="R108" i="1" a="1"/>
  <c r="R108" i="1" s="1"/>
  <c r="T108" i="1" s="1"/>
  <c r="R189" i="1" a="1"/>
  <c r="R189" i="1" s="1"/>
  <c r="T189" i="1" s="1"/>
  <c r="R130" i="1" a="1"/>
  <c r="R130" i="1" s="1"/>
  <c r="T130" i="1" s="1"/>
  <c r="R111" i="1" a="1"/>
  <c r="R111" i="1" s="1"/>
  <c r="T111" i="1" s="1"/>
  <c r="R106" i="1" a="1"/>
  <c r="R106" i="1" s="1"/>
  <c r="T106" i="1" s="1"/>
  <c r="R95" i="1" a="1"/>
  <c r="R95" i="1" s="1"/>
  <c r="T95" i="1" s="1"/>
  <c r="R107" i="1" a="1"/>
  <c r="R107" i="1" s="1"/>
  <c r="T107" i="1" s="1"/>
  <c r="R141" i="1" a="1"/>
  <c r="R141" i="1" s="1"/>
  <c r="T141" i="1" s="1"/>
  <c r="R138" i="1" a="1"/>
  <c r="R138" i="1" s="1"/>
  <c r="T138" i="1" s="1"/>
  <c r="R232" i="1" a="1"/>
  <c r="R232" i="1" s="1"/>
  <c r="R109" i="1" a="1"/>
  <c r="R109" i="1" s="1"/>
  <c r="T109" i="1" s="1"/>
  <c r="R114" i="1" a="1"/>
  <c r="R114" i="1" s="1"/>
  <c r="T114" i="1" s="1"/>
  <c r="R105" i="1" a="1"/>
  <c r="R105" i="1" s="1"/>
  <c r="T105" i="1" s="1"/>
  <c r="R173" i="1" a="1"/>
  <c r="R173" i="1" s="1"/>
  <c r="T173" i="1" s="1"/>
  <c r="R148" i="1" a="1"/>
  <c r="R148" i="1" s="1"/>
  <c r="T148" i="1" s="1"/>
  <c r="R157" i="1" a="1"/>
  <c r="R157" i="1" s="1"/>
  <c r="T157" i="1" s="1"/>
  <c r="R132" i="1" a="1"/>
  <c r="R132" i="1" s="1"/>
  <c r="T132" i="1" s="1"/>
  <c r="R61" i="1" a="1"/>
  <c r="R61" i="1" s="1"/>
  <c r="T61" i="1" s="1"/>
  <c r="R159" i="1" a="1"/>
  <c r="R159" i="1" s="1"/>
  <c r="T159" i="1" s="1"/>
  <c r="R143" i="1" a="1"/>
  <c r="R143" i="1" s="1"/>
  <c r="T143" i="1" s="1"/>
  <c r="R127" i="1" a="1"/>
  <c r="R127" i="1" s="1"/>
  <c r="T127" i="1" s="1"/>
  <c r="R46" i="1" a="1"/>
  <c r="R46" i="1" s="1"/>
  <c r="T46" i="1" s="1"/>
  <c r="R65" i="1" a="1"/>
  <c r="R65" i="1" s="1"/>
  <c r="T65" i="1" s="1"/>
  <c r="R58" i="1" a="1"/>
  <c r="R58" i="1" s="1"/>
  <c r="T58" i="1" s="1"/>
  <c r="R122" i="1" a="1"/>
  <c r="R122" i="1" s="1"/>
  <c r="T122" i="1" s="1"/>
  <c r="R56" i="1" a="1"/>
  <c r="R56" i="1" s="1"/>
  <c r="T56" i="1" s="1"/>
  <c r="R149" i="1" a="1"/>
  <c r="R149" i="1" s="1"/>
  <c r="T149" i="1" s="1"/>
  <c r="R126" i="1" a="1"/>
  <c r="R126" i="1" s="1"/>
  <c r="T126" i="1" s="1"/>
  <c r="R133" i="1" a="1"/>
  <c r="R133" i="1" s="1"/>
  <c r="T133" i="1" s="1"/>
  <c r="R153" i="1" a="1"/>
  <c r="R153" i="1" s="1"/>
  <c r="T153" i="1" s="1"/>
  <c r="R121" i="1" a="1"/>
  <c r="R121" i="1" s="1"/>
  <c r="T121" i="1" s="1"/>
  <c r="R137" i="1" a="1"/>
  <c r="R137" i="1" s="1"/>
  <c r="T137" i="1" s="1"/>
  <c r="R117" i="1" a="1"/>
  <c r="R117" i="1" s="1"/>
  <c r="T117" i="1" s="1"/>
  <c r="R53" i="1" a="1"/>
  <c r="R53" i="1" s="1"/>
  <c r="T53" i="1" s="1"/>
  <c r="R144" i="1" a="1"/>
  <c r="R144" i="1" s="1"/>
  <c r="T144" i="1" s="1"/>
  <c r="R128" i="1" a="1"/>
  <c r="R128" i="1" s="1"/>
  <c r="T128" i="1" s="1"/>
  <c r="R120" i="1" a="1"/>
  <c r="R120" i="1" s="1"/>
  <c r="T120" i="1" s="1"/>
  <c r="R93" i="1" a="1"/>
  <c r="R93" i="1" s="1"/>
  <c r="T93" i="1" s="1"/>
  <c r="R66" i="1" a="1"/>
  <c r="R66" i="1" s="1"/>
  <c r="T66" i="1" s="1"/>
  <c r="R78" i="1" a="1"/>
  <c r="R78" i="1" s="1"/>
  <c r="T78" i="1" s="1"/>
  <c r="R63" i="1" a="1"/>
  <c r="R63" i="1" s="1"/>
  <c r="T63" i="1" s="1"/>
  <c r="R79" i="1" a="1"/>
  <c r="R79" i="1" s="1"/>
  <c r="T79" i="1" s="1"/>
  <c r="R88" i="1" a="1"/>
  <c r="R88" i="1" s="1"/>
  <c r="T88" i="1" s="1"/>
  <c r="R118" i="1" a="1"/>
  <c r="R118" i="1" s="1"/>
  <c r="T118" i="1" s="1"/>
  <c r="R98" i="1" a="1"/>
  <c r="R98" i="1" s="1"/>
  <c r="T98" i="1" s="1"/>
  <c r="R51" i="1" a="1"/>
  <c r="R51" i="1" s="1"/>
  <c r="T51" i="1" s="1"/>
  <c r="R102" i="1" a="1"/>
  <c r="R102" i="1" s="1"/>
  <c r="T102" i="1" s="1"/>
  <c r="R165" i="1" a="1"/>
  <c r="R165" i="1" s="1"/>
  <c r="T165" i="1" s="1"/>
  <c r="R75" i="1" a="1"/>
  <c r="R75" i="1" s="1"/>
  <c r="T75" i="1" s="1"/>
  <c r="R81" i="1" a="1"/>
  <c r="R81" i="1" s="1"/>
  <c r="T81" i="1" s="1"/>
  <c r="R84" i="1" a="1"/>
  <c r="R84" i="1" s="1"/>
  <c r="T84" i="1" s="1"/>
  <c r="R71" i="1" a="1"/>
  <c r="R71" i="1" s="1"/>
  <c r="T71" i="1" s="1"/>
  <c r="R67" i="1" a="1"/>
  <c r="R67" i="1" s="1"/>
  <c r="T67" i="1" s="1"/>
  <c r="R83" i="1" a="1"/>
  <c r="R83" i="1" s="1"/>
  <c r="T83" i="1" s="1"/>
  <c r="R104" i="1" a="1"/>
  <c r="R104" i="1" s="1"/>
  <c r="T104" i="1" s="1"/>
  <c r="R77" i="1" a="1"/>
  <c r="R77" i="1" s="1"/>
  <c r="T77" i="1" s="1"/>
  <c r="I12" i="1"/>
  <c r="R70" i="1" a="1"/>
  <c r="R70" i="1" s="1"/>
  <c r="T70" i="1" s="1"/>
  <c r="AX8" i="1"/>
  <c r="AY8" i="1"/>
  <c r="AZ8" i="1"/>
  <c r="AW9" i="1"/>
  <c r="BI50" i="1"/>
  <c r="BL49" i="1"/>
  <c r="BK49" i="1"/>
  <c r="R82" i="1" a="1"/>
  <c r="R82" i="1" s="1"/>
  <c r="T82" i="1" s="1"/>
  <c r="R50" i="1" a="1"/>
  <c r="R50" i="1" s="1"/>
  <c r="T50" i="1" s="1"/>
  <c r="BJ49" i="1"/>
  <c r="I23" i="1"/>
  <c r="R72" i="1" a="1"/>
  <c r="R72" i="1" s="1"/>
  <c r="T72" i="1" s="1"/>
  <c r="R62" i="1" a="1"/>
  <c r="R62" i="1" s="1"/>
  <c r="T62" i="1" s="1"/>
  <c r="H24" i="1"/>
  <c r="G25" i="1" s="1"/>
  <c r="R59" i="1" a="1"/>
  <c r="R59" i="1" s="1"/>
  <c r="T59" i="1" s="1"/>
  <c r="AB8" i="1"/>
  <c r="AC8" i="1"/>
  <c r="AD8" i="1"/>
  <c r="AP52" i="1" s="1"/>
  <c r="AA9" i="1"/>
  <c r="AI50" i="1"/>
  <c r="AL49" i="1"/>
  <c r="AS51" i="1"/>
  <c r="R184" i="1" a="1"/>
  <c r="R184" i="1" s="1"/>
  <c r="T184" i="1" s="1"/>
  <c r="R125" i="1" a="1"/>
  <c r="R125" i="1" s="1"/>
  <c r="T125" i="1" s="1"/>
  <c r="R73" i="1" a="1"/>
  <c r="R73" i="1" s="1"/>
  <c r="T73" i="1" s="1"/>
  <c r="R90" i="1" a="1"/>
  <c r="R90" i="1" s="1"/>
  <c r="T90" i="1" s="1"/>
  <c r="R85" i="1" a="1"/>
  <c r="R85" i="1" s="1"/>
  <c r="T85" i="1" s="1"/>
  <c r="R69" i="1" a="1"/>
  <c r="R69" i="1" s="1"/>
  <c r="T69" i="1" s="1"/>
  <c r="AP51" i="1"/>
  <c r="H13" i="1"/>
  <c r="R64" i="1" a="1"/>
  <c r="R64" i="1" s="1"/>
  <c r="T64" i="1" s="1"/>
  <c r="AK49" i="1"/>
  <c r="AR51" i="1"/>
  <c r="R80" i="1" a="1"/>
  <c r="R80" i="1" s="1"/>
  <c r="T80" i="1" s="1"/>
  <c r="AQ51" i="1"/>
  <c r="AJ49" i="1"/>
  <c r="I13" i="1" l="1"/>
  <c r="DD7" i="1"/>
  <c r="DL49" i="1" s="1"/>
  <c r="DB7" i="1"/>
  <c r="DJ49" i="1" s="1"/>
  <c r="DB6" i="1"/>
  <c r="DJ48" i="1" s="1"/>
  <c r="DB8" i="1"/>
  <c r="DJ50" i="1" s="1"/>
  <c r="DB5" i="1"/>
  <c r="DJ47" i="1" s="1"/>
  <c r="DD5" i="1"/>
  <c r="DL47" i="1" s="1"/>
  <c r="DC5" i="1"/>
  <c r="DK47" i="1" s="1"/>
  <c r="DC8" i="1"/>
  <c r="DK50" i="1" s="1"/>
  <c r="DC7" i="1"/>
  <c r="DK49" i="1" s="1"/>
  <c r="DD8" i="1"/>
  <c r="DL50" i="1" s="1"/>
  <c r="DD6" i="1"/>
  <c r="DL48" i="1" s="1"/>
  <c r="DC6" i="1"/>
  <c r="DK48" i="1" s="1"/>
  <c r="BS129" i="1"/>
  <c r="BR129" i="1"/>
  <c r="BQ129" i="1"/>
  <c r="BP129" i="1"/>
  <c r="DD12" i="1"/>
  <c r="DL54" i="1" s="1"/>
  <c r="DB11" i="1"/>
  <c r="DJ53" i="1" s="1"/>
  <c r="DB10" i="1"/>
  <c r="DJ52" i="1" s="1"/>
  <c r="DB12" i="1"/>
  <c r="DJ54" i="1" s="1"/>
  <c r="DC11" i="1"/>
  <c r="DK53" i="1" s="1"/>
  <c r="DB9" i="1"/>
  <c r="DJ51" i="1" s="1"/>
  <c r="DC9" i="1"/>
  <c r="DK51" i="1" s="1"/>
  <c r="DD11" i="1"/>
  <c r="DL53" i="1" s="1"/>
  <c r="DC12" i="1"/>
  <c r="DK54" i="1" s="1"/>
  <c r="DC10" i="1"/>
  <c r="DK52" i="1" s="1"/>
  <c r="DD9" i="1"/>
  <c r="DL51" i="1" s="1"/>
  <c r="DD10" i="1"/>
  <c r="DL52" i="1" s="1"/>
  <c r="DQ5" i="1"/>
  <c r="DY47" i="1" s="1"/>
  <c r="DB20" i="1"/>
  <c r="DJ62" i="1" s="1"/>
  <c r="DC18" i="1"/>
  <c r="DK60" i="1" s="1"/>
  <c r="DD16" i="1"/>
  <c r="DL58" i="1" s="1"/>
  <c r="DR19" i="1"/>
  <c r="DZ61" i="1" s="1"/>
  <c r="DQ20" i="1"/>
  <c r="DR7" i="1"/>
  <c r="DB17" i="1"/>
  <c r="DJ59" i="1" s="1"/>
  <c r="DD14" i="1"/>
  <c r="DL56" i="1" s="1"/>
  <c r="DQ14" i="1"/>
  <c r="DY56" i="1" s="1"/>
  <c r="DS18" i="1"/>
  <c r="EE62" i="1" s="1"/>
  <c r="DQ7" i="1"/>
  <c r="DY49" i="1" s="1"/>
  <c r="DQ16" i="1"/>
  <c r="DS15" i="1"/>
  <c r="EH59" i="1" s="1"/>
  <c r="DS12" i="1"/>
  <c r="EA54" i="1" s="1"/>
  <c r="DD13" i="1"/>
  <c r="DL55" i="1" s="1"/>
  <c r="DS17" i="1"/>
  <c r="EA59" i="1" s="1"/>
  <c r="DQ6" i="1"/>
  <c r="DS10" i="1"/>
  <c r="EH54" i="1" s="1"/>
  <c r="DB13" i="1"/>
  <c r="DJ55" i="1" s="1"/>
  <c r="DC15" i="1"/>
  <c r="DK57" i="1" s="1"/>
  <c r="DD20" i="1"/>
  <c r="DL62" i="1" s="1"/>
  <c r="DS11" i="1"/>
  <c r="DQ19" i="1"/>
  <c r="DS5" i="1"/>
  <c r="EH49" i="1" s="1"/>
  <c r="DR17" i="1"/>
  <c r="DZ59" i="1" s="1"/>
  <c r="DR18" i="1"/>
  <c r="DZ60" i="1" s="1"/>
  <c r="DR12" i="1"/>
  <c r="DZ54" i="1" s="1"/>
  <c r="DR13" i="1"/>
  <c r="DC20" i="1"/>
  <c r="DK62" i="1" s="1"/>
  <c r="DS14" i="1"/>
  <c r="EE58" i="1" s="1"/>
  <c r="DR15" i="1"/>
  <c r="DS20" i="1"/>
  <c r="DR16" i="1"/>
  <c r="DS8" i="1"/>
  <c r="EH52" i="1" s="1"/>
  <c r="DR10" i="1"/>
  <c r="DZ52" i="1" s="1"/>
  <c r="DC13" i="1"/>
  <c r="DK55" i="1" s="1"/>
  <c r="DB18" i="1"/>
  <c r="DJ60" i="1" s="1"/>
  <c r="DD15" i="1"/>
  <c r="DL57" i="1" s="1"/>
  <c r="DR11" i="1"/>
  <c r="EG55" i="1" s="1"/>
  <c r="DQ18" i="1"/>
  <c r="DY60" i="1" s="1"/>
  <c r="DR5" i="1"/>
  <c r="DZ47" i="1" s="1"/>
  <c r="DQ17" i="1"/>
  <c r="DY59" i="1" s="1"/>
  <c r="DQ15" i="1"/>
  <c r="DS13" i="1"/>
  <c r="EA55" i="1" s="1"/>
  <c r="DC17" i="1"/>
  <c r="DK59" i="1" s="1"/>
  <c r="DC19" i="1"/>
  <c r="DK61" i="1" s="1"/>
  <c r="DB14" i="1"/>
  <c r="DJ56" i="1" s="1"/>
  <c r="DD19" i="1"/>
  <c r="DL61" i="1" s="1"/>
  <c r="DS6" i="1"/>
  <c r="DR8" i="1"/>
  <c r="DZ50" i="1" s="1"/>
  <c r="DS7" i="1"/>
  <c r="EE51" i="1" s="1"/>
  <c r="DB16" i="1"/>
  <c r="DJ58" i="1" s="1"/>
  <c r="DR6" i="1"/>
  <c r="DD18" i="1"/>
  <c r="DL60" i="1" s="1"/>
  <c r="DB19" i="1"/>
  <c r="DJ61" i="1" s="1"/>
  <c r="DQ13" i="1"/>
  <c r="DS16" i="1"/>
  <c r="EA58" i="1" s="1"/>
  <c r="DQ12" i="1"/>
  <c r="DY54" i="1" s="1"/>
  <c r="DB15" i="1"/>
  <c r="DJ57" i="1" s="1"/>
  <c r="DC14" i="1"/>
  <c r="DK56" i="1" s="1"/>
  <c r="DR14" i="1"/>
  <c r="DQ8" i="1"/>
  <c r="DR20" i="1"/>
  <c r="DZ62" i="1" s="1"/>
  <c r="DS19" i="1"/>
  <c r="DS9" i="1"/>
  <c r="DQ10" i="1"/>
  <c r="DY52" i="1" s="1"/>
  <c r="DQ9" i="1"/>
  <c r="DY51" i="1" s="1"/>
  <c r="DD17" i="1"/>
  <c r="DL59" i="1" s="1"/>
  <c r="DC16" i="1"/>
  <c r="DK58" i="1" s="1"/>
  <c r="DQ11" i="1"/>
  <c r="DY53" i="1" s="1"/>
  <c r="DR9" i="1"/>
  <c r="DZ51" i="1" s="1"/>
  <c r="H16" i="3"/>
  <c r="N102" i="3" s="1" a="1"/>
  <c r="N102" i="3" s="1"/>
  <c r="N255" i="3" a="1"/>
  <c r="N255" i="3" s="1"/>
  <c r="BG56" i="3"/>
  <c r="BN58" i="3"/>
  <c r="G29" i="3"/>
  <c r="AL57" i="3"/>
  <c r="AS59" i="3"/>
  <c r="AI58" i="3"/>
  <c r="AC16" i="3"/>
  <c r="AA17" i="3"/>
  <c r="AD16" i="3"/>
  <c r="AB16" i="3"/>
  <c r="AP59" i="3"/>
  <c r="BH56" i="3"/>
  <c r="BO58" i="3"/>
  <c r="I28" i="3"/>
  <c r="AJ57" i="3"/>
  <c r="AQ59" i="3"/>
  <c r="AK57" i="3"/>
  <c r="AR59" i="3"/>
  <c r="BI56" i="3"/>
  <c r="BP58" i="3"/>
  <c r="BF57" i="3"/>
  <c r="AW16" i="3"/>
  <c r="AZ15" i="3"/>
  <c r="BM59" i="3" s="1"/>
  <c r="AX15" i="3"/>
  <c r="AY15" i="3"/>
  <c r="I24" i="1"/>
  <c r="T223" i="1"/>
  <c r="T205" i="1"/>
  <c r="T210" i="1"/>
  <c r="T209" i="1"/>
  <c r="T237" i="1"/>
  <c r="AB9" i="1"/>
  <c r="AC9" i="1"/>
  <c r="AD9" i="1"/>
  <c r="AP53" i="1" s="1"/>
  <c r="AA10" i="1"/>
  <c r="AI51" i="1"/>
  <c r="T232" i="1"/>
  <c r="T219" i="1"/>
  <c r="T241" i="1"/>
  <c r="AL50" i="1"/>
  <c r="AS52" i="1"/>
  <c r="T229" i="1"/>
  <c r="T248" i="1"/>
  <c r="AK50" i="1"/>
  <c r="AR52" i="1"/>
  <c r="T228" i="1"/>
  <c r="T208" i="1"/>
  <c r="T201" i="1"/>
  <c r="T239" i="1"/>
  <c r="AJ50" i="1"/>
  <c r="AQ52" i="1"/>
  <c r="T224" i="1"/>
  <c r="T222" i="1"/>
  <c r="G14" i="1"/>
  <c r="AX9" i="1"/>
  <c r="AY9" i="1"/>
  <c r="AW10" i="1"/>
  <c r="AZ9" i="1"/>
  <c r="BP130" i="1" s="1"/>
  <c r="BI51" i="1"/>
  <c r="T233" i="1"/>
  <c r="T215" i="1"/>
  <c r="T231" i="1"/>
  <c r="H25" i="1"/>
  <c r="G26" i="1" s="1"/>
  <c r="T221" i="1"/>
  <c r="BL50" i="1"/>
  <c r="T211" i="1"/>
  <c r="T247" i="1"/>
  <c r="T204" i="1"/>
  <c r="T225" i="1"/>
  <c r="BK50" i="1"/>
  <c r="DZ48" i="1"/>
  <c r="T240" i="1"/>
  <c r="T230" i="1"/>
  <c r="T235" i="1"/>
  <c r="BJ50" i="1"/>
  <c r="DY62" i="1"/>
  <c r="DZ49" i="1"/>
  <c r="T202" i="1"/>
  <c r="T234" i="1"/>
  <c r="T245" i="1"/>
  <c r="EH62" i="1"/>
  <c r="EA60" i="1"/>
  <c r="T227" i="1"/>
  <c r="T206" i="1"/>
  <c r="T243" i="1"/>
  <c r="T238" i="1"/>
  <c r="T244" i="1"/>
  <c r="T226" i="1"/>
  <c r="T242" i="1"/>
  <c r="EA53" i="1"/>
  <c r="EH55" i="1"/>
  <c r="EE55" i="1"/>
  <c r="DY61" i="1"/>
  <c r="T214" i="1"/>
  <c r="T220" i="1"/>
  <c r="T216" i="1"/>
  <c r="T207" i="1"/>
  <c r="T203" i="1"/>
  <c r="EG62" i="1"/>
  <c r="T218" i="1"/>
  <c r="T212" i="1"/>
  <c r="T246" i="1"/>
  <c r="T236" i="1"/>
  <c r="T217" i="1"/>
  <c r="T213" i="1"/>
  <c r="N193" i="3" l="1" a="1"/>
  <c r="N193" i="3" s="1"/>
  <c r="N280" i="3" a="1"/>
  <c r="N280" i="3" s="1"/>
  <c r="N194" i="3" a="1"/>
  <c r="N194" i="3" s="1"/>
  <c r="N327" i="3" a="1"/>
  <c r="N327" i="3" s="1"/>
  <c r="N171" i="3" a="1"/>
  <c r="N171" i="3" s="1"/>
  <c r="N70" i="3" a="1"/>
  <c r="N70" i="3" s="1"/>
  <c r="N63" i="3" a="1"/>
  <c r="N63" i="3" s="1"/>
  <c r="N80" i="3" a="1"/>
  <c r="N80" i="3" s="1"/>
  <c r="N196" i="3" a="1"/>
  <c r="N196" i="3" s="1"/>
  <c r="N271" i="3" a="1"/>
  <c r="N271" i="3" s="1"/>
  <c r="N214" i="3" a="1"/>
  <c r="N214" i="3" s="1"/>
  <c r="EE49" i="1"/>
  <c r="EA47" i="1"/>
  <c r="N87" i="3" a="1"/>
  <c r="N87" i="3" s="1"/>
  <c r="N211" i="3" a="1"/>
  <c r="N211" i="3" s="1"/>
  <c r="N308" i="3" a="1"/>
  <c r="N308" i="3" s="1"/>
  <c r="N291" i="3" a="1"/>
  <c r="N291" i="3" s="1"/>
  <c r="N338" i="3" a="1"/>
  <c r="N338" i="3" s="1"/>
  <c r="N58" i="3" a="1"/>
  <c r="N58" i="3" s="1"/>
  <c r="N160" i="3" a="1"/>
  <c r="N160" i="3" s="1"/>
  <c r="N172" i="3" a="1"/>
  <c r="N172" i="3" s="1"/>
  <c r="N224" i="3" a="1"/>
  <c r="N224" i="3" s="1"/>
  <c r="N192" i="3" a="1"/>
  <c r="N192" i="3" s="1"/>
  <c r="N240" i="3" a="1"/>
  <c r="N240" i="3" s="1"/>
  <c r="N286" i="3" a="1"/>
  <c r="N286" i="3" s="1"/>
  <c r="N77" i="3" a="1"/>
  <c r="N77" i="3" s="1"/>
  <c r="N25" i="3" a="1"/>
  <c r="N25" i="3" s="1"/>
  <c r="N111" i="3" a="1"/>
  <c r="N111" i="3" s="1"/>
  <c r="N330" i="3" a="1"/>
  <c r="N330" i="3" s="1"/>
  <c r="N6" i="3" a="1"/>
  <c r="N6" i="3" s="1"/>
  <c r="N284" i="3" a="1"/>
  <c r="N284" i="3" s="1"/>
  <c r="N345" i="3" a="1"/>
  <c r="N345" i="3" s="1"/>
  <c r="N57" i="3" a="1"/>
  <c r="N57" i="3" s="1"/>
  <c r="N274" i="3" a="1"/>
  <c r="N274" i="3" s="1"/>
  <c r="N198" i="3" a="1"/>
  <c r="N198" i="3" s="1"/>
  <c r="N54" i="3" a="1"/>
  <c r="N54" i="3" s="1"/>
  <c r="N107" i="3" a="1"/>
  <c r="N107" i="3" s="1"/>
  <c r="N205" i="3" a="1"/>
  <c r="N205" i="3" s="1"/>
  <c r="N228" i="3" a="1"/>
  <c r="N228" i="3" s="1"/>
  <c r="N227" i="3" a="1"/>
  <c r="N227" i="3" s="1"/>
  <c r="N99" i="3" a="1"/>
  <c r="N99" i="3" s="1"/>
  <c r="N261" i="3" a="1"/>
  <c r="N261" i="3" s="1"/>
  <c r="N300" i="3" a="1"/>
  <c r="N300" i="3" s="1"/>
  <c r="N37" i="3" a="1"/>
  <c r="N37" i="3" s="1"/>
  <c r="N184" i="3" a="1"/>
  <c r="N184" i="3" s="1"/>
  <c r="N60" i="3" a="1"/>
  <c r="N60" i="3" s="1"/>
  <c r="N243" i="3" a="1"/>
  <c r="N243" i="3" s="1"/>
  <c r="N139" i="3" a="1"/>
  <c r="N139" i="3" s="1"/>
  <c r="N83" i="3" a="1"/>
  <c r="N83" i="3" s="1"/>
  <c r="N225" i="3" a="1"/>
  <c r="N225" i="3" s="1"/>
  <c r="N352" i="3" a="1"/>
  <c r="N352" i="3" s="1"/>
  <c r="N314" i="3" a="1"/>
  <c r="N314" i="3" s="1"/>
  <c r="N18" i="3" a="1"/>
  <c r="N18" i="3" s="1"/>
  <c r="N125" i="3" a="1"/>
  <c r="N125" i="3" s="1"/>
  <c r="N95" i="3" a="1"/>
  <c r="N95" i="3" s="1"/>
  <c r="N248" i="3" a="1"/>
  <c r="N248" i="3" s="1"/>
  <c r="N73" i="3" a="1"/>
  <c r="N73" i="3" s="1"/>
  <c r="N189" i="3" a="1"/>
  <c r="N189" i="3" s="1"/>
  <c r="N250" i="3" a="1"/>
  <c r="N250" i="3" s="1"/>
  <c r="N259" i="3" a="1"/>
  <c r="N259" i="3" s="1"/>
  <c r="N12" i="3" a="1"/>
  <c r="N12" i="3" s="1"/>
  <c r="N116" i="3" a="1"/>
  <c r="N116" i="3" s="1"/>
  <c r="N235" i="3" a="1"/>
  <c r="N235" i="3" s="1"/>
  <c r="N114" i="3" a="1"/>
  <c r="N114" i="3" s="1"/>
  <c r="N268" i="3" a="1"/>
  <c r="N268" i="3" s="1"/>
  <c r="N105" i="3" a="1"/>
  <c r="N105" i="3" s="1"/>
  <c r="N222" i="3" a="1"/>
  <c r="N222" i="3" s="1"/>
  <c r="N108" i="3" a="1"/>
  <c r="N108" i="3" s="1"/>
  <c r="N339" i="3" a="1"/>
  <c r="N339" i="3" s="1"/>
  <c r="N302" i="3" a="1"/>
  <c r="N302" i="3" s="1"/>
  <c r="N52" i="3" a="1"/>
  <c r="N52" i="3" s="1"/>
  <c r="N174" i="3" a="1"/>
  <c r="N174" i="3" s="1"/>
  <c r="N11" i="3" a="1"/>
  <c r="N11" i="3" s="1"/>
  <c r="N296" i="3" a="1"/>
  <c r="N296" i="3" s="1"/>
  <c r="N200" i="3" a="1"/>
  <c r="N200" i="3" s="1"/>
  <c r="N289" i="3" a="1"/>
  <c r="N289" i="3" s="1"/>
  <c r="N72" i="3" a="1"/>
  <c r="N72" i="3" s="1"/>
  <c r="EF62" i="1"/>
  <c r="DZ53" i="1"/>
  <c r="EF63" i="1"/>
  <c r="N181" i="3" a="1"/>
  <c r="N181" i="3" s="1"/>
  <c r="N220" i="3" a="1"/>
  <c r="N220" i="3" s="1"/>
  <c r="N135" i="3" a="1"/>
  <c r="N135" i="3" s="1"/>
  <c r="N278" i="3" a="1"/>
  <c r="N278" i="3" s="1"/>
  <c r="N43" i="3" a="1"/>
  <c r="N43" i="3" s="1"/>
  <c r="N137" i="3" a="1"/>
  <c r="N137" i="3" s="1"/>
  <c r="N244" i="3" a="1"/>
  <c r="N244" i="3" s="1"/>
  <c r="N310" i="3" a="1"/>
  <c r="N310" i="3" s="1"/>
  <c r="N141" i="3" a="1"/>
  <c r="N141" i="3" s="1"/>
  <c r="N226" i="3" a="1"/>
  <c r="N226" i="3" s="1"/>
  <c r="N146" i="3" a="1"/>
  <c r="N146" i="3" s="1"/>
  <c r="N56" i="3" a="1"/>
  <c r="N56" i="3" s="1"/>
  <c r="N5" i="3" a="1"/>
  <c r="N5" i="3" s="1"/>
  <c r="N326" i="3" a="1"/>
  <c r="N326" i="3" s="1"/>
  <c r="EE54" i="1"/>
  <c r="EA52" i="1"/>
  <c r="EF54" i="1"/>
  <c r="EG59" i="1"/>
  <c r="EE52" i="1"/>
  <c r="EF52" i="1"/>
  <c r="EG49" i="1"/>
  <c r="EF55" i="1"/>
  <c r="DZ57" i="1"/>
  <c r="EF49" i="1"/>
  <c r="N324" i="3" a="1"/>
  <c r="N324" i="3" s="1"/>
  <c r="N353" i="3" a="1"/>
  <c r="N353" i="3" s="1"/>
  <c r="N19" i="3" a="1"/>
  <c r="N19" i="3" s="1"/>
  <c r="O19" i="3" s="1"/>
  <c r="N262" i="3" a="1"/>
  <c r="N262" i="3" s="1"/>
  <c r="N175" i="3" a="1"/>
  <c r="N175" i="3" s="1"/>
  <c r="N39" i="3" a="1"/>
  <c r="N39" i="3" s="1"/>
  <c r="N78" i="3" a="1"/>
  <c r="N78" i="3" s="1"/>
  <c r="EH51" i="1"/>
  <c r="EA49" i="1"/>
  <c r="EG52" i="1"/>
  <c r="EG51" i="1"/>
  <c r="EA50" i="1"/>
  <c r="EG54" i="1"/>
  <c r="EG58" i="1"/>
  <c r="EG57" i="1"/>
  <c r="EF60" i="1"/>
  <c r="EF59" i="1"/>
  <c r="EG56" i="1"/>
  <c r="EF58" i="1"/>
  <c r="EF56" i="1"/>
  <c r="EA56" i="1"/>
  <c r="EH56" i="1"/>
  <c r="EE56" i="1"/>
  <c r="EH58" i="1"/>
  <c r="EE59" i="1"/>
  <c r="EA57" i="1"/>
  <c r="DY50" i="1"/>
  <c r="DZ56" i="1"/>
  <c r="EF51" i="1"/>
  <c r="EF57" i="1"/>
  <c r="DZ55" i="1"/>
  <c r="DY58" i="1"/>
  <c r="EH57" i="1"/>
  <c r="DY57" i="1"/>
  <c r="EE60" i="1"/>
  <c r="EH60" i="1"/>
  <c r="DY55" i="1"/>
  <c r="EE57" i="1"/>
  <c r="EG64" i="1"/>
  <c r="EF64" i="1"/>
  <c r="DG7" i="1"/>
  <c r="EF61" i="1"/>
  <c r="EE61" i="1"/>
  <c r="EG63" i="1"/>
  <c r="EE63" i="1"/>
  <c r="EH61" i="1"/>
  <c r="EH63" i="1"/>
  <c r="EA61" i="1"/>
  <c r="DG9" i="1"/>
  <c r="EG61" i="1"/>
  <c r="DG6" i="1"/>
  <c r="EA62" i="1"/>
  <c r="DG5" i="1"/>
  <c r="EE64" i="1"/>
  <c r="EH64" i="1"/>
  <c r="DG8" i="1"/>
  <c r="EG53" i="1"/>
  <c r="DV10" i="1"/>
  <c r="EG60" i="1"/>
  <c r="EF50" i="1"/>
  <c r="EF53" i="1"/>
  <c r="EG50" i="1"/>
  <c r="DV8" i="1"/>
  <c r="EE50" i="1"/>
  <c r="DY48" i="1"/>
  <c r="EH50" i="1"/>
  <c r="EA48" i="1"/>
  <c r="DV6" i="1"/>
  <c r="DZ58" i="1"/>
  <c r="DV5" i="1"/>
  <c r="DV7" i="1"/>
  <c r="DV9" i="1"/>
  <c r="EE53" i="1"/>
  <c r="EA51" i="1"/>
  <c r="EH53" i="1"/>
  <c r="AJ58" i="3"/>
  <c r="AQ60" i="3"/>
  <c r="AK58" i="3"/>
  <c r="AR60" i="3"/>
  <c r="N318" i="3" a="1"/>
  <c r="N318" i="3" s="1"/>
  <c r="N282" i="3" a="1"/>
  <c r="N282" i="3" s="1"/>
  <c r="N21" i="3" a="1"/>
  <c r="N21" i="3" s="1"/>
  <c r="N238" i="3" a="1"/>
  <c r="N238" i="3" s="1"/>
  <c r="N157" i="3" a="1"/>
  <c r="N157" i="3" s="1"/>
  <c r="N350" i="3" a="1"/>
  <c r="N350" i="3" s="1"/>
  <c r="N323" i="3" a="1"/>
  <c r="N323" i="3" s="1"/>
  <c r="N332" i="3" a="1"/>
  <c r="N332" i="3" s="1"/>
  <c r="N247" i="3" a="1"/>
  <c r="N247" i="3" s="1"/>
  <c r="N252" i="3" a="1"/>
  <c r="N252" i="3" s="1"/>
  <c r="N209" i="3" a="1"/>
  <c r="N209" i="3" s="1"/>
  <c r="N229" i="3" a="1"/>
  <c r="N229" i="3" s="1"/>
  <c r="N68" i="3" a="1"/>
  <c r="N68" i="3" s="1"/>
  <c r="N115" i="3" a="1"/>
  <c r="N115" i="3" s="1"/>
  <c r="N154" i="3" a="1"/>
  <c r="N154" i="3" s="1"/>
  <c r="I16" i="3"/>
  <c r="BP59" i="3"/>
  <c r="BI57" i="3"/>
  <c r="N316" i="3" a="1"/>
  <c r="N316" i="3" s="1"/>
  <c r="N85" i="3" a="1"/>
  <c r="N85" i="3" s="1"/>
  <c r="N8" i="3" a="1"/>
  <c r="N8" i="3" s="1"/>
  <c r="N251" i="3" a="1"/>
  <c r="N251" i="3" s="1"/>
  <c r="N168" i="3" a="1"/>
  <c r="N168" i="3" s="1"/>
  <c r="N276" i="3" a="1"/>
  <c r="N276" i="3" s="1"/>
  <c r="N197" i="3" a="1"/>
  <c r="N197" i="3" s="1"/>
  <c r="N279" i="3" a="1"/>
  <c r="N279" i="3" s="1"/>
  <c r="N270" i="3" a="1"/>
  <c r="N270" i="3" s="1"/>
  <c r="N212" i="3" a="1"/>
  <c r="N212" i="3" s="1"/>
  <c r="N112" i="3" a="1"/>
  <c r="N112" i="3" s="1"/>
  <c r="N199" i="3" a="1"/>
  <c r="N199" i="3" s="1"/>
  <c r="N67" i="3" a="1"/>
  <c r="N67" i="3" s="1"/>
  <c r="N355" i="3" a="1"/>
  <c r="N355" i="3" s="1"/>
  <c r="N178" i="3" a="1"/>
  <c r="N178" i="3" s="1"/>
  <c r="N104" i="3" a="1"/>
  <c r="N104" i="3" s="1"/>
  <c r="N182" i="3" a="1"/>
  <c r="N182" i="3" s="1"/>
  <c r="N96" i="3" a="1"/>
  <c r="N96" i="3" s="1"/>
  <c r="N306" i="3" a="1"/>
  <c r="N306" i="3" s="1"/>
  <c r="N74" i="3" a="1"/>
  <c r="N74" i="3" s="1"/>
  <c r="N325" i="3" a="1"/>
  <c r="N325" i="3" s="1"/>
  <c r="N136" i="3" a="1"/>
  <c r="N136" i="3" s="1"/>
  <c r="N159" i="3" a="1"/>
  <c r="N159" i="3" s="1"/>
  <c r="N156" i="3" a="1"/>
  <c r="N156" i="3" s="1"/>
  <c r="N307" i="3" a="1"/>
  <c r="N307" i="3" s="1"/>
  <c r="N152" i="3" a="1"/>
  <c r="N152" i="3" s="1"/>
  <c r="N22" i="3" a="1"/>
  <c r="N22" i="3" s="1"/>
  <c r="N153" i="3" a="1"/>
  <c r="N153" i="3" s="1"/>
  <c r="N295" i="3" a="1"/>
  <c r="N295" i="3" s="1"/>
  <c r="N217" i="3" a="1"/>
  <c r="N217" i="3" s="1"/>
  <c r="N121" i="3" a="1"/>
  <c r="N121" i="3" s="1"/>
  <c r="N7" i="3" a="1"/>
  <c r="N7" i="3" s="1"/>
  <c r="N128" i="3" a="1"/>
  <c r="N128" i="3" s="1"/>
  <c r="N315" i="3" a="1"/>
  <c r="N315" i="3" s="1"/>
  <c r="N82" i="3" a="1"/>
  <c r="N82" i="3" s="1"/>
  <c r="N32" i="3" a="1"/>
  <c r="N32" i="3" s="1"/>
  <c r="N69" i="3" a="1"/>
  <c r="N69" i="3" s="1"/>
  <c r="N84" i="3" a="1"/>
  <c r="N84" i="3" s="1"/>
  <c r="N336" i="3" a="1"/>
  <c r="N336" i="3" s="1"/>
  <c r="N42" i="3" a="1"/>
  <c r="N42" i="3" s="1"/>
  <c r="N90" i="3" a="1"/>
  <c r="N90" i="3" s="1"/>
  <c r="N304" i="3" a="1"/>
  <c r="N304" i="3" s="1"/>
  <c r="N164" i="3" a="1"/>
  <c r="N164" i="3" s="1"/>
  <c r="N71" i="3" a="1"/>
  <c r="N71" i="3" s="1"/>
  <c r="N66" i="3" a="1"/>
  <c r="N66" i="3" s="1"/>
  <c r="N110" i="3" a="1"/>
  <c r="N110" i="3" s="1"/>
  <c r="N201" i="3" a="1"/>
  <c r="N201" i="3" s="1"/>
  <c r="N320" i="3" a="1"/>
  <c r="N320" i="3" s="1"/>
  <c r="N129" i="3" a="1"/>
  <c r="N129" i="3" s="1"/>
  <c r="N176" i="3" a="1"/>
  <c r="N176" i="3" s="1"/>
  <c r="N317" i="3" a="1"/>
  <c r="N317" i="3" s="1"/>
  <c r="N299" i="3" a="1"/>
  <c r="N299" i="3" s="1"/>
  <c r="N92" i="3" a="1"/>
  <c r="N92" i="3" s="1"/>
  <c r="N234" i="3" a="1"/>
  <c r="N234" i="3" s="1"/>
  <c r="N30" i="3" a="1"/>
  <c r="N30" i="3" s="1"/>
  <c r="N9" i="3" a="1"/>
  <c r="N9" i="3" s="1"/>
  <c r="N231" i="3" a="1"/>
  <c r="N231" i="3" s="1"/>
  <c r="N216" i="3" a="1"/>
  <c r="N216" i="3" s="1"/>
  <c r="N46" i="3" a="1"/>
  <c r="N46" i="3" s="1"/>
  <c r="N337" i="3" a="1"/>
  <c r="N337" i="3" s="1"/>
  <c r="N342" i="3" a="1"/>
  <c r="N342" i="3" s="1"/>
  <c r="N88" i="3" a="1"/>
  <c r="N88" i="3" s="1"/>
  <c r="N167" i="3" a="1"/>
  <c r="N167" i="3" s="1"/>
  <c r="N344" i="3" a="1"/>
  <c r="N344" i="3" s="1"/>
  <c r="N213" i="3" a="1"/>
  <c r="N213" i="3" s="1"/>
  <c r="N165" i="3" a="1"/>
  <c r="N165" i="3" s="1"/>
  <c r="N15" i="3" a="1"/>
  <c r="N15" i="3" s="1"/>
  <c r="N293" i="3" a="1"/>
  <c r="N293" i="3" s="1"/>
  <c r="N301" i="3" a="1"/>
  <c r="N301" i="3" s="1"/>
  <c r="N287" i="3" a="1"/>
  <c r="N287" i="3" s="1"/>
  <c r="N162" i="3" a="1"/>
  <c r="N162" i="3" s="1"/>
  <c r="N151" i="3" a="1"/>
  <c r="N151" i="3" s="1"/>
  <c r="N145" i="3" a="1"/>
  <c r="N145" i="3" s="1"/>
  <c r="N321" i="3" a="1"/>
  <c r="N321" i="3" s="1"/>
  <c r="N237" i="3" a="1"/>
  <c r="N237" i="3" s="1"/>
  <c r="N24" i="3" a="1"/>
  <c r="N24" i="3" s="1"/>
  <c r="N130" i="3" a="1"/>
  <c r="N130" i="3" s="1"/>
  <c r="N155" i="3" a="1"/>
  <c r="N155" i="3" s="1"/>
  <c r="N17" i="3" a="1"/>
  <c r="N17" i="3" s="1"/>
  <c r="N215" i="3" a="1"/>
  <c r="N215" i="3" s="1"/>
  <c r="N13" i="3" a="1"/>
  <c r="N13" i="3" s="1"/>
  <c r="N59" i="3" a="1"/>
  <c r="N59" i="3" s="1"/>
  <c r="N179" i="3" a="1"/>
  <c r="N179" i="3" s="1"/>
  <c r="N170" i="3" a="1"/>
  <c r="N170" i="3" s="1"/>
  <c r="N203" i="3" a="1"/>
  <c r="N203" i="3" s="1"/>
  <c r="N219" i="3" a="1"/>
  <c r="N219" i="3" s="1"/>
  <c r="N150" i="3" a="1"/>
  <c r="N150" i="3" s="1"/>
  <c r="N79" i="3" a="1"/>
  <c r="N79" i="3" s="1"/>
  <c r="N94" i="3" a="1"/>
  <c r="N94" i="3" s="1"/>
  <c r="N117" i="3" a="1"/>
  <c r="N117" i="3" s="1"/>
  <c r="N65" i="3" a="1"/>
  <c r="N65" i="3" s="1"/>
  <c r="N177" i="3" a="1"/>
  <c r="N177" i="3" s="1"/>
  <c r="N138" i="3" a="1"/>
  <c r="N138" i="3" s="1"/>
  <c r="N38" i="3" a="1"/>
  <c r="N38" i="3" s="1"/>
  <c r="N161" i="3" a="1"/>
  <c r="N161" i="3" s="1"/>
  <c r="N166" i="3" a="1"/>
  <c r="N166" i="3" s="1"/>
  <c r="N23" i="3" a="1"/>
  <c r="N23" i="3" s="1"/>
  <c r="AY16" i="3"/>
  <c r="AX16" i="3"/>
  <c r="AW17" i="3"/>
  <c r="AZ16" i="3"/>
  <c r="BF58" i="3"/>
  <c r="N341" i="3" a="1"/>
  <c r="N341" i="3" s="1"/>
  <c r="N245" i="3" a="1"/>
  <c r="N245" i="3" s="1"/>
  <c r="N207" i="3" a="1"/>
  <c r="N207" i="3" s="1"/>
  <c r="N357" i="3" a="1"/>
  <c r="N357" i="3" s="1"/>
  <c r="N253" i="3" a="1"/>
  <c r="N253" i="3" s="1"/>
  <c r="N273" i="3" a="1"/>
  <c r="N273" i="3" s="1"/>
  <c r="N93" i="3" a="1"/>
  <c r="N93" i="3" s="1"/>
  <c r="N51" i="3" a="1"/>
  <c r="N51" i="3" s="1"/>
  <c r="N242" i="3" a="1"/>
  <c r="N242" i="3" s="1"/>
  <c r="N204" i="3" a="1"/>
  <c r="N204" i="3" s="1"/>
  <c r="N329" i="3" a="1"/>
  <c r="N329" i="3" s="1"/>
  <c r="N44" i="3" a="1"/>
  <c r="N44" i="3" s="1"/>
  <c r="N91" i="3" a="1"/>
  <c r="N91" i="3" s="1"/>
  <c r="N124" i="3" a="1"/>
  <c r="N124" i="3" s="1"/>
  <c r="N206" i="3" a="1"/>
  <c r="N206" i="3" s="1"/>
  <c r="N305" i="3" a="1"/>
  <c r="N305" i="3" s="1"/>
  <c r="N269" i="3" a="1"/>
  <c r="N269" i="3" s="1"/>
  <c r="N31" i="3" a="1"/>
  <c r="N31" i="3" s="1"/>
  <c r="N333" i="3" a="1"/>
  <c r="N333" i="3" s="1"/>
  <c r="N241" i="3" a="1"/>
  <c r="N241" i="3" s="1"/>
  <c r="N35" i="3" a="1"/>
  <c r="N35" i="3" s="1"/>
  <c r="N260" i="3" a="1"/>
  <c r="N260" i="3" s="1"/>
  <c r="N169" i="3" a="1"/>
  <c r="N169" i="3" s="1"/>
  <c r="N119" i="3" a="1"/>
  <c r="N119" i="3" s="1"/>
  <c r="N158" i="3" a="1"/>
  <c r="N158" i="3" s="1"/>
  <c r="N134" i="3" a="1"/>
  <c r="N134" i="3" s="1"/>
  <c r="N131" i="3" a="1"/>
  <c r="N131" i="3" s="1"/>
  <c r="N331" i="3" a="1"/>
  <c r="N331" i="3" s="1"/>
  <c r="AI59" i="3"/>
  <c r="AA18" i="3"/>
  <c r="AD17" i="3"/>
  <c r="AB17" i="3"/>
  <c r="AC17" i="3"/>
  <c r="BG57" i="3"/>
  <c r="BN59" i="3"/>
  <c r="N34" i="3" a="1"/>
  <c r="N34" i="3" s="1"/>
  <c r="N334" i="3" a="1"/>
  <c r="N334" i="3" s="1"/>
  <c r="N208" i="3" a="1"/>
  <c r="N208" i="3" s="1"/>
  <c r="N62" i="3" a="1"/>
  <c r="N62" i="3" s="1"/>
  <c r="N122" i="3" a="1"/>
  <c r="N122" i="3" s="1"/>
  <c r="N232" i="3" a="1"/>
  <c r="N232" i="3" s="1"/>
  <c r="N97" i="3" a="1"/>
  <c r="N97" i="3" s="1"/>
  <c r="N100" i="3" a="1"/>
  <c r="N100" i="3" s="1"/>
  <c r="N10" i="3" a="1"/>
  <c r="N10" i="3" s="1"/>
  <c r="N140" i="3" a="1"/>
  <c r="N140" i="3" s="1"/>
  <c r="N275" i="3" a="1"/>
  <c r="N275" i="3" s="1"/>
  <c r="N142" i="3" a="1"/>
  <c r="N142" i="3" s="1"/>
  <c r="N311" i="3" a="1"/>
  <c r="N311" i="3" s="1"/>
  <c r="N180" i="3" a="1"/>
  <c r="N180" i="3" s="1"/>
  <c r="H29" i="3"/>
  <c r="N27" i="3" a="1"/>
  <c r="N27" i="3" s="1"/>
  <c r="N202" i="3" a="1"/>
  <c r="N202" i="3" s="1"/>
  <c r="N290" i="3" a="1"/>
  <c r="N290" i="3" s="1"/>
  <c r="N281" i="3" a="1"/>
  <c r="N281" i="3" s="1"/>
  <c r="N356" i="3" a="1"/>
  <c r="N356" i="3" s="1"/>
  <c r="N101" i="3" a="1"/>
  <c r="N101" i="3" s="1"/>
  <c r="N106" i="3" a="1"/>
  <c r="N106" i="3" s="1"/>
  <c r="N292" i="3" a="1"/>
  <c r="N292" i="3" s="1"/>
  <c r="N190" i="3" a="1"/>
  <c r="N190" i="3" s="1"/>
  <c r="N20" i="3" a="1"/>
  <c r="N20" i="3" s="1"/>
  <c r="O20" i="3" s="1"/>
  <c r="N230" i="3" a="1"/>
  <c r="N230" i="3" s="1"/>
  <c r="N75" i="3" a="1"/>
  <c r="N75" i="3" s="1"/>
  <c r="N335" i="3" a="1"/>
  <c r="N335" i="3" s="1"/>
  <c r="N191" i="3" a="1"/>
  <c r="N191" i="3" s="1"/>
  <c r="N351" i="3" a="1"/>
  <c r="N351" i="3" s="1"/>
  <c r="N313" i="3" a="1"/>
  <c r="N313" i="3" s="1"/>
  <c r="N283" i="3" a="1"/>
  <c r="N283" i="3" s="1"/>
  <c r="N346" i="3" a="1"/>
  <c r="N346" i="3" s="1"/>
  <c r="N340" i="3" a="1"/>
  <c r="N340" i="3" s="1"/>
  <c r="N288" i="3" a="1"/>
  <c r="N288" i="3" s="1"/>
  <c r="N50" i="3" a="1"/>
  <c r="N50" i="3" s="1"/>
  <c r="N53" i="3" a="1"/>
  <c r="N53" i="3" s="1"/>
  <c r="N210" i="3" a="1"/>
  <c r="N210" i="3" s="1"/>
  <c r="N98" i="3" a="1"/>
  <c r="N98" i="3" s="1"/>
  <c r="N348" i="3" a="1"/>
  <c r="N348" i="3" s="1"/>
  <c r="N298" i="3" a="1"/>
  <c r="N298" i="3" s="1"/>
  <c r="N103" i="3" a="1"/>
  <c r="N103" i="3" s="1"/>
  <c r="N303" i="3" a="1"/>
  <c r="N303" i="3" s="1"/>
  <c r="N195" i="3" a="1"/>
  <c r="N195" i="3" s="1"/>
  <c r="N144" i="3" a="1"/>
  <c r="N144" i="3" s="1"/>
  <c r="N257" i="3" a="1"/>
  <c r="N257" i="3" s="1"/>
  <c r="N148" i="3" a="1"/>
  <c r="N148" i="3" s="1"/>
  <c r="N29" i="3" a="1"/>
  <c r="N29" i="3" s="1"/>
  <c r="N246" i="3" a="1"/>
  <c r="N246" i="3" s="1"/>
  <c r="N41" i="3" a="1"/>
  <c r="N41" i="3" s="1"/>
  <c r="N249" i="3" a="1"/>
  <c r="N249" i="3" s="1"/>
  <c r="N266" i="3" a="1"/>
  <c r="N266" i="3" s="1"/>
  <c r="N297" i="3" a="1"/>
  <c r="N297" i="3" s="1"/>
  <c r="N186" i="3" a="1"/>
  <c r="N186" i="3" s="1"/>
  <c r="N183" i="3" a="1"/>
  <c r="N183" i="3" s="1"/>
  <c r="N163" i="3" a="1"/>
  <c r="N163" i="3" s="1"/>
  <c r="N236" i="3" a="1"/>
  <c r="N236" i="3" s="1"/>
  <c r="N322" i="3" a="1"/>
  <c r="N322" i="3" s="1"/>
  <c r="N40" i="3" a="1"/>
  <c r="N40" i="3" s="1"/>
  <c r="AL58" i="3"/>
  <c r="AS60" i="3"/>
  <c r="BH57" i="3"/>
  <c r="BO59" i="3"/>
  <c r="N349" i="3" a="1"/>
  <c r="N349" i="3" s="1"/>
  <c r="N218" i="3" a="1"/>
  <c r="N218" i="3" s="1"/>
  <c r="N64" i="3" a="1"/>
  <c r="N64" i="3" s="1"/>
  <c r="N294" i="3" a="1"/>
  <c r="N294" i="3" s="1"/>
  <c r="N188" i="3" a="1"/>
  <c r="N188" i="3" s="1"/>
  <c r="N61" i="3" a="1"/>
  <c r="N61" i="3" s="1"/>
  <c r="N120" i="3" a="1"/>
  <c r="N120" i="3" s="1"/>
  <c r="N185" i="3" a="1"/>
  <c r="N185" i="3" s="1"/>
  <c r="N223" i="3" a="1"/>
  <c r="N223" i="3" s="1"/>
  <c r="N47" i="3" a="1"/>
  <c r="N47" i="3" s="1"/>
  <c r="N143" i="3" a="1"/>
  <c r="N143" i="3" s="1"/>
  <c r="N263" i="3" a="1"/>
  <c r="N263" i="3" s="1"/>
  <c r="N347" i="3" a="1"/>
  <c r="N347" i="3" s="1"/>
  <c r="N343" i="3" a="1"/>
  <c r="N343" i="3" s="1"/>
  <c r="N233" i="3" a="1"/>
  <c r="N233" i="3" s="1"/>
  <c r="N267" i="3" a="1"/>
  <c r="N267" i="3" s="1"/>
  <c r="N264" i="3" a="1"/>
  <c r="N264" i="3" s="1"/>
  <c r="N258" i="3" a="1"/>
  <c r="N258" i="3" s="1"/>
  <c r="N36" i="3" a="1"/>
  <c r="N36" i="3" s="1"/>
  <c r="N45" i="3" a="1"/>
  <c r="N45" i="3" s="1"/>
  <c r="N187" i="3" a="1"/>
  <c r="N187" i="3" s="1"/>
  <c r="N319" i="3" a="1"/>
  <c r="N319" i="3" s="1"/>
  <c r="N147" i="3" a="1"/>
  <c r="N147" i="3" s="1"/>
  <c r="N123" i="3" a="1"/>
  <c r="N123" i="3" s="1"/>
  <c r="N16" i="3" a="1"/>
  <c r="N16" i="3" s="1"/>
  <c r="N149" i="3" a="1"/>
  <c r="N149" i="3" s="1"/>
  <c r="N127" i="3" a="1"/>
  <c r="N127" i="3" s="1"/>
  <c r="N173" i="3" a="1"/>
  <c r="N173" i="3" s="1"/>
  <c r="AP60" i="3"/>
  <c r="N221" i="3" a="1"/>
  <c r="N221" i="3" s="1"/>
  <c r="N239" i="3" a="1"/>
  <c r="N239" i="3" s="1"/>
  <c r="N126" i="3" a="1"/>
  <c r="N126" i="3" s="1"/>
  <c r="N254" i="3" a="1"/>
  <c r="N254" i="3" s="1"/>
  <c r="N256" i="3" a="1"/>
  <c r="N256" i="3" s="1"/>
  <c r="N277" i="3" a="1"/>
  <c r="N277" i="3" s="1"/>
  <c r="N312" i="3" a="1"/>
  <c r="N312" i="3" s="1"/>
  <c r="N285" i="3" a="1"/>
  <c r="N285" i="3" s="1"/>
  <c r="N309" i="3" a="1"/>
  <c r="N309" i="3" s="1"/>
  <c r="N86" i="3" a="1"/>
  <c r="N86" i="3" s="1"/>
  <c r="N109" i="3" a="1"/>
  <c r="N109" i="3" s="1"/>
  <c r="N81" i="3" a="1"/>
  <c r="N81" i="3" s="1"/>
  <c r="N76" i="3" a="1"/>
  <c r="N76" i="3" s="1"/>
  <c r="N328" i="3" a="1"/>
  <c r="N328" i="3" s="1"/>
  <c r="N49" i="3" a="1"/>
  <c r="N49" i="3" s="1"/>
  <c r="N113" i="3" a="1"/>
  <c r="N113" i="3" s="1"/>
  <c r="N33" i="3" a="1"/>
  <c r="N33" i="3" s="1"/>
  <c r="N48" i="3" a="1"/>
  <c r="N48" i="3" s="1"/>
  <c r="N265" i="3" a="1"/>
  <c r="N265" i="3" s="1"/>
  <c r="N118" i="3" a="1"/>
  <c r="N118" i="3" s="1"/>
  <c r="N26" i="3" a="1"/>
  <c r="N26" i="3" s="1"/>
  <c r="N89" i="3" a="1"/>
  <c r="N89" i="3" s="1"/>
  <c r="N14" i="3" a="1"/>
  <c r="N14" i="3" s="1"/>
  <c r="N272" i="3" a="1"/>
  <c r="N272" i="3" s="1"/>
  <c r="N132" i="3" a="1"/>
  <c r="N132" i="3" s="1"/>
  <c r="N55" i="3" a="1"/>
  <c r="N55" i="3" s="1"/>
  <c r="N354" i="3" a="1"/>
  <c r="N354" i="3" s="1"/>
  <c r="N133" i="3" a="1"/>
  <c r="N133" i="3" s="1"/>
  <c r="N28" i="3" a="1"/>
  <c r="N28" i="3" s="1"/>
  <c r="I25" i="1"/>
  <c r="BX6" i="1"/>
  <c r="CF48" i="1" s="1"/>
  <c r="CN16" i="1"/>
  <c r="CV58" i="1" s="1"/>
  <c r="BY6" i="1"/>
  <c r="CG48" i="1" s="1"/>
  <c r="BZ18" i="1"/>
  <c r="CH60" i="1" s="1"/>
  <c r="BX20" i="1"/>
  <c r="CF62" i="1" s="1"/>
  <c r="BZ14" i="1"/>
  <c r="CH56" i="1" s="1"/>
  <c r="CO13" i="1"/>
  <c r="CW55" i="1" s="1"/>
  <c r="CN15" i="1"/>
  <c r="CV57" i="1" s="1"/>
  <c r="CM10" i="1"/>
  <c r="CU52" i="1" s="1"/>
  <c r="BY9" i="1"/>
  <c r="CG51" i="1" s="1"/>
  <c r="BY8" i="1"/>
  <c r="CG50" i="1" s="1"/>
  <c r="H26" i="1"/>
  <c r="G27" i="1" s="1"/>
  <c r="CM20" i="1"/>
  <c r="CU62" i="1" s="1"/>
  <c r="BY13" i="1"/>
  <c r="CG55" i="1" s="1"/>
  <c r="H14" i="1"/>
  <c r="BX15" i="1"/>
  <c r="CF57" i="1" s="1"/>
  <c r="CO6" i="1"/>
  <c r="CW48" i="1" s="1"/>
  <c r="CM5" i="1"/>
  <c r="CU47" i="1" s="1"/>
  <c r="CN20" i="1"/>
  <c r="CV62" i="1" s="1"/>
  <c r="BY12" i="1"/>
  <c r="CG54" i="1" s="1"/>
  <c r="BX16" i="1"/>
  <c r="CF58" i="1" s="1"/>
  <c r="BZ5" i="1"/>
  <c r="BX18" i="1"/>
  <c r="CF60" i="1" s="1"/>
  <c r="BY17" i="1"/>
  <c r="CG59" i="1" s="1"/>
  <c r="BX8" i="1"/>
  <c r="CF50" i="1" s="1"/>
  <c r="BZ10" i="1"/>
  <c r="CH52" i="1" s="1"/>
  <c r="BZ20" i="1"/>
  <c r="CH62" i="1" s="1"/>
  <c r="BZ11" i="1"/>
  <c r="CH53" i="1" s="1"/>
  <c r="CN7" i="1"/>
  <c r="CV49" i="1" s="1"/>
  <c r="BX17" i="1"/>
  <c r="CF59" i="1" s="1"/>
  <c r="BX19" i="1"/>
  <c r="CF61" i="1" s="1"/>
  <c r="BY7" i="1"/>
  <c r="CG49" i="1" s="1"/>
  <c r="BZ8" i="1"/>
  <c r="CH50" i="1" s="1"/>
  <c r="CO19" i="1"/>
  <c r="CW61" i="1" s="1"/>
  <c r="CM15" i="1"/>
  <c r="CU57" i="1" s="1"/>
  <c r="AB10" i="1"/>
  <c r="AC10" i="1"/>
  <c r="AD10" i="1"/>
  <c r="AA11" i="1"/>
  <c r="AI52" i="1"/>
  <c r="CO12" i="1"/>
  <c r="CW54" i="1" s="1"/>
  <c r="CM18" i="1"/>
  <c r="CU60" i="1" s="1"/>
  <c r="BZ6" i="1"/>
  <c r="CH48" i="1" s="1"/>
  <c r="AS53" i="1"/>
  <c r="AL51" i="1"/>
  <c r="BY19" i="1"/>
  <c r="CG61" i="1" s="1"/>
  <c r="CN9" i="1"/>
  <c r="CV51" i="1" s="1"/>
  <c r="CO10" i="1"/>
  <c r="CW52" i="1" s="1"/>
  <c r="CO8" i="1"/>
  <c r="CW50" i="1" s="1"/>
  <c r="AK51" i="1"/>
  <c r="AR53" i="1"/>
  <c r="CN12" i="1"/>
  <c r="CV54" i="1" s="1"/>
  <c r="CO20" i="1"/>
  <c r="CW62" i="1" s="1"/>
  <c r="CM8" i="1"/>
  <c r="CU50" i="1" s="1"/>
  <c r="BY5" i="1"/>
  <c r="CG47" i="1" s="1"/>
  <c r="BX10" i="1"/>
  <c r="CF52" i="1" s="1"/>
  <c r="CO18" i="1"/>
  <c r="CW60" i="1" s="1"/>
  <c r="BY16" i="1"/>
  <c r="CG58" i="1" s="1"/>
  <c r="AJ51" i="1"/>
  <c r="AQ53" i="1"/>
  <c r="CM9" i="1"/>
  <c r="CU51" i="1" s="1"/>
  <c r="BZ9" i="1"/>
  <c r="CH51" i="1" s="1"/>
  <c r="CM14" i="1"/>
  <c r="CU56" i="1" s="1"/>
  <c r="CM16" i="1"/>
  <c r="CU58" i="1" s="1"/>
  <c r="CO17" i="1"/>
  <c r="CW59" i="1" s="1"/>
  <c r="BY11" i="1"/>
  <c r="CG53" i="1" s="1"/>
  <c r="CM6" i="1"/>
  <c r="CU48" i="1" s="1"/>
  <c r="CO5" i="1"/>
  <c r="BZ15" i="1"/>
  <c r="CH57" i="1" s="1"/>
  <c r="BZ19" i="1"/>
  <c r="CH61" i="1" s="1"/>
  <c r="CM13" i="1"/>
  <c r="CU55" i="1" s="1"/>
  <c r="BY10" i="1"/>
  <c r="CG52" i="1" s="1"/>
  <c r="CO9" i="1"/>
  <c r="CW51" i="1" s="1"/>
  <c r="BX14" i="1"/>
  <c r="CF56" i="1" s="1"/>
  <c r="BL51" i="1"/>
  <c r="BS130" i="1"/>
  <c r="BY20" i="1"/>
  <c r="CG62" i="1" s="1"/>
  <c r="CM7" i="1"/>
  <c r="CU49" i="1" s="1"/>
  <c r="CN19" i="1"/>
  <c r="CV61" i="1" s="1"/>
  <c r="CN17" i="1"/>
  <c r="CV59" i="1" s="1"/>
  <c r="BZ12" i="1"/>
  <c r="CH54" i="1" s="1"/>
  <c r="AY10" i="1"/>
  <c r="AZ10" i="1"/>
  <c r="AW11" i="1"/>
  <c r="AX10" i="1"/>
  <c r="BI52" i="1"/>
  <c r="CM19" i="1"/>
  <c r="CU61" i="1" s="1"/>
  <c r="CN10" i="1"/>
  <c r="CV52" i="1" s="1"/>
  <c r="BZ13" i="1"/>
  <c r="CH55" i="1" s="1"/>
  <c r="CO11" i="1"/>
  <c r="CW53" i="1" s="1"/>
  <c r="BY14" i="1"/>
  <c r="CG56" i="1" s="1"/>
  <c r="CN8" i="1"/>
  <c r="CV50" i="1" s="1"/>
  <c r="BR130" i="1"/>
  <c r="BK51" i="1"/>
  <c r="CN11" i="1"/>
  <c r="CV53" i="1" s="1"/>
  <c r="BX11" i="1"/>
  <c r="CF53" i="1" s="1"/>
  <c r="CM17" i="1"/>
  <c r="CU59" i="1" s="1"/>
  <c r="CN14" i="1"/>
  <c r="CV56" i="1" s="1"/>
  <c r="BQ130" i="1"/>
  <c r="BJ51" i="1"/>
  <c r="CO15" i="1"/>
  <c r="CW57" i="1" s="1"/>
  <c r="BZ7" i="1"/>
  <c r="CH49" i="1" s="1"/>
  <c r="BY15" i="1"/>
  <c r="CG57" i="1" s="1"/>
  <c r="CN13" i="1"/>
  <c r="CV55" i="1" s="1"/>
  <c r="CN6" i="1"/>
  <c r="CV48" i="1" s="1"/>
  <c r="BZ16" i="1"/>
  <c r="CH58" i="1" s="1"/>
  <c r="BZ17" i="1"/>
  <c r="CH59" i="1" s="1"/>
  <c r="BX13" i="1"/>
  <c r="CF55" i="1" s="1"/>
  <c r="BX9" i="1"/>
  <c r="CF51" i="1" s="1"/>
  <c r="CM11" i="1"/>
  <c r="CU53" i="1" s="1"/>
  <c r="CO16" i="1"/>
  <c r="CW58" i="1" s="1"/>
  <c r="CN5" i="1"/>
  <c r="CV47" i="1" s="1"/>
  <c r="BX7" i="1"/>
  <c r="CF49" i="1" s="1"/>
  <c r="BY18" i="1"/>
  <c r="CG60" i="1" s="1"/>
  <c r="CO14" i="1"/>
  <c r="CW56" i="1" s="1"/>
  <c r="CM12" i="1"/>
  <c r="CU54" i="1" s="1"/>
  <c r="CN18" i="1"/>
  <c r="CV60" i="1" s="1"/>
  <c r="CO7" i="1"/>
  <c r="CW49" i="1" s="1"/>
  <c r="BX12" i="1"/>
  <c r="CF54" i="1" s="1"/>
  <c r="BX5" i="1"/>
  <c r="CF47" i="1" s="1"/>
  <c r="O17" i="3" l="1"/>
  <c r="O18" i="3"/>
  <c r="I14" i="1"/>
  <c r="DG10" i="1"/>
  <c r="DV11" i="1"/>
  <c r="O9" i="3"/>
  <c r="O149" i="3"/>
  <c r="O47" i="3"/>
  <c r="O133" i="3"/>
  <c r="O16" i="3"/>
  <c r="O5" i="3"/>
  <c r="O11" i="3"/>
  <c r="O163" i="3"/>
  <c r="O56" i="3"/>
  <c r="O42" i="3"/>
  <c r="O354" i="3"/>
  <c r="O274" i="3"/>
  <c r="O190" i="3"/>
  <c r="O150" i="3"/>
  <c r="O209" i="3"/>
  <c r="O186" i="3"/>
  <c r="O39" i="3"/>
  <c r="O136" i="3"/>
  <c r="O86" i="3"/>
  <c r="O106" i="3"/>
  <c r="O203" i="3"/>
  <c r="O247" i="3"/>
  <c r="O266" i="3"/>
  <c r="O211" i="3"/>
  <c r="O74" i="3"/>
  <c r="O285" i="3"/>
  <c r="O63" i="3"/>
  <c r="O73" i="3"/>
  <c r="O181" i="3"/>
  <c r="O331" i="3"/>
  <c r="O306" i="3"/>
  <c r="O312" i="3"/>
  <c r="O339" i="3"/>
  <c r="O83" i="3"/>
  <c r="O232" i="3"/>
  <c r="O43" i="3"/>
  <c r="O131" i="3"/>
  <c r="O329" i="3"/>
  <c r="BO60" i="3"/>
  <c r="BH58" i="3"/>
  <c r="O59" i="3"/>
  <c r="O165" i="3"/>
  <c r="O176" i="3"/>
  <c r="O315" i="3"/>
  <c r="O96" i="3"/>
  <c r="O296" i="3"/>
  <c r="O8" i="3"/>
  <c r="O350" i="3"/>
  <c r="O108" i="3"/>
  <c r="O26" i="3"/>
  <c r="O277" i="3"/>
  <c r="O222" i="3"/>
  <c r="O36" i="3"/>
  <c r="O64" i="3"/>
  <c r="O225" i="3"/>
  <c r="O246" i="3"/>
  <c r="O340" i="3"/>
  <c r="O310" i="3"/>
  <c r="O290" i="3"/>
  <c r="O122" i="3"/>
  <c r="O314" i="3"/>
  <c r="O134" i="3"/>
  <c r="O204" i="3"/>
  <c r="O23" i="3"/>
  <c r="O13" i="3"/>
  <c r="O213" i="3"/>
  <c r="O129" i="3"/>
  <c r="O128" i="3"/>
  <c r="O182" i="3"/>
  <c r="O291" i="3"/>
  <c r="O85" i="3"/>
  <c r="O157" i="3"/>
  <c r="O235" i="3"/>
  <c r="O142" i="3"/>
  <c r="O193" i="3"/>
  <c r="O151" i="3"/>
  <c r="O141" i="3"/>
  <c r="O107" i="3"/>
  <c r="O30" i="3"/>
  <c r="O109" i="3"/>
  <c r="O292" i="3"/>
  <c r="BP60" i="3"/>
  <c r="BI58" i="3"/>
  <c r="O252" i="3"/>
  <c r="O210" i="3"/>
  <c r="O105" i="3"/>
  <c r="BM60" i="3"/>
  <c r="O276" i="3"/>
  <c r="O61" i="3"/>
  <c r="O345" i="3"/>
  <c r="O293" i="3"/>
  <c r="O58" i="3"/>
  <c r="O188" i="3"/>
  <c r="O179" i="3"/>
  <c r="O323" i="3"/>
  <c r="O288" i="3"/>
  <c r="O268" i="3"/>
  <c r="O202" i="3"/>
  <c r="O215" i="3"/>
  <c r="O264" i="3"/>
  <c r="O51" i="3"/>
  <c r="O178" i="3"/>
  <c r="O126" i="3"/>
  <c r="O334" i="3"/>
  <c r="O38" i="3"/>
  <c r="O282" i="3"/>
  <c r="O239" i="3"/>
  <c r="O37" i="3"/>
  <c r="O233" i="3"/>
  <c r="O224" i="3"/>
  <c r="O144" i="3"/>
  <c r="O25" i="3"/>
  <c r="O351" i="3"/>
  <c r="O34" i="3"/>
  <c r="AL59" i="3"/>
  <c r="AS61" i="3"/>
  <c r="O260" i="3"/>
  <c r="O273" i="3"/>
  <c r="O138" i="3"/>
  <c r="O130" i="3"/>
  <c r="O342" i="3"/>
  <c r="O66" i="3"/>
  <c r="O295" i="3"/>
  <c r="O60" i="3"/>
  <c r="O355" i="3"/>
  <c r="O318" i="3"/>
  <c r="O192" i="3"/>
  <c r="O79" i="3"/>
  <c r="O229" i="3"/>
  <c r="O348" i="3"/>
  <c r="O275" i="3"/>
  <c r="O99" i="3"/>
  <c r="O279" i="3"/>
  <c r="O185" i="3"/>
  <c r="O72" i="3"/>
  <c r="O206" i="3"/>
  <c r="O234" i="3"/>
  <c r="O280" i="3"/>
  <c r="O297" i="3"/>
  <c r="O240" i="3"/>
  <c r="O325" i="3"/>
  <c r="O309" i="3"/>
  <c r="O101" i="3"/>
  <c r="BF59" i="3"/>
  <c r="AZ17" i="3"/>
  <c r="AY17" i="3"/>
  <c r="AX17" i="3"/>
  <c r="AW18" i="3"/>
  <c r="O168" i="3"/>
  <c r="O187" i="3"/>
  <c r="O44" i="3"/>
  <c r="O82" i="3"/>
  <c r="O220" i="3"/>
  <c r="O41" i="3"/>
  <c r="O218" i="3"/>
  <c r="O259" i="3"/>
  <c r="O62" i="3"/>
  <c r="O166" i="3"/>
  <c r="O320" i="3"/>
  <c r="O324" i="3"/>
  <c r="O330" i="3"/>
  <c r="O349" i="3"/>
  <c r="O189" i="3"/>
  <c r="O208" i="3"/>
  <c r="O161" i="3"/>
  <c r="O316" i="3"/>
  <c r="O267" i="3"/>
  <c r="O93" i="3"/>
  <c r="O217" i="3"/>
  <c r="O33" i="3"/>
  <c r="O221" i="3"/>
  <c r="O200" i="3"/>
  <c r="O343" i="3"/>
  <c r="O196" i="3"/>
  <c r="O195" i="3"/>
  <c r="O175" i="3"/>
  <c r="O191" i="3"/>
  <c r="G30" i="3"/>
  <c r="AC18" i="3"/>
  <c r="AB18" i="3"/>
  <c r="AI60" i="3"/>
  <c r="AA19" i="3"/>
  <c r="AD18" i="3"/>
  <c r="AP62" i="3" s="1"/>
  <c r="O35" i="3"/>
  <c r="O253" i="3"/>
  <c r="O177" i="3"/>
  <c r="O24" i="3"/>
  <c r="O337" i="3"/>
  <c r="O71" i="3"/>
  <c r="O153" i="3"/>
  <c r="O87" i="3"/>
  <c r="O67" i="3"/>
  <c r="O227" i="3"/>
  <c r="O139" i="3"/>
  <c r="O269" i="3"/>
  <c r="O270" i="3"/>
  <c r="O223" i="3"/>
  <c r="O52" i="3"/>
  <c r="O162" i="3"/>
  <c r="O302" i="3"/>
  <c r="O123" i="3"/>
  <c r="O160" i="3"/>
  <c r="O261" i="3"/>
  <c r="O84" i="3"/>
  <c r="O132" i="3"/>
  <c r="O80" i="3"/>
  <c r="O214" i="3"/>
  <c r="O194" i="3"/>
  <c r="O124" i="3"/>
  <c r="O69" i="3"/>
  <c r="O53" i="3"/>
  <c r="O338" i="3"/>
  <c r="O91" i="3"/>
  <c r="O32" i="3"/>
  <c r="O50" i="3"/>
  <c r="O184" i="3"/>
  <c r="O15" i="3"/>
  <c r="O353" i="3"/>
  <c r="O45" i="3"/>
  <c r="O258" i="3"/>
  <c r="O12" i="3"/>
  <c r="O242" i="3"/>
  <c r="O104" i="3"/>
  <c r="O254" i="3"/>
  <c r="O283" i="3"/>
  <c r="O119" i="3"/>
  <c r="O121" i="3"/>
  <c r="O48" i="3"/>
  <c r="O352" i="3"/>
  <c r="O248" i="3"/>
  <c r="O198" i="3"/>
  <c r="O169" i="3"/>
  <c r="O110" i="3"/>
  <c r="O205" i="3"/>
  <c r="O300" i="3"/>
  <c r="O113" i="3"/>
  <c r="O49" i="3"/>
  <c r="O271" i="3"/>
  <c r="O255" i="3"/>
  <c r="O347" i="3"/>
  <c r="O40" i="3"/>
  <c r="O226" i="3"/>
  <c r="O335" i="3"/>
  <c r="I29" i="3"/>
  <c r="O241" i="3"/>
  <c r="O357" i="3"/>
  <c r="O65" i="3"/>
  <c r="O237" i="3"/>
  <c r="O46" i="3"/>
  <c r="O164" i="3"/>
  <c r="O22" i="3"/>
  <c r="O146" i="3"/>
  <c r="O199" i="3"/>
  <c r="O154" i="3"/>
  <c r="O308" i="3"/>
  <c r="O77" i="3"/>
  <c r="O81" i="3"/>
  <c r="O336" i="3"/>
  <c r="O55" i="3"/>
  <c r="O219" i="3"/>
  <c r="O197" i="3"/>
  <c r="O120" i="3"/>
  <c r="O301" i="3"/>
  <c r="O289" i="3"/>
  <c r="O319" i="3"/>
  <c r="O170" i="3"/>
  <c r="O332" i="3"/>
  <c r="O249" i="3"/>
  <c r="O97" i="3"/>
  <c r="O317" i="3"/>
  <c r="O89" i="3"/>
  <c r="O281" i="3"/>
  <c r="O256" i="3"/>
  <c r="O346" i="3"/>
  <c r="O284" i="3"/>
  <c r="O344" i="3"/>
  <c r="O238" i="3"/>
  <c r="O148" i="3"/>
  <c r="AR61" i="3"/>
  <c r="AK59" i="3"/>
  <c r="O167" i="3"/>
  <c r="O21" i="3"/>
  <c r="O257" i="3"/>
  <c r="AQ61" i="3"/>
  <c r="AJ59" i="3"/>
  <c r="O88" i="3"/>
  <c r="O116" i="3"/>
  <c r="O173" i="3"/>
  <c r="O263" i="3"/>
  <c r="O244" i="3"/>
  <c r="O322" i="3"/>
  <c r="O303" i="3"/>
  <c r="O172" i="3"/>
  <c r="O75" i="3"/>
  <c r="O180" i="3"/>
  <c r="O262" i="3"/>
  <c r="AP61" i="3"/>
  <c r="O333" i="3"/>
  <c r="O207" i="3"/>
  <c r="O117" i="3"/>
  <c r="O321" i="3"/>
  <c r="O216" i="3"/>
  <c r="O304" i="3"/>
  <c r="O152" i="3"/>
  <c r="O57" i="3"/>
  <c r="O112" i="3"/>
  <c r="O115" i="3"/>
  <c r="O286" i="3"/>
  <c r="O102" i="3"/>
  <c r="O298" i="3"/>
  <c r="O95" i="3"/>
  <c r="O341" i="3"/>
  <c r="O156" i="3"/>
  <c r="O137" i="3"/>
  <c r="O183" i="3"/>
  <c r="O171" i="3"/>
  <c r="O305" i="3"/>
  <c r="O159" i="3"/>
  <c r="O125" i="3"/>
  <c r="O98" i="3"/>
  <c r="O140" i="3"/>
  <c r="O287" i="3"/>
  <c r="O228" i="3"/>
  <c r="O147" i="3"/>
  <c r="O10" i="3"/>
  <c r="O92" i="3"/>
  <c r="O272" i="3"/>
  <c r="O135" i="3"/>
  <c r="O6" i="3"/>
  <c r="O100" i="3"/>
  <c r="O299" i="3"/>
  <c r="O14" i="3"/>
  <c r="O356" i="3"/>
  <c r="BG58" i="3"/>
  <c r="BN60" i="3"/>
  <c r="O251" i="3"/>
  <c r="O294" i="3"/>
  <c r="O327" i="3"/>
  <c r="O118" i="3"/>
  <c r="O29" i="3"/>
  <c r="O158" i="3"/>
  <c r="O7" i="3"/>
  <c r="O265" i="3"/>
  <c r="O278" i="3"/>
  <c r="O27" i="3"/>
  <c r="O201" i="3"/>
  <c r="O174" i="3"/>
  <c r="O78" i="3"/>
  <c r="O313" i="3"/>
  <c r="O155" i="3"/>
  <c r="O328" i="3"/>
  <c r="O28" i="3"/>
  <c r="O76" i="3"/>
  <c r="O111" i="3"/>
  <c r="O127" i="3"/>
  <c r="O143" i="3"/>
  <c r="O70" i="3"/>
  <c r="O236" i="3"/>
  <c r="O103" i="3"/>
  <c r="O243" i="3"/>
  <c r="O230" i="3"/>
  <c r="O311" i="3"/>
  <c r="O54" i="3"/>
  <c r="O326" i="3"/>
  <c r="O31" i="3"/>
  <c r="O245" i="3"/>
  <c r="O94" i="3"/>
  <c r="O145" i="3"/>
  <c r="O231" i="3"/>
  <c r="O90" i="3"/>
  <c r="O307" i="3"/>
  <c r="O114" i="3"/>
  <c r="O212" i="3"/>
  <c r="O68" i="3"/>
  <c r="O250" i="3"/>
  <c r="CR6" i="1"/>
  <c r="CR7" i="1"/>
  <c r="CR8" i="1"/>
  <c r="CR9" i="1"/>
  <c r="CR5" i="1"/>
  <c r="CW47" i="1"/>
  <c r="AA12" i="1"/>
  <c r="AB11" i="1"/>
  <c r="AC11" i="1"/>
  <c r="AD11" i="1"/>
  <c r="AP55" i="1" s="1"/>
  <c r="AI53" i="1"/>
  <c r="AS54" i="1"/>
  <c r="AL52" i="1"/>
  <c r="AK52" i="1"/>
  <c r="AR54" i="1"/>
  <c r="AJ52" i="1"/>
  <c r="AQ54" i="1"/>
  <c r="G15" i="1"/>
  <c r="BP131" i="1"/>
  <c r="BJ52" i="1"/>
  <c r="BQ131" i="1"/>
  <c r="AW12" i="1"/>
  <c r="AX11" i="1"/>
  <c r="AY11" i="1"/>
  <c r="AZ11" i="1"/>
  <c r="BP132" i="1" s="1"/>
  <c r="BI53" i="1"/>
  <c r="I26" i="1"/>
  <c r="BL52" i="1"/>
  <c r="BS131" i="1"/>
  <c r="H27" i="1"/>
  <c r="G28" i="1" s="1"/>
  <c r="BK52" i="1"/>
  <c r="BR131" i="1"/>
  <c r="CC5" i="1"/>
  <c r="CC6" i="1"/>
  <c r="CC7" i="1"/>
  <c r="CH47" i="1"/>
  <c r="CC8" i="1"/>
  <c r="AP54" i="1"/>
  <c r="EL26" i="3" l="1"/>
  <c r="ET68" i="3" s="1"/>
  <c r="EL14" i="3"/>
  <c r="ET56" i="3" s="1"/>
  <c r="EL9" i="3"/>
  <c r="ET51" i="3" s="1"/>
  <c r="EL28" i="3"/>
  <c r="ET70" i="3" s="1"/>
  <c r="EL43" i="3"/>
  <c r="ET85" i="3" s="1"/>
  <c r="EL29" i="3"/>
  <c r="ET71" i="3" s="1"/>
  <c r="EL6" i="3"/>
  <c r="ET48" i="3" s="1"/>
  <c r="EL40" i="3"/>
  <c r="ET82" i="3" s="1"/>
  <c r="AI61" i="3"/>
  <c r="AA20" i="3"/>
  <c r="AD19" i="3"/>
  <c r="AB19" i="3"/>
  <c r="AC19" i="3"/>
  <c r="EL19" i="3"/>
  <c r="ET61" i="3" s="1"/>
  <c r="EL5" i="3"/>
  <c r="EL34" i="3"/>
  <c r="ET76" i="3" s="1"/>
  <c r="BG59" i="3"/>
  <c r="BN61" i="3"/>
  <c r="EL20" i="3"/>
  <c r="ET62" i="3" s="1"/>
  <c r="EL56" i="3"/>
  <c r="ET98" i="3" s="1"/>
  <c r="AJ60" i="3"/>
  <c r="AQ62" i="3"/>
  <c r="AK60" i="3"/>
  <c r="AR62" i="3"/>
  <c r="EL52" i="3"/>
  <c r="ET94" i="3" s="1"/>
  <c r="EL13" i="3"/>
  <c r="ET55" i="3" s="1"/>
  <c r="EL17" i="3"/>
  <c r="ET59" i="3" s="1"/>
  <c r="EL54" i="3"/>
  <c r="ET96" i="3" s="1"/>
  <c r="EL41" i="3"/>
  <c r="ET83" i="3" s="1"/>
  <c r="EL27" i="3"/>
  <c r="ET69" i="3" s="1"/>
  <c r="BI59" i="3"/>
  <c r="BP61" i="3"/>
  <c r="EL10" i="3"/>
  <c r="ET52" i="3" s="1"/>
  <c r="EL16" i="3"/>
  <c r="ET58" i="3" s="1"/>
  <c r="EL7" i="3"/>
  <c r="ET49" i="3" s="1"/>
  <c r="EL53" i="3"/>
  <c r="ET95" i="3" s="1"/>
  <c r="EL23" i="3"/>
  <c r="ET65" i="3" s="1"/>
  <c r="EL45" i="3"/>
  <c r="EL30" i="3"/>
  <c r="ET72" i="3" s="1"/>
  <c r="EL47" i="3"/>
  <c r="ET89" i="3" s="1"/>
  <c r="EL46" i="3"/>
  <c r="ET88" i="3" s="1"/>
  <c r="BH59" i="3"/>
  <c r="BO61" i="3"/>
  <c r="EL55" i="3"/>
  <c r="ET97" i="3" s="1"/>
  <c r="EL31" i="3"/>
  <c r="ET73" i="3" s="1"/>
  <c r="EL39" i="3"/>
  <c r="ET81" i="3" s="1"/>
  <c r="EL42" i="3"/>
  <c r="ET84" i="3" s="1"/>
  <c r="EL33" i="3"/>
  <c r="ET75" i="3" s="1"/>
  <c r="EL25" i="3"/>
  <c r="ET67" i="3" s="1"/>
  <c r="EL44" i="3"/>
  <c r="ET86" i="3" s="1"/>
  <c r="EL11" i="3"/>
  <c r="ET53" i="3" s="1"/>
  <c r="EL8" i="3"/>
  <c r="ET50" i="3" s="1"/>
  <c r="EL51" i="3"/>
  <c r="ET93" i="3" s="1"/>
  <c r="AS62" i="3"/>
  <c r="AL60" i="3"/>
  <c r="EL49" i="3"/>
  <c r="ET91" i="3" s="1"/>
  <c r="EL48" i="3"/>
  <c r="ET90" i="3" s="1"/>
  <c r="EL15" i="3"/>
  <c r="ET57" i="3" s="1"/>
  <c r="BF60" i="3"/>
  <c r="AW19" i="3"/>
  <c r="AY18" i="3"/>
  <c r="AX18" i="3"/>
  <c r="AZ18" i="3"/>
  <c r="EL21" i="3"/>
  <c r="ET63" i="3" s="1"/>
  <c r="EL12" i="3"/>
  <c r="ET54" i="3" s="1"/>
  <c r="EL37" i="3"/>
  <c r="ET79" i="3" s="1"/>
  <c r="EL32" i="3"/>
  <c r="ET74" i="3" s="1"/>
  <c r="H30" i="3"/>
  <c r="I30" i="3" s="1"/>
  <c r="EL50" i="3"/>
  <c r="ET92" i="3" s="1"/>
  <c r="EL35" i="3"/>
  <c r="ET77" i="3" s="1"/>
  <c r="EL22" i="3"/>
  <c r="ET64" i="3" s="1"/>
  <c r="EL24" i="3"/>
  <c r="ET66" i="3" s="1"/>
  <c r="BM61" i="3"/>
  <c r="EL18" i="3"/>
  <c r="ET60" i="3" s="1"/>
  <c r="EL38" i="3"/>
  <c r="ET80" i="3" s="1"/>
  <c r="EL36" i="3"/>
  <c r="ET78" i="3" s="1"/>
  <c r="CR10" i="1"/>
  <c r="BS132" i="1"/>
  <c r="BL53" i="1"/>
  <c r="H15" i="1"/>
  <c r="I15" i="1" s="1"/>
  <c r="H28" i="1"/>
  <c r="BK53" i="1"/>
  <c r="BR132" i="1"/>
  <c r="I27" i="1"/>
  <c r="BJ53" i="1"/>
  <c r="BQ132" i="1"/>
  <c r="AX12" i="1"/>
  <c r="AY12" i="1"/>
  <c r="AZ12" i="1"/>
  <c r="AW13" i="1"/>
  <c r="BI54" i="1"/>
  <c r="AL53" i="1"/>
  <c r="AS55" i="1"/>
  <c r="AR55" i="1"/>
  <c r="AK53" i="1"/>
  <c r="AJ53" i="1"/>
  <c r="AQ55" i="1"/>
  <c r="AA13" i="1"/>
  <c r="AB12" i="1"/>
  <c r="AC12" i="1"/>
  <c r="AD12" i="1"/>
  <c r="AP56" i="1" s="1"/>
  <c r="AI54" i="1"/>
  <c r="CC9" i="1"/>
  <c r="G31" i="3" l="1"/>
  <c r="AS63" i="3"/>
  <c r="AL61" i="3"/>
  <c r="AP63" i="3"/>
  <c r="BP62" i="3"/>
  <c r="BI60" i="3"/>
  <c r="BG60" i="3"/>
  <c r="BN62" i="3"/>
  <c r="EO22" i="3"/>
  <c r="EO15" i="3"/>
  <c r="EO12" i="3"/>
  <c r="EO13" i="3"/>
  <c r="EO23" i="3"/>
  <c r="EO27" i="3"/>
  <c r="EO9" i="3"/>
  <c r="EO11" i="3"/>
  <c r="EO14" i="3"/>
  <c r="EO24" i="3"/>
  <c r="EO10" i="3"/>
  <c r="EO30" i="3"/>
  <c r="EO21" i="3"/>
  <c r="EO28" i="3"/>
  <c r="EO8" i="3"/>
  <c r="EO16" i="3"/>
  <c r="EO25" i="3"/>
  <c r="ET47" i="3"/>
  <c r="EO26" i="3"/>
  <c r="EO17" i="3"/>
  <c r="EO5" i="3"/>
  <c r="EO6" i="3"/>
  <c r="EO7" i="3"/>
  <c r="EO29" i="3"/>
  <c r="AJ61" i="3"/>
  <c r="AQ63" i="3"/>
  <c r="AI62" i="3"/>
  <c r="AA21" i="3"/>
  <c r="AC20" i="3"/>
  <c r="AB20" i="3"/>
  <c r="AD20" i="3"/>
  <c r="BO62" i="3"/>
  <c r="BH60" i="3"/>
  <c r="EO39" i="3"/>
  <c r="ET87" i="3"/>
  <c r="EO36" i="3"/>
  <c r="EO37" i="3"/>
  <c r="EO35" i="3"/>
  <c r="EO33" i="3"/>
  <c r="EO34" i="3"/>
  <c r="EO38" i="3"/>
  <c r="AR63" i="3"/>
  <c r="AK61" i="3"/>
  <c r="BF61" i="3"/>
  <c r="AW20" i="3"/>
  <c r="AY19" i="3"/>
  <c r="AZ19" i="3"/>
  <c r="AX19" i="3"/>
  <c r="BM62" i="3"/>
  <c r="BK54" i="1"/>
  <c r="BR133" i="1"/>
  <c r="BJ54" i="1"/>
  <c r="BQ133" i="1"/>
  <c r="AL54" i="1"/>
  <c r="AS56" i="1"/>
  <c r="AK54" i="1"/>
  <c r="AR56" i="1"/>
  <c r="AJ54" i="1"/>
  <c r="AQ56" i="1"/>
  <c r="AB13" i="1"/>
  <c r="AC13" i="1"/>
  <c r="AD13" i="1"/>
  <c r="AP57" i="1" s="1"/>
  <c r="AA14" i="1"/>
  <c r="AI55" i="1"/>
  <c r="BP133" i="1"/>
  <c r="G16" i="1"/>
  <c r="I28" i="1"/>
  <c r="AW14" i="1"/>
  <c r="AX13" i="1"/>
  <c r="AY13" i="1"/>
  <c r="AZ13" i="1"/>
  <c r="BP134" i="1" s="1"/>
  <c r="BI55" i="1"/>
  <c r="G29" i="1"/>
  <c r="BL54" i="1"/>
  <c r="BS133" i="1"/>
  <c r="BP63" i="3" l="1"/>
  <c r="BI61" i="3"/>
  <c r="BO63" i="3"/>
  <c r="BH61" i="3"/>
  <c r="BM63" i="3"/>
  <c r="AS64" i="3"/>
  <c r="AL62" i="3"/>
  <c r="BN63" i="3"/>
  <c r="BG61" i="3"/>
  <c r="AR64" i="3"/>
  <c r="AK62" i="3"/>
  <c r="EO18" i="3"/>
  <c r="BF62" i="3"/>
  <c r="AW21" i="3"/>
  <c r="AZ20" i="3"/>
  <c r="BM64" i="3" s="1"/>
  <c r="AY20" i="3"/>
  <c r="AX20" i="3"/>
  <c r="AI63" i="3"/>
  <c r="AA22" i="3"/>
  <c r="AB21" i="3"/>
  <c r="AD21" i="3"/>
  <c r="AP65" i="3" s="1"/>
  <c r="AC21" i="3"/>
  <c r="AJ62" i="3"/>
  <c r="AQ64" i="3"/>
  <c r="AP64" i="3"/>
  <c r="H31" i="3"/>
  <c r="G32" i="3" s="1"/>
  <c r="AB14" i="1"/>
  <c r="AC14" i="1"/>
  <c r="AD14" i="1"/>
  <c r="AP58" i="1" s="1"/>
  <c r="AA15" i="1"/>
  <c r="AI56" i="1"/>
  <c r="H29" i="1"/>
  <c r="AL55" i="1"/>
  <c r="AS57" i="1"/>
  <c r="AK55" i="1"/>
  <c r="AR57" i="1"/>
  <c r="AJ55" i="1"/>
  <c r="AQ57" i="1"/>
  <c r="BL55" i="1"/>
  <c r="BS134" i="1"/>
  <c r="BK55" i="1"/>
  <c r="BR134" i="1"/>
  <c r="BJ55" i="1"/>
  <c r="BQ134" i="1"/>
  <c r="AX14" i="1"/>
  <c r="AY14" i="1"/>
  <c r="AZ14" i="1"/>
  <c r="BP135" i="1" s="1"/>
  <c r="AW15" i="1"/>
  <c r="BI56" i="1"/>
  <c r="H16" i="1"/>
  <c r="N387" i="1" s="1" a="1"/>
  <c r="N387" i="1" s="1"/>
  <c r="N313" i="1" a="1"/>
  <c r="N313" i="1" s="1"/>
  <c r="N72" i="1" a="1"/>
  <c r="N72" i="1" s="1"/>
  <c r="N235" i="1" a="1"/>
  <c r="N235" i="1" s="1"/>
  <c r="N181" i="1" a="1"/>
  <c r="N181" i="1" s="1"/>
  <c r="N332" i="1" a="1"/>
  <c r="N332" i="1" s="1"/>
  <c r="N223" i="1" a="1"/>
  <c r="N223" i="1" s="1"/>
  <c r="N217" i="1" a="1"/>
  <c r="N217" i="1" s="1"/>
  <c r="N21" i="1" a="1"/>
  <c r="N21" i="1" s="1"/>
  <c r="N315" i="1" a="1"/>
  <c r="N315" i="1" s="1"/>
  <c r="N133" i="1" a="1"/>
  <c r="N133" i="1" s="1"/>
  <c r="N22" i="1" a="1"/>
  <c r="N22" i="1" s="1"/>
  <c r="N189" i="1" a="1"/>
  <c r="N189" i="1" s="1"/>
  <c r="N237" i="1" a="1"/>
  <c r="N237" i="1" s="1"/>
  <c r="N266" i="1" a="1"/>
  <c r="N266" i="1" s="1"/>
  <c r="N325" i="1" a="1"/>
  <c r="N325" i="1" s="1"/>
  <c r="N142" i="1" a="1"/>
  <c r="N142" i="1" s="1"/>
  <c r="N323" i="1" a="1"/>
  <c r="N323" i="1" s="1"/>
  <c r="N91" i="1" a="1"/>
  <c r="N91" i="1" s="1"/>
  <c r="N353" i="1" a="1"/>
  <c r="N353" i="1" s="1"/>
  <c r="N345" i="1" a="1"/>
  <c r="N345" i="1" s="1"/>
  <c r="N73" i="1" a="1"/>
  <c r="N73" i="1" s="1"/>
  <c r="N204" i="1" a="1"/>
  <c r="N204" i="1" s="1"/>
  <c r="N95" i="1" a="1"/>
  <c r="N95" i="1" s="1"/>
  <c r="N51" i="1" a="1"/>
  <c r="N51" i="1" s="1"/>
  <c r="N228" i="1" a="1"/>
  <c r="N228" i="1" s="1"/>
  <c r="N212" i="1" a="1"/>
  <c r="N212" i="1" s="1"/>
  <c r="N81" i="1" a="1"/>
  <c r="N81" i="1" s="1"/>
  <c r="N248" i="1" a="1"/>
  <c r="N248" i="1" s="1"/>
  <c r="N279" i="1" a="1"/>
  <c r="N279" i="1" s="1"/>
  <c r="N284" i="1" a="1"/>
  <c r="N284" i="1" s="1"/>
  <c r="N136" i="1" a="1"/>
  <c r="N136" i="1" s="1"/>
  <c r="N110" i="1" a="1"/>
  <c r="N110" i="1" s="1"/>
  <c r="N165" i="1" a="1"/>
  <c r="N165" i="1" s="1"/>
  <c r="N306" i="1" a="1"/>
  <c r="N306" i="1" s="1"/>
  <c r="N330" i="1" a="1"/>
  <c r="N330" i="1" s="1"/>
  <c r="N42" i="1" a="1"/>
  <c r="N42" i="1" s="1"/>
  <c r="N43" i="1" a="1"/>
  <c r="N43" i="1" s="1"/>
  <c r="N301" i="1" a="1"/>
  <c r="N301" i="1" s="1"/>
  <c r="N39" i="1" a="1"/>
  <c r="N39" i="1" s="1"/>
  <c r="N195" i="1" a="1"/>
  <c r="N195" i="1" s="1"/>
  <c r="N13" i="1" a="1"/>
  <c r="N13" i="1" s="1"/>
  <c r="N161" i="1" a="1"/>
  <c r="N161" i="1" s="1"/>
  <c r="N280" i="1" a="1"/>
  <c r="N280" i="1" s="1"/>
  <c r="N253" i="1" a="1"/>
  <c r="N253" i="1" s="1"/>
  <c r="N262" i="1" a="1"/>
  <c r="N262" i="1" s="1"/>
  <c r="N274" i="1" a="1"/>
  <c r="N274" i="1" s="1"/>
  <c r="N197" i="1" a="1"/>
  <c r="N197" i="1" s="1"/>
  <c r="N208" i="1" a="1"/>
  <c r="N208" i="1" s="1"/>
  <c r="N169" i="1" a="1"/>
  <c r="N169" i="1" s="1"/>
  <c r="N132" i="1" a="1"/>
  <c r="N132" i="1" s="1"/>
  <c r="N138" i="1" a="1"/>
  <c r="N138" i="1" s="1"/>
  <c r="N127" i="1" a="1"/>
  <c r="N127" i="1" s="1"/>
  <c r="N337" i="1" a="1"/>
  <c r="N337" i="1" s="1"/>
  <c r="N84" i="1" a="1"/>
  <c r="N84" i="1" s="1"/>
  <c r="N26" i="1" a="1"/>
  <c r="N26" i="1" s="1"/>
  <c r="N327" i="1" a="1"/>
  <c r="N327" i="1" s="1"/>
  <c r="N17" i="1" a="1"/>
  <c r="N17" i="1" s="1"/>
  <c r="N314" i="1" a="1"/>
  <c r="N314" i="1" s="1"/>
  <c r="N143" i="1" a="1"/>
  <c r="N143" i="1" s="1"/>
  <c r="N331" i="1" a="1"/>
  <c r="N331" i="1" s="1"/>
  <c r="N241" i="1" a="1"/>
  <c r="N241" i="1" s="1"/>
  <c r="N269" i="1" a="1"/>
  <c r="N269" i="1" s="1"/>
  <c r="N267" i="1" a="1"/>
  <c r="N267" i="1" s="1"/>
  <c r="N291" i="1" a="1"/>
  <c r="N291" i="1" s="1"/>
  <c r="N209" i="1" a="1"/>
  <c r="N209" i="1" s="1"/>
  <c r="N76" i="1" a="1"/>
  <c r="N76" i="1" s="1"/>
  <c r="N147" i="1" a="1"/>
  <c r="N147" i="1" s="1"/>
  <c r="N312" i="1" a="1"/>
  <c r="N312" i="1" s="1"/>
  <c r="N60" i="1" a="1"/>
  <c r="N60" i="1" s="1"/>
  <c r="N131" i="1" a="1"/>
  <c r="N131" i="1" s="1"/>
  <c r="N335" i="1" a="1"/>
  <c r="N335" i="1" s="1"/>
  <c r="N336" i="1" a="1"/>
  <c r="N336" i="1" s="1"/>
  <c r="N175" i="1" a="1"/>
  <c r="N175" i="1" s="1"/>
  <c r="N317" i="1" a="1"/>
  <c r="N317" i="1" s="1"/>
  <c r="N25" i="1" a="1"/>
  <c r="N25" i="1" s="1"/>
  <c r="N322" i="1" a="1"/>
  <c r="N322" i="1" s="1"/>
  <c r="N299" i="1" a="1"/>
  <c r="N299" i="1" s="1"/>
  <c r="N93" i="1" a="1"/>
  <c r="N93" i="1" s="1"/>
  <c r="N54" i="1" a="1"/>
  <c r="N54" i="1" s="1"/>
  <c r="N247" i="1" a="1"/>
  <c r="N247" i="1" s="1"/>
  <c r="N257" i="1" a="1"/>
  <c r="N257" i="1" s="1"/>
  <c r="N259" i="1" a="1"/>
  <c r="N259" i="1" s="1"/>
  <c r="N276" i="1" a="1"/>
  <c r="N276" i="1" s="1"/>
  <c r="N124" i="1" a="1"/>
  <c r="N124" i="1" s="1"/>
  <c r="N232" i="1" a="1"/>
  <c r="N232" i="1" s="1"/>
  <c r="N158" i="1" a="1"/>
  <c r="N158" i="1" s="1"/>
  <c r="N154" i="1" a="1"/>
  <c r="N154" i="1" s="1"/>
  <c r="N9" i="1" a="1"/>
  <c r="N9" i="1" s="1"/>
  <c r="N334" i="1" a="1"/>
  <c r="N334" i="1" s="1"/>
  <c r="N308" i="1" a="1"/>
  <c r="N308" i="1" s="1"/>
  <c r="N159" i="1" a="1"/>
  <c r="N159" i="1" s="1"/>
  <c r="N302" i="1" a="1"/>
  <c r="N302" i="1" s="1"/>
  <c r="N303" i="1" a="1"/>
  <c r="N303" i="1" s="1"/>
  <c r="N183" i="1" a="1"/>
  <c r="N183" i="1" s="1"/>
  <c r="N141" i="1" a="1"/>
  <c r="N141" i="1" s="1"/>
  <c r="N153" i="1" a="1"/>
  <c r="N153" i="1" s="1"/>
  <c r="N173" i="1" a="1"/>
  <c r="N173" i="1" s="1"/>
  <c r="N151" i="1" a="1"/>
  <c r="N151" i="1" s="1"/>
  <c r="N285" i="1" a="1"/>
  <c r="N285" i="1" s="1"/>
  <c r="N240" i="1" a="1"/>
  <c r="N240" i="1" s="1"/>
  <c r="N263" i="1" a="1"/>
  <c r="N263" i="1" s="1"/>
  <c r="N5" i="1" a="1"/>
  <c r="N5" i="1" s="1"/>
  <c r="N218" i="1" a="1"/>
  <c r="N218" i="1" s="1"/>
  <c r="N172" i="1" a="1"/>
  <c r="N172" i="1" s="1"/>
  <c r="N182" i="1" a="1"/>
  <c r="N182" i="1" s="1"/>
  <c r="N50" i="1" a="1"/>
  <c r="N50" i="1" s="1"/>
  <c r="N106" i="1" a="1"/>
  <c r="N106" i="1" s="1"/>
  <c r="N102" i="1" a="1"/>
  <c r="N102" i="1" s="1"/>
  <c r="N126" i="1" a="1"/>
  <c r="N126" i="1" s="1"/>
  <c r="N343" i="1" a="1"/>
  <c r="N343" i="1" s="1"/>
  <c r="N348" i="1" a="1"/>
  <c r="N348" i="1" s="1"/>
  <c r="N101" i="1" a="1"/>
  <c r="N101" i="1" s="1"/>
  <c r="N156" i="1" a="1"/>
  <c r="N156" i="1" s="1"/>
  <c r="N145" i="1" a="1"/>
  <c r="N145" i="1" s="1"/>
  <c r="N109" i="1" a="1"/>
  <c r="N109" i="1" s="1"/>
  <c r="N298" i="1" a="1"/>
  <c r="N298" i="1" s="1"/>
  <c r="N68" i="1" a="1"/>
  <c r="N68" i="1" s="1"/>
  <c r="N278" i="1" a="1"/>
  <c r="N278" i="1" s="1"/>
  <c r="N245" i="1" a="1"/>
  <c r="N245" i="1" s="1"/>
  <c r="N270" i="1" a="1"/>
  <c r="N270" i="1" s="1"/>
  <c r="N329" i="1" a="1"/>
  <c r="N329" i="1" s="1"/>
  <c r="N70" i="1" a="1"/>
  <c r="N70" i="1" s="1"/>
  <c r="N224" i="1" a="1"/>
  <c r="N224" i="1" s="1"/>
  <c r="N111" i="1" a="1"/>
  <c r="N111" i="1" s="1"/>
  <c r="N295" i="1" a="1"/>
  <c r="N295" i="1" s="1"/>
  <c r="N92" i="1" a="1"/>
  <c r="N92" i="1" s="1"/>
  <c r="N305" i="1" a="1"/>
  <c r="N305" i="1" s="1"/>
  <c r="N328" i="1" a="1"/>
  <c r="N328" i="1" s="1"/>
  <c r="N85" i="1" a="1"/>
  <c r="N85" i="1" s="1"/>
  <c r="N310" i="1" a="1"/>
  <c r="N310" i="1" s="1"/>
  <c r="N307" i="1" a="1"/>
  <c r="N307" i="1" s="1"/>
  <c r="N32" i="1" a="1"/>
  <c r="N32" i="1" s="1"/>
  <c r="N46" i="1" a="1"/>
  <c r="N46" i="1" s="1"/>
  <c r="N118" i="1" a="1"/>
  <c r="N118" i="1" s="1"/>
  <c r="N117" i="1" a="1"/>
  <c r="N117" i="1" s="1"/>
  <c r="N293" i="1" a="1"/>
  <c r="N293" i="1" s="1"/>
  <c r="N239" i="1" a="1"/>
  <c r="N239" i="1" s="1"/>
  <c r="N258" i="1" a="1"/>
  <c r="N258" i="1" s="1"/>
  <c r="N255" i="1" a="1"/>
  <c r="N255" i="1" s="1"/>
  <c r="N196" i="1" a="1"/>
  <c r="N196" i="1" s="1"/>
  <c r="N170" i="1" a="1"/>
  <c r="N170" i="1" s="1"/>
  <c r="N56" i="1" a="1"/>
  <c r="N56" i="1" s="1"/>
  <c r="N19" i="1" a="1"/>
  <c r="N19" i="1" s="1"/>
  <c r="N37" i="1" a="1"/>
  <c r="N37" i="1" s="1"/>
  <c r="N297" i="1" a="1"/>
  <c r="N297" i="1" s="1"/>
  <c r="N75" i="1" a="1"/>
  <c r="N75" i="1" s="1"/>
  <c r="N69" i="1" a="1"/>
  <c r="N69" i="1" s="1"/>
  <c r="N140" i="1" a="1"/>
  <c r="N140" i="1" s="1"/>
  <c r="N89" i="1" a="1"/>
  <c r="N89" i="1" s="1"/>
  <c r="N11" i="1" a="1"/>
  <c r="N11" i="1" s="1"/>
  <c r="N120" i="1" a="1"/>
  <c r="N120" i="1" s="1"/>
  <c r="N129" i="1" a="1"/>
  <c r="N129" i="1" s="1"/>
  <c r="N350" i="1" a="1"/>
  <c r="N350" i="1" s="1"/>
  <c r="N171" i="1" a="1"/>
  <c r="N171" i="1" s="1"/>
  <c r="N174" i="1" a="1"/>
  <c r="N174" i="1" s="1"/>
  <c r="N287" i="1" a="1"/>
  <c r="N287" i="1" s="1"/>
  <c r="N265" i="1" a="1"/>
  <c r="N265" i="1" s="1"/>
  <c r="N286" i="1" a="1"/>
  <c r="N286" i="1" s="1"/>
  <c r="N192" i="1" a="1"/>
  <c r="N192" i="1" s="1"/>
  <c r="N119" i="1" a="1"/>
  <c r="N119" i="1" s="1"/>
  <c r="N340" i="1" a="1"/>
  <c r="N340" i="1" s="1"/>
  <c r="N78" i="1" a="1"/>
  <c r="N78" i="1" s="1"/>
  <c r="N97" i="1" a="1"/>
  <c r="N97" i="1" s="1"/>
  <c r="N234" i="1" a="1"/>
  <c r="N234" i="1" s="1"/>
  <c r="N125" i="1" a="1"/>
  <c r="N125" i="1" s="1"/>
  <c r="N311" i="1" a="1"/>
  <c r="N311" i="1" s="1"/>
  <c r="N164" i="1" a="1"/>
  <c r="N164" i="1" s="1"/>
  <c r="N211" i="1" a="1"/>
  <c r="N211" i="1" s="1"/>
  <c r="N304" i="1" a="1"/>
  <c r="N304" i="1" s="1"/>
  <c r="N113" i="1" a="1"/>
  <c r="N113" i="1" s="1"/>
  <c r="N90" i="1" a="1"/>
  <c r="N90" i="1" s="1"/>
  <c r="N346" i="1" a="1"/>
  <c r="N346" i="1" s="1"/>
  <c r="N34" i="1" a="1"/>
  <c r="N34" i="1" s="1"/>
  <c r="N63" i="1" a="1"/>
  <c r="N63" i="1" s="1"/>
  <c r="N277" i="1" a="1"/>
  <c r="N277" i="1" s="1"/>
  <c r="N251" i="1" a="1"/>
  <c r="N251" i="1" s="1"/>
  <c r="N256" i="1" a="1"/>
  <c r="N256" i="1" s="1"/>
  <c r="N24" i="1" a="1"/>
  <c r="N24" i="1" s="1"/>
  <c r="N8" i="1" a="1"/>
  <c r="N8" i="1" s="1"/>
  <c r="N31" i="1" a="1"/>
  <c r="N31" i="1" s="1"/>
  <c r="N52" i="1" a="1"/>
  <c r="N52" i="1" s="1"/>
  <c r="N107" i="1" a="1"/>
  <c r="N107" i="1" s="1"/>
  <c r="N205" i="1" a="1"/>
  <c r="N205" i="1" s="1"/>
  <c r="N193" i="1" a="1"/>
  <c r="N193" i="1" s="1"/>
  <c r="N83" i="1" a="1"/>
  <c r="N83" i="1" s="1"/>
  <c r="N219" i="1" a="1"/>
  <c r="N219" i="1" s="1"/>
  <c r="N210" i="1" a="1"/>
  <c r="N210" i="1" s="1"/>
  <c r="N339" i="1" a="1"/>
  <c r="N339" i="1" s="1"/>
  <c r="N99" i="1" a="1"/>
  <c r="N99" i="1" s="1"/>
  <c r="N168" i="1" a="1"/>
  <c r="N168" i="1" s="1"/>
  <c r="N48" i="1" a="1"/>
  <c r="N48" i="1" s="1"/>
  <c r="N114" i="1" a="1"/>
  <c r="N114" i="1" s="1"/>
  <c r="N349" i="1" a="1"/>
  <c r="N349" i="1" s="1"/>
  <c r="N243" i="1" a="1"/>
  <c r="N243" i="1" s="1"/>
  <c r="N260" i="1" a="1"/>
  <c r="N260" i="1" s="1"/>
  <c r="N288" i="1" a="1"/>
  <c r="N288" i="1" s="1"/>
  <c r="N98" i="1" a="1"/>
  <c r="N98" i="1" s="1"/>
  <c r="N146" i="1" a="1"/>
  <c r="N146" i="1" s="1"/>
  <c r="N351" i="1" a="1"/>
  <c r="N351" i="1" s="1"/>
  <c r="N40" i="1" a="1"/>
  <c r="N40" i="1" s="1"/>
  <c r="N333" i="1" a="1"/>
  <c r="N333" i="1" s="1"/>
  <c r="N123" i="1" a="1"/>
  <c r="N123" i="1" s="1"/>
  <c r="N321" i="1" a="1"/>
  <c r="N321" i="1" s="1"/>
  <c r="N77" i="1" a="1"/>
  <c r="N77" i="1" s="1"/>
  <c r="N220" i="1" a="1"/>
  <c r="N220" i="1" s="1"/>
  <c r="N238" i="1" a="1"/>
  <c r="N238" i="1" s="1"/>
  <c r="N122" i="1" a="1"/>
  <c r="N122" i="1" s="1"/>
  <c r="N44" i="1" a="1"/>
  <c r="N44" i="1" s="1"/>
  <c r="N134" i="1" a="1"/>
  <c r="N134" i="1" s="1"/>
  <c r="N155" i="1" a="1"/>
  <c r="N155" i="1" s="1"/>
  <c r="N316" i="1" a="1"/>
  <c r="N316" i="1" s="1"/>
  <c r="N86" i="1" a="1"/>
  <c r="N86" i="1" s="1"/>
  <c r="N144" i="1" l="1" a="1"/>
  <c r="N144" i="1" s="1"/>
  <c r="N282" i="1" a="1"/>
  <c r="N282" i="1" s="1"/>
  <c r="N254" i="1" a="1"/>
  <c r="N254" i="1" s="1"/>
  <c r="N221" i="1" a="1"/>
  <c r="N221" i="1" s="1"/>
  <c r="N187" i="1" a="1"/>
  <c r="N187" i="1" s="1"/>
  <c r="N352" i="1" a="1"/>
  <c r="N352" i="1" s="1"/>
  <c r="N20" i="1" a="1"/>
  <c r="N20" i="1" s="1"/>
  <c r="N347" i="1" a="1"/>
  <c r="N347" i="1" s="1"/>
  <c r="N379" i="1" a="1"/>
  <c r="N379" i="1" s="1"/>
  <c r="N395" i="1" a="1"/>
  <c r="N395" i="1" s="1"/>
  <c r="N390" i="1" a="1"/>
  <c r="N390" i="1" s="1"/>
  <c r="N373" i="1" a="1"/>
  <c r="N373" i="1" s="1"/>
  <c r="N392" i="1" a="1"/>
  <c r="N392" i="1" s="1"/>
  <c r="N381" i="1" a="1"/>
  <c r="N381" i="1" s="1"/>
  <c r="N393" i="1" a="1"/>
  <c r="N393" i="1" s="1"/>
  <c r="N388" i="1" a="1"/>
  <c r="N388" i="1" s="1"/>
  <c r="N374" i="1" a="1"/>
  <c r="N374" i="1" s="1"/>
  <c r="N380" i="1" a="1"/>
  <c r="N380" i="1" s="1"/>
  <c r="N386" i="1" a="1"/>
  <c r="N386" i="1" s="1"/>
  <c r="N384" i="1" a="1"/>
  <c r="N384" i="1" s="1"/>
  <c r="N389" i="1" a="1"/>
  <c r="N389" i="1" s="1"/>
  <c r="N376" i="1" a="1"/>
  <c r="N376" i="1" s="1"/>
  <c r="N378" i="1" a="1"/>
  <c r="N378" i="1" s="1"/>
  <c r="N67" i="1" a="1"/>
  <c r="N67" i="1" s="1"/>
  <c r="N385" i="1" a="1"/>
  <c r="N385" i="1" s="1"/>
  <c r="N383" i="1" a="1"/>
  <c r="N383" i="1" s="1"/>
  <c r="N375" i="1" a="1"/>
  <c r="N375" i="1" s="1"/>
  <c r="N377" i="1" a="1"/>
  <c r="N377" i="1" s="1"/>
  <c r="N391" i="1" a="1"/>
  <c r="N391" i="1" s="1"/>
  <c r="N104" i="1" a="1"/>
  <c r="N104" i="1" s="1"/>
  <c r="N394" i="1" a="1"/>
  <c r="N394" i="1" s="1"/>
  <c r="N177" i="1" a="1"/>
  <c r="N177" i="1" s="1"/>
  <c r="N79" i="1" a="1"/>
  <c r="N79" i="1" s="1"/>
  <c r="N372" i="1" a="1"/>
  <c r="N372" i="1" s="1"/>
  <c r="N53" i="1" a="1"/>
  <c r="N53" i="1" s="1"/>
  <c r="N18" i="1" a="1"/>
  <c r="N18" i="1" s="1"/>
  <c r="N213" i="1" a="1"/>
  <c r="N213" i="1" s="1"/>
  <c r="N319" i="1" a="1"/>
  <c r="N319" i="1" s="1"/>
  <c r="N382" i="1" a="1"/>
  <c r="N382" i="1" s="1"/>
  <c r="N47" i="1" a="1"/>
  <c r="N47" i="1" s="1"/>
  <c r="N57" i="1" a="1"/>
  <c r="N57" i="1" s="1"/>
  <c r="N100" i="1" a="1"/>
  <c r="N100" i="1" s="1"/>
  <c r="N236" i="1" a="1"/>
  <c r="N236" i="1" s="1"/>
  <c r="N10" i="1" a="1"/>
  <c r="N10" i="1" s="1"/>
  <c r="N128" i="1" a="1"/>
  <c r="N128" i="1" s="1"/>
  <c r="N16" i="1" a="1"/>
  <c r="N16" i="1" s="1"/>
  <c r="N103" i="1" a="1"/>
  <c r="N103" i="1" s="1"/>
  <c r="N64" i="1" a="1"/>
  <c r="N64" i="1" s="1"/>
  <c r="N166" i="1" a="1"/>
  <c r="N166" i="1" s="1"/>
  <c r="N261" i="1" a="1"/>
  <c r="N261" i="1" s="1"/>
  <c r="N367" i="1" a="1"/>
  <c r="N367" i="1" s="1"/>
  <c r="N368" i="1" a="1"/>
  <c r="N368" i="1" s="1"/>
  <c r="N249" i="1" a="1"/>
  <c r="N249" i="1" s="1"/>
  <c r="N139" i="1" a="1"/>
  <c r="N139" i="1" s="1"/>
  <c r="N369" i="1" a="1"/>
  <c r="N369" i="1" s="1"/>
  <c r="N275" i="1" a="1"/>
  <c r="N275" i="1" s="1"/>
  <c r="N231" i="1" a="1"/>
  <c r="N231" i="1" s="1"/>
  <c r="N370" i="1" a="1"/>
  <c r="N370" i="1" s="1"/>
  <c r="N206" i="1" a="1"/>
  <c r="N206" i="1" s="1"/>
  <c r="N190" i="1" a="1"/>
  <c r="N190" i="1" s="1"/>
  <c r="N366" i="1" a="1"/>
  <c r="N366" i="1" s="1"/>
  <c r="N82" i="1" a="1"/>
  <c r="N82" i="1" s="1"/>
  <c r="N242" i="1" a="1"/>
  <c r="N242" i="1" s="1"/>
  <c r="N371" i="1" a="1"/>
  <c r="N371" i="1" s="1"/>
  <c r="N201" i="1" a="1"/>
  <c r="N201" i="1" s="1"/>
  <c r="N157" i="1" a="1"/>
  <c r="N157" i="1" s="1"/>
  <c r="N179" i="1" a="1"/>
  <c r="N179" i="1" s="1"/>
  <c r="N188" i="1" a="1"/>
  <c r="N188" i="1" s="1"/>
  <c r="N112" i="1" a="1"/>
  <c r="N112" i="1" s="1"/>
  <c r="N12" i="1" a="1"/>
  <c r="N12" i="1" s="1"/>
  <c r="N359" i="1" a="1"/>
  <c r="N359" i="1" s="1"/>
  <c r="N362" i="1" a="1"/>
  <c r="N362" i="1" s="1"/>
  <c r="N365" i="1" a="1"/>
  <c r="N365" i="1" s="1"/>
  <c r="N358" i="1" a="1"/>
  <c r="N358" i="1" s="1"/>
  <c r="N361" i="1" a="1"/>
  <c r="N361" i="1" s="1"/>
  <c r="N364" i="1" a="1"/>
  <c r="N364" i="1" s="1"/>
  <c r="N360" i="1" a="1"/>
  <c r="N360" i="1" s="1"/>
  <c r="N363" i="1" a="1"/>
  <c r="N363" i="1" s="1"/>
  <c r="N318" i="1" a="1"/>
  <c r="N318" i="1" s="1"/>
  <c r="N194" i="1" a="1"/>
  <c r="N194" i="1" s="1"/>
  <c r="N185" i="1" a="1"/>
  <c r="N185" i="1" s="1"/>
  <c r="N264" i="1" a="1"/>
  <c r="N264" i="1" s="1"/>
  <c r="N246" i="1" a="1"/>
  <c r="N246" i="1" s="1"/>
  <c r="N309" i="1" a="1"/>
  <c r="N309" i="1" s="1"/>
  <c r="N357" i="1" a="1"/>
  <c r="N357" i="1" s="1"/>
  <c r="N356" i="1" a="1"/>
  <c r="N356" i="1" s="1"/>
  <c r="N355" i="1" a="1"/>
  <c r="N355" i="1" s="1"/>
  <c r="O5" i="1"/>
  <c r="I31" i="3"/>
  <c r="AI64" i="3"/>
  <c r="AA23" i="3"/>
  <c r="AD22" i="3"/>
  <c r="AP66" i="3" s="1"/>
  <c r="AC22" i="3"/>
  <c r="AB22" i="3"/>
  <c r="BF63" i="3"/>
  <c r="AZ21" i="3"/>
  <c r="AY21" i="3"/>
  <c r="AX21" i="3"/>
  <c r="AW22" i="3"/>
  <c r="H32" i="3"/>
  <c r="I32" i="3" s="1"/>
  <c r="BI62" i="3"/>
  <c r="BP64" i="3"/>
  <c r="AQ65" i="3"/>
  <c r="AJ63" i="3"/>
  <c r="AR65" i="3"/>
  <c r="AK63" i="3"/>
  <c r="AL63" i="3"/>
  <c r="AS65" i="3"/>
  <c r="BG62" i="3"/>
  <c r="BN64" i="3"/>
  <c r="BO64" i="3"/>
  <c r="BH62" i="3"/>
  <c r="N342" i="1" a="1"/>
  <c r="N342" i="1" s="1"/>
  <c r="N222" i="1" a="1"/>
  <c r="N222" i="1" s="1"/>
  <c r="N108" i="1" a="1"/>
  <c r="N108" i="1" s="1"/>
  <c r="N252" i="1" a="1"/>
  <c r="N252" i="1" s="1"/>
  <c r="N227" i="1" a="1"/>
  <c r="N227" i="1" s="1"/>
  <c r="N38" i="1" a="1"/>
  <c r="N38" i="1" s="1"/>
  <c r="N152" i="1" a="1"/>
  <c r="N152" i="1" s="1"/>
  <c r="N233" i="1" a="1"/>
  <c r="N233" i="1" s="1"/>
  <c r="N289" i="1" a="1"/>
  <c r="N289" i="1" s="1"/>
  <c r="N250" i="1" a="1"/>
  <c r="N250" i="1" s="1"/>
  <c r="N273" i="1" a="1"/>
  <c r="N273" i="1" s="1"/>
  <c r="N176" i="1" a="1"/>
  <c r="N176" i="1" s="1"/>
  <c r="N130" i="1" a="1"/>
  <c r="N130" i="1" s="1"/>
  <c r="N272" i="1" a="1"/>
  <c r="N272" i="1" s="1"/>
  <c r="N200" i="1" a="1"/>
  <c r="N200" i="1" s="1"/>
  <c r="N341" i="1" a="1"/>
  <c r="N341" i="1" s="1"/>
  <c r="N59" i="1" a="1"/>
  <c r="N59" i="1" s="1"/>
  <c r="N226" i="1" a="1"/>
  <c r="N226" i="1" s="1"/>
  <c r="N178" i="1" a="1"/>
  <c r="N178" i="1" s="1"/>
  <c r="N225" i="1" a="1"/>
  <c r="N225" i="1" s="1"/>
  <c r="N149" i="1" a="1"/>
  <c r="N149" i="1" s="1"/>
  <c r="N202" i="1" a="1"/>
  <c r="N202" i="1" s="1"/>
  <c r="N137" i="1" a="1"/>
  <c r="N137" i="1" s="1"/>
  <c r="N160" i="1" a="1"/>
  <c r="N160" i="1" s="1"/>
  <c r="N135" i="1" a="1"/>
  <c r="N135" i="1" s="1"/>
  <c r="N30" i="1" a="1"/>
  <c r="N30" i="1" s="1"/>
  <c r="I16" i="1"/>
  <c r="N271" i="1" a="1"/>
  <c r="N271" i="1" s="1"/>
  <c r="N55" i="1" a="1"/>
  <c r="N55" i="1" s="1"/>
  <c r="N62" i="1" a="1"/>
  <c r="N62" i="1" s="1"/>
  <c r="N87" i="1" a="1"/>
  <c r="N87" i="1" s="1"/>
  <c r="N29" i="1" a="1"/>
  <c r="N29" i="1" s="1"/>
  <c r="N45" i="1" a="1"/>
  <c r="N45" i="1" s="1"/>
  <c r="N281" i="1" a="1"/>
  <c r="N281" i="1" s="1"/>
  <c r="N71" i="1" a="1"/>
  <c r="N71" i="1" s="1"/>
  <c r="AX15" i="1"/>
  <c r="AY15" i="1"/>
  <c r="AZ15" i="1"/>
  <c r="AW16" i="1"/>
  <c r="BI57" i="1"/>
  <c r="N244" i="1" a="1"/>
  <c r="N244" i="1" s="1"/>
  <c r="BS135" i="1"/>
  <c r="BL56" i="1"/>
  <c r="I29" i="1"/>
  <c r="N283" i="1" a="1"/>
  <c r="N283" i="1" s="1"/>
  <c r="BR135" i="1"/>
  <c r="BK56" i="1"/>
  <c r="G30" i="1"/>
  <c r="N88" i="1" a="1"/>
  <c r="N88" i="1" s="1"/>
  <c r="N184" i="1" a="1"/>
  <c r="N184" i="1" s="1"/>
  <c r="BJ56" i="1"/>
  <c r="BQ135" i="1"/>
  <c r="N198" i="1" a="1"/>
  <c r="N198" i="1" s="1"/>
  <c r="N292" i="1" a="1"/>
  <c r="N292" i="1" s="1"/>
  <c r="N6" i="1" a="1"/>
  <c r="N6" i="1" s="1"/>
  <c r="O6" i="1" s="1"/>
  <c r="AB15" i="1"/>
  <c r="AA16" i="1"/>
  <c r="AC15" i="1"/>
  <c r="AD15" i="1"/>
  <c r="AP59" i="1" s="1"/>
  <c r="AI57" i="1"/>
  <c r="AL56" i="1"/>
  <c r="AS58" i="1"/>
  <c r="N7" i="1" a="1"/>
  <c r="N7" i="1" s="1"/>
  <c r="N58" i="1" a="1"/>
  <c r="N58" i="1" s="1"/>
  <c r="N116" i="1" a="1"/>
  <c r="N116" i="1" s="1"/>
  <c r="N49" i="1" a="1"/>
  <c r="N49" i="1" s="1"/>
  <c r="N167" i="1" a="1"/>
  <c r="N167" i="1" s="1"/>
  <c r="N180" i="1" a="1"/>
  <c r="N180" i="1" s="1"/>
  <c r="N338" i="1" a="1"/>
  <c r="N338" i="1" s="1"/>
  <c r="N191" i="1" a="1"/>
  <c r="N191" i="1" s="1"/>
  <c r="N66" i="1" a="1"/>
  <c r="N66" i="1" s="1"/>
  <c r="N23" i="1" a="1"/>
  <c r="N23" i="1" s="1"/>
  <c r="N28" i="1" a="1"/>
  <c r="N28" i="1" s="1"/>
  <c r="N207" i="1" a="1"/>
  <c r="N207" i="1" s="1"/>
  <c r="N33" i="1" a="1"/>
  <c r="N33" i="1" s="1"/>
  <c r="N290" i="1" a="1"/>
  <c r="N290" i="1" s="1"/>
  <c r="N230" i="1" a="1"/>
  <c r="N230" i="1" s="1"/>
  <c r="N115" i="1" a="1"/>
  <c r="N115" i="1" s="1"/>
  <c r="N80" i="1" a="1"/>
  <c r="N80" i="1" s="1"/>
  <c r="N216" i="1" a="1"/>
  <c r="N216" i="1" s="1"/>
  <c r="N61" i="1" a="1"/>
  <c r="N61" i="1" s="1"/>
  <c r="N121" i="1" a="1"/>
  <c r="N121" i="1" s="1"/>
  <c r="N203" i="1" a="1"/>
  <c r="N203" i="1" s="1"/>
  <c r="N354" i="1" a="1"/>
  <c r="N354" i="1" s="1"/>
  <c r="N215" i="1" a="1"/>
  <c r="N215" i="1" s="1"/>
  <c r="N15" i="1" a="1"/>
  <c r="N15" i="1" s="1"/>
  <c r="N300" i="1" a="1"/>
  <c r="N300" i="1" s="1"/>
  <c r="N27" i="1" a="1"/>
  <c r="N27" i="1" s="1"/>
  <c r="N41" i="1" a="1"/>
  <c r="N41" i="1" s="1"/>
  <c r="N96" i="1" a="1"/>
  <c r="N96" i="1" s="1"/>
  <c r="N65" i="1" a="1"/>
  <c r="N65" i="1" s="1"/>
  <c r="N150" i="1" a="1"/>
  <c r="N150" i="1" s="1"/>
  <c r="N326" i="1" a="1"/>
  <c r="N326" i="1" s="1"/>
  <c r="N148" i="1" a="1"/>
  <c r="N148" i="1" s="1"/>
  <c r="N94" i="1" a="1"/>
  <c r="N94" i="1" s="1"/>
  <c r="N163" i="1" a="1"/>
  <c r="N163" i="1" s="1"/>
  <c r="N344" i="1" a="1"/>
  <c r="N344" i="1" s="1"/>
  <c r="N294" i="1" a="1"/>
  <c r="N294" i="1" s="1"/>
  <c r="N214" i="1" a="1"/>
  <c r="N214" i="1" s="1"/>
  <c r="N162" i="1" a="1"/>
  <c r="N162" i="1" s="1"/>
  <c r="N105" i="1" a="1"/>
  <c r="N105" i="1" s="1"/>
  <c r="N199" i="1" a="1"/>
  <c r="N199" i="1" s="1"/>
  <c r="N296" i="1" a="1"/>
  <c r="N296" i="1" s="1"/>
  <c r="N320" i="1" a="1"/>
  <c r="N320" i="1" s="1"/>
  <c r="N36" i="1" a="1"/>
  <c r="N36" i="1" s="1"/>
  <c r="N35" i="1" a="1"/>
  <c r="N35" i="1" s="1"/>
  <c r="N74" i="1" a="1"/>
  <c r="N74" i="1" s="1"/>
  <c r="N324" i="1" a="1"/>
  <c r="N324" i="1" s="1"/>
  <c r="AK56" i="1"/>
  <c r="AR58" i="1"/>
  <c r="AQ58" i="1"/>
  <c r="AJ56" i="1"/>
  <c r="N268" i="1" a="1"/>
  <c r="N268" i="1" s="1"/>
  <c r="N14" i="1" a="1"/>
  <c r="N14" i="1" s="1"/>
  <c r="N186" i="1" a="1"/>
  <c r="N186" i="1" s="1"/>
  <c r="N229" i="1" a="1"/>
  <c r="N229" i="1" s="1"/>
  <c r="O393" i="1" l="1"/>
  <c r="O392" i="1"/>
  <c r="O390" i="1"/>
  <c r="O388" i="1"/>
  <c r="O395" i="1"/>
  <c r="O385" i="1"/>
  <c r="O382" i="1"/>
  <c r="O394" i="1"/>
  <c r="O383" i="1"/>
  <c r="O389" i="1"/>
  <c r="O391" i="1"/>
  <c r="O384" i="1"/>
  <c r="O387" i="1"/>
  <c r="O386" i="1"/>
  <c r="O378" i="1"/>
  <c r="O373" i="1"/>
  <c r="O372" i="1"/>
  <c r="O375" i="1"/>
  <c r="O376" i="1"/>
  <c r="O379" i="1"/>
  <c r="O380" i="1"/>
  <c r="O381" i="1"/>
  <c r="O377" i="1"/>
  <c r="O374" i="1"/>
  <c r="O371" i="1"/>
  <c r="O366" i="1"/>
  <c r="O370" i="1"/>
  <c r="O369" i="1"/>
  <c r="O368" i="1"/>
  <c r="O367" i="1"/>
  <c r="O361" i="1"/>
  <c r="O364" i="1"/>
  <c r="O360" i="1"/>
  <c r="O363" i="1"/>
  <c r="O359" i="1"/>
  <c r="O362" i="1"/>
  <c r="O365" i="1"/>
  <c r="O358" i="1"/>
  <c r="O356" i="1"/>
  <c r="O357" i="1"/>
  <c r="O355" i="1"/>
  <c r="AK64" i="3"/>
  <c r="AR66" i="3"/>
  <c r="BI63" i="3"/>
  <c r="BP65" i="3"/>
  <c r="AI65" i="3"/>
  <c r="AC23" i="3"/>
  <c r="AB23" i="3"/>
  <c r="AA24" i="3"/>
  <c r="AD23" i="3"/>
  <c r="AJ64" i="3"/>
  <c r="AQ66" i="3"/>
  <c r="BM65" i="3"/>
  <c r="AS66" i="3"/>
  <c r="AL64" i="3"/>
  <c r="G33" i="3"/>
  <c r="BH63" i="3"/>
  <c r="BO65" i="3"/>
  <c r="BG63" i="3"/>
  <c r="BN65" i="3"/>
  <c r="BF64" i="3"/>
  <c r="AZ22" i="3"/>
  <c r="BM66" i="3" s="1"/>
  <c r="AY22" i="3"/>
  <c r="AW23" i="3"/>
  <c r="AX22" i="3"/>
  <c r="O14" i="1"/>
  <c r="O8" i="1"/>
  <c r="O21" i="1"/>
  <c r="O307" i="1"/>
  <c r="O7" i="1"/>
  <c r="O74" i="1"/>
  <c r="O33" i="1"/>
  <c r="O65" i="1"/>
  <c r="O69" i="1"/>
  <c r="O127" i="1"/>
  <c r="O35" i="1"/>
  <c r="O96" i="1"/>
  <c r="O207" i="1"/>
  <c r="O261" i="1"/>
  <c r="O278" i="1"/>
  <c r="O152" i="1"/>
  <c r="O293" i="1"/>
  <c r="O142" i="1"/>
  <c r="O171" i="1"/>
  <c r="O253" i="1"/>
  <c r="BR136" i="1"/>
  <c r="BK57" i="1"/>
  <c r="O196" i="1"/>
  <c r="O241" i="1"/>
  <c r="O103" i="1"/>
  <c r="O242" i="1"/>
  <c r="O48" i="1"/>
  <c r="O328" i="1"/>
  <c r="O209" i="1"/>
  <c r="O204" i="1"/>
  <c r="O97" i="1"/>
  <c r="O312" i="1"/>
  <c r="O36" i="1"/>
  <c r="O41" i="1"/>
  <c r="O28" i="1"/>
  <c r="O254" i="1"/>
  <c r="O29" i="1"/>
  <c r="O118" i="1"/>
  <c r="O112" i="1"/>
  <c r="O129" i="1"/>
  <c r="O279" i="1"/>
  <c r="O283" i="1"/>
  <c r="O113" i="1"/>
  <c r="O143" i="1"/>
  <c r="BQ136" i="1"/>
  <c r="BJ57" i="1"/>
  <c r="O287" i="1"/>
  <c r="O299" i="1"/>
  <c r="O16" i="1"/>
  <c r="O273" i="1"/>
  <c r="O122" i="1"/>
  <c r="O37" i="1"/>
  <c r="O257" i="1"/>
  <c r="O330" i="1"/>
  <c r="O229" i="1"/>
  <c r="O124" i="1"/>
  <c r="O320" i="1"/>
  <c r="O27" i="1"/>
  <c r="O23" i="1"/>
  <c r="O228" i="1"/>
  <c r="O190" i="1"/>
  <c r="O11" i="1"/>
  <c r="O67" i="1"/>
  <c r="O211" i="1"/>
  <c r="O161" i="1"/>
  <c r="O157" i="1"/>
  <c r="O219" i="1"/>
  <c r="O25" i="1"/>
  <c r="O272" i="1"/>
  <c r="O346" i="1"/>
  <c r="O303" i="1"/>
  <c r="O128" i="1"/>
  <c r="O319" i="1"/>
  <c r="O119" i="1"/>
  <c r="O173" i="1"/>
  <c r="O132" i="1"/>
  <c r="O274" i="1"/>
  <c r="O189" i="1"/>
  <c r="O186" i="1"/>
  <c r="O260" i="1"/>
  <c r="O240" i="1"/>
  <c r="O296" i="1"/>
  <c r="O300" i="1"/>
  <c r="O66" i="1"/>
  <c r="O301" i="1"/>
  <c r="O227" i="1"/>
  <c r="O311" i="1"/>
  <c r="O266" i="1"/>
  <c r="O292" i="1"/>
  <c r="O193" i="1"/>
  <c r="O17" i="1"/>
  <c r="O59" i="1"/>
  <c r="O123" i="1"/>
  <c r="O159" i="1"/>
  <c r="O55" i="1"/>
  <c r="O339" i="1"/>
  <c r="O126" i="1"/>
  <c r="O10" i="1"/>
  <c r="O223" i="1"/>
  <c r="O38" i="1"/>
  <c r="O251" i="1"/>
  <c r="O156" i="1"/>
  <c r="O76" i="1"/>
  <c r="O316" i="1"/>
  <c r="O298" i="1"/>
  <c r="O199" i="1"/>
  <c r="O15" i="1"/>
  <c r="O191" i="1"/>
  <c r="O337" i="1"/>
  <c r="O347" i="1"/>
  <c r="O107" i="1"/>
  <c r="O81" i="1"/>
  <c r="O198" i="1"/>
  <c r="O40" i="1"/>
  <c r="O175" i="1"/>
  <c r="O72" i="1"/>
  <c r="O106" i="1"/>
  <c r="O341" i="1"/>
  <c r="O77" i="1"/>
  <c r="O295" i="1"/>
  <c r="O269" i="1"/>
  <c r="O100" i="1"/>
  <c r="O30" i="1"/>
  <c r="O114" i="1"/>
  <c r="O85" i="1"/>
  <c r="O259" i="1"/>
  <c r="O264" i="1"/>
  <c r="O268" i="1"/>
  <c r="O32" i="1"/>
  <c r="O105" i="1"/>
  <c r="O215" i="1"/>
  <c r="O338" i="1"/>
  <c r="O60" i="1"/>
  <c r="O166" i="1"/>
  <c r="O146" i="1"/>
  <c r="O195" i="1"/>
  <c r="O194" i="1"/>
  <c r="O334" i="1"/>
  <c r="O104" i="1"/>
  <c r="O224" i="1"/>
  <c r="O222" i="1"/>
  <c r="O170" i="1"/>
  <c r="O93" i="1"/>
  <c r="O57" i="1"/>
  <c r="O250" i="1"/>
  <c r="O44" i="1"/>
  <c r="O297" i="1"/>
  <c r="O151" i="1"/>
  <c r="O79" i="1"/>
  <c r="BL57" i="1"/>
  <c r="BS136" i="1"/>
  <c r="O277" i="1"/>
  <c r="O275" i="1"/>
  <c r="O140" i="1"/>
  <c r="O162" i="1"/>
  <c r="O354" i="1"/>
  <c r="O180" i="1"/>
  <c r="O232" i="1"/>
  <c r="O282" i="1"/>
  <c r="O26" i="1"/>
  <c r="O188" i="1"/>
  <c r="O182" i="1"/>
  <c r="O187" i="1"/>
  <c r="O255" i="1"/>
  <c r="O144" i="1"/>
  <c r="O265" i="1"/>
  <c r="O183" i="1"/>
  <c r="O47" i="1"/>
  <c r="O12" i="1"/>
  <c r="O340" i="1"/>
  <c r="O145" i="1"/>
  <c r="O237" i="1"/>
  <c r="O234" i="1"/>
  <c r="O214" i="1"/>
  <c r="O203" i="1"/>
  <c r="O167" i="1"/>
  <c r="O263" i="1"/>
  <c r="O212" i="1"/>
  <c r="O335" i="1"/>
  <c r="O217" i="1"/>
  <c r="O329" i="1"/>
  <c r="O323" i="1"/>
  <c r="O174" i="1"/>
  <c r="O133" i="1"/>
  <c r="O71" i="1"/>
  <c r="O34" i="1"/>
  <c r="O343" i="1"/>
  <c r="O197" i="1"/>
  <c r="O201" i="1"/>
  <c r="O342" i="1"/>
  <c r="O256" i="1"/>
  <c r="O310" i="1"/>
  <c r="O95" i="1"/>
  <c r="O352" i="1"/>
  <c r="O31" i="1"/>
  <c r="O294" i="1"/>
  <c r="O121" i="1"/>
  <c r="O49" i="1"/>
  <c r="O68" i="1"/>
  <c r="O39" i="1"/>
  <c r="O154" i="1"/>
  <c r="O325" i="1"/>
  <c r="O239" i="1"/>
  <c r="O284" i="1"/>
  <c r="O244" i="1"/>
  <c r="O90" i="1"/>
  <c r="O353" i="1"/>
  <c r="O281" i="1"/>
  <c r="O99" i="1"/>
  <c r="O92" i="1"/>
  <c r="O267" i="1"/>
  <c r="O213" i="1"/>
  <c r="O160" i="1"/>
  <c r="O349" i="1"/>
  <c r="O75" i="1"/>
  <c r="O43" i="1"/>
  <c r="O202" i="1"/>
  <c r="O270" i="1"/>
  <c r="O136" i="1"/>
  <c r="O169" i="1"/>
  <c r="O42" i="1"/>
  <c r="O226" i="1"/>
  <c r="O288" i="1"/>
  <c r="O344" i="1"/>
  <c r="O61" i="1"/>
  <c r="O116" i="1"/>
  <c r="O46" i="1"/>
  <c r="O84" i="1"/>
  <c r="AL57" i="1"/>
  <c r="AS59" i="1"/>
  <c r="O218" i="1"/>
  <c r="O248" i="1"/>
  <c r="O350" i="1"/>
  <c r="O280" i="1"/>
  <c r="O62" i="1"/>
  <c r="O210" i="1"/>
  <c r="O110" i="1"/>
  <c r="O231" i="1"/>
  <c r="O220" i="1"/>
  <c r="O56" i="1"/>
  <c r="O54" i="1"/>
  <c r="O18" i="1"/>
  <c r="O252" i="1"/>
  <c r="O134" i="1"/>
  <c r="O78" i="1"/>
  <c r="O138" i="1"/>
  <c r="O130" i="1"/>
  <c r="O86" i="1"/>
  <c r="O163" i="1"/>
  <c r="O216" i="1"/>
  <c r="O58" i="1"/>
  <c r="O89" i="1"/>
  <c r="O131" i="1"/>
  <c r="AK57" i="1"/>
  <c r="AR59" i="1"/>
  <c r="O245" i="1"/>
  <c r="O13" i="1"/>
  <c r="O184" i="1"/>
  <c r="O304" i="1"/>
  <c r="O314" i="1"/>
  <c r="O178" i="1"/>
  <c r="O321" i="1"/>
  <c r="O262" i="1"/>
  <c r="O64" i="1"/>
  <c r="O286" i="1"/>
  <c r="O141" i="1"/>
  <c r="O53" i="1"/>
  <c r="O246" i="1"/>
  <c r="O20" i="1"/>
  <c r="O24" i="1"/>
  <c r="O147" i="1"/>
  <c r="O185" i="1"/>
  <c r="O94" i="1"/>
  <c r="O80" i="1"/>
  <c r="O125" i="1"/>
  <c r="O158" i="1"/>
  <c r="AD16" i="1"/>
  <c r="AP60" i="1" s="1"/>
  <c r="AA17" i="1"/>
  <c r="AB16" i="1"/>
  <c r="AC16" i="1"/>
  <c r="AI58" i="1"/>
  <c r="O117" i="1"/>
  <c r="O327" i="1"/>
  <c r="O88" i="1"/>
  <c r="O83" i="1"/>
  <c r="O317" i="1"/>
  <c r="O235" i="1"/>
  <c r="O331" i="1"/>
  <c r="O332" i="1"/>
  <c r="O45" i="1"/>
  <c r="O63" i="1"/>
  <c r="O348" i="1"/>
  <c r="O208" i="1"/>
  <c r="O82" i="1"/>
  <c r="O149" i="1"/>
  <c r="O243" i="1"/>
  <c r="O276" i="1"/>
  <c r="O249" i="1"/>
  <c r="O148" i="1"/>
  <c r="O115" i="1"/>
  <c r="O313" i="1"/>
  <c r="O52" i="1"/>
  <c r="AQ59" i="1"/>
  <c r="AJ57" i="1"/>
  <c r="O120" i="1"/>
  <c r="O336" i="1"/>
  <c r="O225" i="1"/>
  <c r="O333" i="1"/>
  <c r="O308" i="1"/>
  <c r="O181" i="1"/>
  <c r="O322" i="1"/>
  <c r="O22" i="1"/>
  <c r="O271" i="1"/>
  <c r="O168" i="1"/>
  <c r="O305" i="1"/>
  <c r="O291" i="1"/>
  <c r="O177" i="1"/>
  <c r="O108" i="1"/>
  <c r="O155" i="1"/>
  <c r="O351" i="1"/>
  <c r="O258" i="1"/>
  <c r="O111" i="1"/>
  <c r="O176" i="1"/>
  <c r="O285" i="1"/>
  <c r="O221" i="1"/>
  <c r="O326" i="1"/>
  <c r="O230" i="1"/>
  <c r="O137" i="1"/>
  <c r="O98" i="1"/>
  <c r="O135" i="1"/>
  <c r="O164" i="1"/>
  <c r="O9" i="1"/>
  <c r="O139" i="1"/>
  <c r="O50" i="1"/>
  <c r="O315" i="1"/>
  <c r="BP136" i="1"/>
  <c r="O302" i="1"/>
  <c r="O345" i="1"/>
  <c r="O200" i="1"/>
  <c r="O238" i="1"/>
  <c r="O19" i="1"/>
  <c r="O247" i="1"/>
  <c r="O73" i="1"/>
  <c r="O289" i="1"/>
  <c r="O318" i="1"/>
  <c r="O101" i="1"/>
  <c r="O109" i="1"/>
  <c r="O51" i="1"/>
  <c r="O324" i="1"/>
  <c r="O150" i="1"/>
  <c r="O290" i="1"/>
  <c r="O233" i="1"/>
  <c r="O87" i="1"/>
  <c r="O205" i="1"/>
  <c r="O172" i="1"/>
  <c r="O179" i="1"/>
  <c r="H30" i="1"/>
  <c r="I30" i="1" s="1"/>
  <c r="O70" i="1"/>
  <c r="O91" i="1"/>
  <c r="AW17" i="1"/>
  <c r="AX16" i="1"/>
  <c r="AY16" i="1"/>
  <c r="AZ16" i="1"/>
  <c r="BP137" i="1" s="1"/>
  <c r="BI58" i="1"/>
  <c r="O102" i="1"/>
  <c r="O165" i="1"/>
  <c r="O236" i="1"/>
  <c r="O192" i="1"/>
  <c r="O153" i="1"/>
  <c r="O306" i="1"/>
  <c r="O206" i="1"/>
  <c r="O309" i="1"/>
  <c r="AS67" i="3" l="1"/>
  <c r="AL65" i="3"/>
  <c r="AI66" i="3"/>
  <c r="AD24" i="3"/>
  <c r="AP68" i="3" s="1"/>
  <c r="AA25" i="3"/>
  <c r="AC24" i="3"/>
  <c r="AB24" i="3"/>
  <c r="BH64" i="3"/>
  <c r="BO66" i="3"/>
  <c r="AP67" i="3"/>
  <c r="AY23" i="3"/>
  <c r="AX23" i="3"/>
  <c r="AW24" i="3"/>
  <c r="BF65" i="3"/>
  <c r="AZ23" i="3"/>
  <c r="BM67" i="3" s="1"/>
  <c r="AJ65" i="3"/>
  <c r="AQ67" i="3"/>
  <c r="BP66" i="3"/>
  <c r="BI64" i="3"/>
  <c r="AR67" i="3"/>
  <c r="AK65" i="3"/>
  <c r="H33" i="3"/>
  <c r="G34" i="3" s="1"/>
  <c r="BG64" i="3"/>
  <c r="BN66" i="3"/>
  <c r="EO44" i="1"/>
  <c r="EW86" i="1" s="1"/>
  <c r="EO5" i="1"/>
  <c r="EW47" i="1" s="1"/>
  <c r="EO40" i="1"/>
  <c r="EW82" i="1" s="1"/>
  <c r="EO25" i="1"/>
  <c r="EW67" i="1" s="1"/>
  <c r="EO7" i="1"/>
  <c r="EW49" i="1" s="1"/>
  <c r="EO45" i="1"/>
  <c r="EO27" i="1"/>
  <c r="EW69" i="1" s="1"/>
  <c r="EO8" i="1"/>
  <c r="EW50" i="1" s="1"/>
  <c r="EO24" i="1"/>
  <c r="EW66" i="1" s="1"/>
  <c r="EO16" i="1"/>
  <c r="EW58" i="1" s="1"/>
  <c r="EO49" i="1"/>
  <c r="EW91" i="1" s="1"/>
  <c r="EO11" i="1"/>
  <c r="EW53" i="1" s="1"/>
  <c r="EO28" i="1"/>
  <c r="EW70" i="1" s="1"/>
  <c r="EO47" i="1"/>
  <c r="EW89" i="1" s="1"/>
  <c r="EO9" i="1"/>
  <c r="EW51" i="1" s="1"/>
  <c r="EO17" i="1"/>
  <c r="EW59" i="1" s="1"/>
  <c r="BS137" i="1"/>
  <c r="BL58" i="1"/>
  <c r="EO13" i="1"/>
  <c r="EW55" i="1" s="1"/>
  <c r="EO18" i="1"/>
  <c r="EW60" i="1" s="1"/>
  <c r="BR137" i="1"/>
  <c r="BK58" i="1"/>
  <c r="EO54" i="1"/>
  <c r="EW96" i="1" s="1"/>
  <c r="EO55" i="1"/>
  <c r="EW97" i="1" s="1"/>
  <c r="BJ58" i="1"/>
  <c r="BQ137" i="1"/>
  <c r="EO22" i="1"/>
  <c r="EW64" i="1" s="1"/>
  <c r="EO52" i="1"/>
  <c r="EW94" i="1" s="1"/>
  <c r="AX17" i="1"/>
  <c r="AY17" i="1"/>
  <c r="AW18" i="1"/>
  <c r="AZ17" i="1"/>
  <c r="BS138" i="1" s="1"/>
  <c r="BI59" i="1"/>
  <c r="EO14" i="1"/>
  <c r="EW56" i="1" s="1"/>
  <c r="EO37" i="1"/>
  <c r="EW79" i="1" s="1"/>
  <c r="EO46" i="1"/>
  <c r="EW88" i="1" s="1"/>
  <c r="EO29" i="1"/>
  <c r="EW71" i="1" s="1"/>
  <c r="EO48" i="1"/>
  <c r="EW90" i="1" s="1"/>
  <c r="EO6" i="1"/>
  <c r="EW48" i="1" s="1"/>
  <c r="EO34" i="1"/>
  <c r="EW76" i="1" s="1"/>
  <c r="EO51" i="1"/>
  <c r="EW93" i="1" s="1"/>
  <c r="EO19" i="1"/>
  <c r="EW61" i="1" s="1"/>
  <c r="EO35" i="1"/>
  <c r="EW77" i="1" s="1"/>
  <c r="EO10" i="1"/>
  <c r="EW52" i="1" s="1"/>
  <c r="EO39" i="1"/>
  <c r="EW81" i="1" s="1"/>
  <c r="EO56" i="1"/>
  <c r="EW98" i="1" s="1"/>
  <c r="EO32" i="1"/>
  <c r="EW74" i="1" s="1"/>
  <c r="G31" i="1"/>
  <c r="AR60" i="1"/>
  <c r="AK58" i="1"/>
  <c r="EO53" i="1"/>
  <c r="EW95" i="1" s="1"/>
  <c r="EO23" i="1"/>
  <c r="EW65" i="1" s="1"/>
  <c r="EO12" i="1"/>
  <c r="EW54" i="1" s="1"/>
  <c r="EO41" i="1"/>
  <c r="EW83" i="1" s="1"/>
  <c r="EO15" i="1"/>
  <c r="EW57" i="1" s="1"/>
  <c r="EO36" i="1"/>
  <c r="EW78" i="1" s="1"/>
  <c r="EO33" i="1"/>
  <c r="EW75" i="1" s="1"/>
  <c r="AQ60" i="1"/>
  <c r="AJ58" i="1"/>
  <c r="EO42" i="1"/>
  <c r="EW84" i="1" s="1"/>
  <c r="EO50" i="1"/>
  <c r="EW92" i="1" s="1"/>
  <c r="EO26" i="1"/>
  <c r="EW68" i="1" s="1"/>
  <c r="EO38" i="1"/>
  <c r="EW80" i="1" s="1"/>
  <c r="AB17" i="1"/>
  <c r="AC17" i="1"/>
  <c r="AD17" i="1"/>
  <c r="AP61" i="1" s="1"/>
  <c r="AA18" i="1"/>
  <c r="AI59" i="1"/>
  <c r="EO21" i="1"/>
  <c r="EW63" i="1" s="1"/>
  <c r="EO30" i="1"/>
  <c r="EW72" i="1" s="1"/>
  <c r="EO43" i="1"/>
  <c r="EW85" i="1" s="1"/>
  <c r="EO31" i="1"/>
  <c r="EW73" i="1" s="1"/>
  <c r="AL58" i="1"/>
  <c r="AS60" i="1"/>
  <c r="EO20" i="1"/>
  <c r="EW62" i="1" s="1"/>
  <c r="BR138" i="1" l="1"/>
  <c r="BQ138" i="1"/>
  <c r="BP138" i="1"/>
  <c r="H34" i="3"/>
  <c r="I33" i="3"/>
  <c r="AQ68" i="3"/>
  <c r="AJ66" i="3"/>
  <c r="BO67" i="3"/>
  <c r="BH65" i="3"/>
  <c r="BG65" i="3"/>
  <c r="BN67" i="3"/>
  <c r="AI67" i="3"/>
  <c r="AA26" i="3"/>
  <c r="AB25" i="3"/>
  <c r="AD25" i="3"/>
  <c r="AP69" i="3" s="1"/>
  <c r="AC25" i="3"/>
  <c r="BP67" i="3"/>
  <c r="BI65" i="3"/>
  <c r="AS68" i="3"/>
  <c r="AL66" i="3"/>
  <c r="AR68" i="3"/>
  <c r="AK66" i="3"/>
  <c r="BF66" i="3"/>
  <c r="AW25" i="3"/>
  <c r="AZ24" i="3"/>
  <c r="AX24" i="3"/>
  <c r="AY24" i="3"/>
  <c r="AX18" i="1"/>
  <c r="AY18" i="1"/>
  <c r="AZ18" i="1"/>
  <c r="BP139" i="1" s="1"/>
  <c r="AW19" i="1"/>
  <c r="BI60" i="1"/>
  <c r="ER24" i="1"/>
  <c r="BK59" i="1"/>
  <c r="ER6" i="1"/>
  <c r="BJ59" i="1"/>
  <c r="ER11" i="1"/>
  <c r="ER5" i="1"/>
  <c r="ER39" i="1"/>
  <c r="ER34" i="1"/>
  <c r="ER35" i="1"/>
  <c r="ER37" i="1"/>
  <c r="ER38" i="1"/>
  <c r="ER36" i="1"/>
  <c r="ER33" i="1"/>
  <c r="EW87" i="1"/>
  <c r="ER16" i="1"/>
  <c r="ER15" i="1"/>
  <c r="ER23" i="1"/>
  <c r="AD18" i="1"/>
  <c r="AP62" i="1" s="1"/>
  <c r="AA19" i="1"/>
  <c r="AB18" i="1"/>
  <c r="AC18" i="1"/>
  <c r="AI60" i="1"/>
  <c r="ER7" i="1"/>
  <c r="ER10" i="1"/>
  <c r="AS61" i="1"/>
  <c r="AL59" i="1"/>
  <c r="ER30" i="1"/>
  <c r="ER28" i="1"/>
  <c r="AR61" i="1"/>
  <c r="AK59" i="1"/>
  <c r="ER22" i="1"/>
  <c r="ER14" i="1"/>
  <c r="AQ61" i="1"/>
  <c r="AJ59" i="1"/>
  <c r="ER17" i="1"/>
  <c r="ER12" i="1"/>
  <c r="ER26" i="1"/>
  <c r="ER9" i="1"/>
  <c r="ER29" i="1"/>
  <c r="ER21" i="1"/>
  <c r="ER27" i="1"/>
  <c r="ER8" i="1"/>
  <c r="H31" i="1"/>
  <c r="I31" i="1" s="1"/>
  <c r="ER25" i="1"/>
  <c r="ER13" i="1"/>
  <c r="BL59" i="1"/>
  <c r="AJ67" i="3" l="1"/>
  <c r="AQ69" i="3"/>
  <c r="AI68" i="3"/>
  <c r="AB26" i="3"/>
  <c r="AA27" i="3"/>
  <c r="AD26" i="3"/>
  <c r="AC26" i="3"/>
  <c r="AR69" i="3"/>
  <c r="AK67" i="3"/>
  <c r="BO68" i="3"/>
  <c r="BH66" i="3"/>
  <c r="BP68" i="3"/>
  <c r="BI66" i="3"/>
  <c r="AL67" i="3"/>
  <c r="AS69" i="3"/>
  <c r="BF67" i="3"/>
  <c r="AZ25" i="3"/>
  <c r="AY25" i="3"/>
  <c r="AX25" i="3"/>
  <c r="AW26" i="3"/>
  <c r="BM68" i="3"/>
  <c r="BN68" i="3"/>
  <c r="BG66" i="3"/>
  <c r="G35" i="3"/>
  <c r="I34" i="3"/>
  <c r="ER18" i="1"/>
  <c r="AK60" i="1"/>
  <c r="AR62" i="1"/>
  <c r="AJ60" i="1"/>
  <c r="AQ62" i="1"/>
  <c r="AB19" i="1"/>
  <c r="AD19" i="1"/>
  <c r="AP63" i="1" s="1"/>
  <c r="AA20" i="1"/>
  <c r="AC19" i="1"/>
  <c r="AI61" i="1"/>
  <c r="AS62" i="1"/>
  <c r="AL60" i="1"/>
  <c r="G32" i="1"/>
  <c r="AX19" i="1"/>
  <c r="AZ19" i="1"/>
  <c r="BP140" i="1" s="1"/>
  <c r="AW20" i="1"/>
  <c r="AY19" i="1"/>
  <c r="BI61" i="1"/>
  <c r="BL60" i="1"/>
  <c r="BS139" i="1"/>
  <c r="BR139" i="1"/>
  <c r="BK60" i="1"/>
  <c r="BJ60" i="1"/>
  <c r="BQ139" i="1"/>
  <c r="H35" i="3" l="1"/>
  <c r="M349" i="3" s="1" a="1"/>
  <c r="M349" i="3" s="1"/>
  <c r="M60" i="3" a="1"/>
  <c r="M60" i="3" s="1"/>
  <c r="M266" i="3" a="1"/>
  <c r="M266" i="3" s="1"/>
  <c r="M289" i="3" a="1"/>
  <c r="M289" i="3" s="1"/>
  <c r="M210" i="3" a="1"/>
  <c r="M210" i="3" s="1"/>
  <c r="M136" i="3" a="1"/>
  <c r="M136" i="3" s="1"/>
  <c r="M348" i="3" a="1"/>
  <c r="M348" i="3" s="1"/>
  <c r="M293" i="3" a="1"/>
  <c r="M293" i="3" s="1"/>
  <c r="M208" i="3" a="1"/>
  <c r="M208" i="3" s="1"/>
  <c r="M314" i="3" a="1"/>
  <c r="M314" i="3" s="1"/>
  <c r="M105" i="3" a="1"/>
  <c r="M105" i="3" s="1"/>
  <c r="M356" i="3" a="1"/>
  <c r="M356" i="3" s="1"/>
  <c r="M355" i="3" a="1"/>
  <c r="M355" i="3" s="1"/>
  <c r="M129" i="3" a="1"/>
  <c r="M129" i="3" s="1"/>
  <c r="M107" i="3" a="1"/>
  <c r="M107" i="3" s="1"/>
  <c r="M48" i="3" a="1"/>
  <c r="M48" i="3" s="1"/>
  <c r="M344" i="3" a="1"/>
  <c r="M344" i="3" s="1"/>
  <c r="M121" i="3" a="1"/>
  <c r="M121" i="3" s="1"/>
  <c r="M50" i="3" a="1"/>
  <c r="M50" i="3" s="1"/>
  <c r="M62" i="3" a="1"/>
  <c r="M62" i="3" s="1"/>
  <c r="M168" i="3" a="1"/>
  <c r="M168" i="3" s="1"/>
  <c r="M29" i="3" a="1"/>
  <c r="M29" i="3" s="1"/>
  <c r="M33" i="3" a="1"/>
  <c r="M33" i="3" s="1"/>
  <c r="M347" i="3" a="1"/>
  <c r="M347" i="3" s="1"/>
  <c r="M159" i="3" a="1"/>
  <c r="M159" i="3" s="1"/>
  <c r="M84" i="3" a="1"/>
  <c r="M84" i="3" s="1"/>
  <c r="M144" i="3" a="1"/>
  <c r="M144" i="3" s="1"/>
  <c r="M192" i="3" a="1"/>
  <c r="M192" i="3" s="1"/>
  <c r="M160" i="3" a="1"/>
  <c r="M160" i="3" s="1"/>
  <c r="M154" i="3" a="1"/>
  <c r="M154" i="3" s="1"/>
  <c r="M156" i="3" a="1"/>
  <c r="M156" i="3" s="1"/>
  <c r="M73" i="3" a="1"/>
  <c r="M73" i="3" s="1"/>
  <c r="M322" i="3" a="1"/>
  <c r="M322" i="3" s="1"/>
  <c r="M103" i="3" a="1"/>
  <c r="M103" i="3" s="1"/>
  <c r="M173" i="3" a="1"/>
  <c r="M173" i="3" s="1"/>
  <c r="M110" i="3" a="1"/>
  <c r="M110" i="3" s="1"/>
  <c r="M327" i="3" a="1"/>
  <c r="M327" i="3" s="1"/>
  <c r="M343" i="3" a="1"/>
  <c r="M343" i="3" s="1"/>
  <c r="M89" i="3" a="1"/>
  <c r="M89" i="3" s="1"/>
  <c r="M304" i="3" a="1"/>
  <c r="M304" i="3" s="1"/>
  <c r="M145" i="3" a="1"/>
  <c r="M145" i="3" s="1"/>
  <c r="M330" i="3" a="1"/>
  <c r="M330" i="3" s="1"/>
  <c r="M125" i="3" a="1"/>
  <c r="M125" i="3" s="1"/>
  <c r="M45" i="3" a="1"/>
  <c r="M45" i="3" s="1"/>
  <c r="M333" i="3" a="1"/>
  <c r="M333" i="3" s="1"/>
  <c r="M319" i="3" a="1"/>
  <c r="M319" i="3" s="1"/>
  <c r="M86" i="3" a="1"/>
  <c r="M86" i="3" s="1"/>
  <c r="M213" i="3" a="1"/>
  <c r="M213" i="3" s="1"/>
  <c r="M72" i="3" a="1"/>
  <c r="M72" i="3" s="1"/>
  <c r="M71" i="3" a="1"/>
  <c r="M71" i="3" s="1"/>
  <c r="M66" i="3" a="1"/>
  <c r="M66" i="3" s="1"/>
  <c r="M116" i="3" a="1"/>
  <c r="M116" i="3" s="1"/>
  <c r="M39" i="3" a="1"/>
  <c r="M39" i="3" s="1"/>
  <c r="M332" i="3" a="1"/>
  <c r="M332" i="3" s="1"/>
  <c r="M313" i="3" a="1"/>
  <c r="M313" i="3" s="1"/>
  <c r="M177" i="3" a="1"/>
  <c r="M177" i="3" s="1"/>
  <c r="M96" i="3" a="1"/>
  <c r="M96" i="3" s="1"/>
  <c r="M205" i="3" a="1"/>
  <c r="M205" i="3" s="1"/>
  <c r="M307" i="3" a="1"/>
  <c r="M307" i="3" s="1"/>
  <c r="M334" i="3" a="1"/>
  <c r="M334" i="3" s="1"/>
  <c r="M162" i="3" a="1"/>
  <c r="M162" i="3" s="1"/>
  <c r="M297" i="3" a="1"/>
  <c r="M297" i="3" s="1"/>
  <c r="M328" i="3" a="1"/>
  <c r="M328" i="3" s="1"/>
  <c r="M91" i="3" a="1"/>
  <c r="M91" i="3" s="1"/>
  <c r="M164" i="3" a="1"/>
  <c r="M164" i="3" s="1"/>
  <c r="M350" i="3" a="1"/>
  <c r="M350" i="3" s="1"/>
  <c r="M88" i="3" a="1"/>
  <c r="M88" i="3" s="1"/>
  <c r="M305" i="3" a="1"/>
  <c r="M305" i="3" s="1"/>
  <c r="M196" i="3" a="1"/>
  <c r="M196" i="3" s="1"/>
  <c r="M133" i="3" a="1"/>
  <c r="M133" i="3" s="1"/>
  <c r="M167" i="3" a="1"/>
  <c r="M167" i="3" s="1"/>
  <c r="M204" i="3" a="1"/>
  <c r="M204" i="3" s="1"/>
  <c r="M127" i="3" a="1"/>
  <c r="M127" i="3" s="1"/>
  <c r="M132" i="3" a="1"/>
  <c r="M132" i="3" s="1"/>
  <c r="M166" i="3" a="1"/>
  <c r="M166" i="3" s="1"/>
  <c r="M300" i="3" a="1"/>
  <c r="M300" i="3" s="1"/>
  <c r="M52" i="3" a="1"/>
  <c r="M52" i="3" s="1"/>
  <c r="M179" i="3" a="1"/>
  <c r="M179" i="3" s="1"/>
  <c r="M202" i="3" a="1"/>
  <c r="M202" i="3" s="1"/>
  <c r="M193" i="3" a="1"/>
  <c r="M193" i="3" s="1"/>
  <c r="M146" i="3" a="1"/>
  <c r="M146" i="3" s="1"/>
  <c r="M195" i="3" a="1"/>
  <c r="M195" i="3" s="1"/>
  <c r="M351" i="3" a="1"/>
  <c r="M351" i="3" s="1"/>
  <c r="M108" i="3" a="1"/>
  <c r="M108" i="3" s="1"/>
  <c r="M55" i="3" a="1"/>
  <c r="M55" i="3" s="1"/>
  <c r="M337" i="3" a="1"/>
  <c r="M337" i="3" s="1"/>
  <c r="M190" i="3" a="1"/>
  <c r="M190" i="3" s="1"/>
  <c r="M295" i="3" a="1"/>
  <c r="M295" i="3" s="1"/>
  <c r="M185" i="3" a="1"/>
  <c r="M185" i="3" s="1"/>
  <c r="M24" i="3" a="1"/>
  <c r="M24" i="3" s="1"/>
  <c r="M46" i="3" a="1"/>
  <c r="M46" i="3" s="1"/>
  <c r="M171" i="3" a="1"/>
  <c r="M171" i="3" s="1"/>
  <c r="M95" i="3" a="1"/>
  <c r="M95" i="3" s="1"/>
  <c r="M308" i="3" a="1"/>
  <c r="M308" i="3" s="1"/>
  <c r="M176" i="3" a="1"/>
  <c r="M176" i="3" s="1"/>
  <c r="M65" i="3" a="1"/>
  <c r="M65" i="3" s="1"/>
  <c r="M336" i="3" a="1"/>
  <c r="M336" i="3" s="1"/>
  <c r="M172" i="3" a="1"/>
  <c r="M172" i="3" s="1"/>
  <c r="M68" i="3" a="1"/>
  <c r="M68" i="3" s="1"/>
  <c r="M320" i="3" a="1"/>
  <c r="M320" i="3" s="1"/>
  <c r="M141" i="3" a="1"/>
  <c r="M141" i="3" s="1"/>
  <c r="M169" i="3" a="1"/>
  <c r="M169" i="3" s="1"/>
  <c r="M76" i="3" a="1"/>
  <c r="M76" i="3" s="1"/>
  <c r="M120" i="3" a="1"/>
  <c r="M120" i="3" s="1"/>
  <c r="M101" i="3" a="1"/>
  <c r="M101" i="3" s="1"/>
  <c r="M302" i="3" a="1"/>
  <c r="M302" i="3" s="1"/>
  <c r="M56" i="3" a="1"/>
  <c r="M56" i="3" s="1"/>
  <c r="M119" i="3" a="1"/>
  <c r="M119" i="3" s="1"/>
  <c r="M186" i="3" a="1"/>
  <c r="M186" i="3" s="1"/>
  <c r="M180" i="3" a="1"/>
  <c r="M180" i="3" s="1"/>
  <c r="M311" i="3" a="1"/>
  <c r="M311" i="3" s="1"/>
  <c r="M75" i="3" a="1"/>
  <c r="M75" i="3" s="1"/>
  <c r="M137" i="3" a="1"/>
  <c r="M137" i="3" s="1"/>
  <c r="M323" i="3" a="1"/>
  <c r="M323" i="3" s="1"/>
  <c r="M181" i="3" a="1"/>
  <c r="M181" i="3" s="1"/>
  <c r="M64" i="3" a="1"/>
  <c r="M64" i="3" s="1"/>
  <c r="M147" i="3" a="1"/>
  <c r="M147" i="3" s="1"/>
  <c r="M41" i="3" a="1"/>
  <c r="M41" i="3" s="1"/>
  <c r="M188" i="3" a="1"/>
  <c r="M188" i="3" s="1"/>
  <c r="M201" i="3" a="1"/>
  <c r="M201" i="3" s="1"/>
  <c r="M143" i="3" a="1"/>
  <c r="M143" i="3" s="1"/>
  <c r="M54" i="3" a="1"/>
  <c r="M54" i="3" s="1"/>
  <c r="M198" i="3" a="1"/>
  <c r="M198" i="3" s="1"/>
  <c r="M197" i="3" a="1"/>
  <c r="M197" i="3" s="1"/>
  <c r="M93" i="3" a="1"/>
  <c r="M93" i="3" s="1"/>
  <c r="M148" i="3" a="1"/>
  <c r="M148" i="3" s="1"/>
  <c r="M42" i="3" a="1"/>
  <c r="M42" i="3" s="1"/>
  <c r="M23" i="3" a="1"/>
  <c r="M23" i="3" s="1"/>
  <c r="M209" i="3" a="1"/>
  <c r="M209" i="3" s="1"/>
  <c r="M124" i="3" a="1"/>
  <c r="M124" i="3" s="1"/>
  <c r="M128" i="3" a="1"/>
  <c r="M128" i="3" s="1"/>
  <c r="M184" i="3" a="1"/>
  <c r="M184" i="3" s="1"/>
  <c r="M131" i="3" a="1"/>
  <c r="M131" i="3" s="1"/>
  <c r="M104" i="3" a="1"/>
  <c r="M104" i="3" s="1"/>
  <c r="M317" i="3" a="1"/>
  <c r="M317" i="3" s="1"/>
  <c r="M161" i="3" a="1"/>
  <c r="M161" i="3" s="1"/>
  <c r="M97" i="3" a="1"/>
  <c r="M97" i="3" s="1"/>
  <c r="M199" i="3" a="1"/>
  <c r="M199" i="3" s="1"/>
  <c r="M294" i="3" a="1"/>
  <c r="M294" i="3" s="1"/>
  <c r="M74" i="3" a="1"/>
  <c r="M74" i="3" s="1"/>
  <c r="M40" i="3" a="1"/>
  <c r="M40" i="3" s="1"/>
  <c r="M296" i="3" a="1"/>
  <c r="M296" i="3" s="1"/>
  <c r="M10" i="3" a="1"/>
  <c r="M10" i="3" s="1"/>
  <c r="M278" i="3" a="1"/>
  <c r="M278" i="3" s="1"/>
  <c r="M290" i="3" a="1"/>
  <c r="M290" i="3" s="1"/>
  <c r="M274" i="3" a="1"/>
  <c r="M274" i="3" s="1"/>
  <c r="M291" i="3" a="1"/>
  <c r="M291" i="3" s="1"/>
  <c r="M218" i="3" a="1"/>
  <c r="M218" i="3" s="1"/>
  <c r="M284" i="3" a="1"/>
  <c r="M284" i="3" s="1"/>
  <c r="M285" i="3" a="1"/>
  <c r="M285" i="3" s="1"/>
  <c r="M271" i="3" a="1"/>
  <c r="M271" i="3" s="1"/>
  <c r="M221" i="3" a="1"/>
  <c r="M221" i="3" s="1"/>
  <c r="M281" i="3" a="1"/>
  <c r="M281" i="3" s="1"/>
  <c r="M263" i="3" a="1"/>
  <c r="M263" i="3" s="1"/>
  <c r="M261" i="3" a="1"/>
  <c r="M261" i="3" s="1"/>
  <c r="M276" i="3" a="1"/>
  <c r="M276" i="3" s="1"/>
  <c r="M286" i="3" a="1"/>
  <c r="M286" i="3" s="1"/>
  <c r="M283" i="3" a="1"/>
  <c r="M283" i="3" s="1"/>
  <c r="M275" i="3" a="1"/>
  <c r="M275" i="3" s="1"/>
  <c r="M267" i="3" a="1"/>
  <c r="M267" i="3" s="1"/>
  <c r="M280" i="3" a="1"/>
  <c r="M280" i="3" s="1"/>
  <c r="M273" i="3" a="1"/>
  <c r="M273" i="3" s="1"/>
  <c r="M220" i="3" a="1"/>
  <c r="M220" i="3" s="1"/>
  <c r="M257" i="3" a="1"/>
  <c r="M257" i="3" s="1"/>
  <c r="M282" i="3" a="1"/>
  <c r="M282" i="3" s="1"/>
  <c r="M288" i="3" a="1"/>
  <c r="M288" i="3" s="1"/>
  <c r="M229" i="3" a="1"/>
  <c r="M229" i="3" s="1"/>
  <c r="M228" i="3" a="1"/>
  <c r="M228" i="3" s="1"/>
  <c r="M272" i="3" a="1"/>
  <c r="M272" i="3" s="1"/>
  <c r="M269" i="3" a="1"/>
  <c r="M269" i="3" s="1"/>
  <c r="M287" i="3" a="1"/>
  <c r="M287" i="3" s="1"/>
  <c r="M277" i="3" a="1"/>
  <c r="M277" i="3" s="1"/>
  <c r="M268" i="3" a="1"/>
  <c r="M268" i="3" s="1"/>
  <c r="M225" i="3" a="1"/>
  <c r="M225" i="3" s="1"/>
  <c r="M223" i="3" a="1"/>
  <c r="M223" i="3" s="1"/>
  <c r="M216" i="3" a="1"/>
  <c r="M216" i="3" s="1"/>
  <c r="M236" i="3" a="1"/>
  <c r="M236" i="3" s="1"/>
  <c r="M232" i="3" a="1"/>
  <c r="M232" i="3" s="1"/>
  <c r="AI69" i="3"/>
  <c r="AD27" i="3"/>
  <c r="AP71" i="3" s="1"/>
  <c r="AC27" i="3"/>
  <c r="AB27" i="3"/>
  <c r="AA28" i="3"/>
  <c r="BN69" i="3"/>
  <c r="BG67" i="3"/>
  <c r="AS70" i="3"/>
  <c r="AL68" i="3"/>
  <c r="BP69" i="3"/>
  <c r="BI67" i="3"/>
  <c r="AK68" i="3"/>
  <c r="AR70" i="3"/>
  <c r="AJ68" i="3"/>
  <c r="AQ70" i="3"/>
  <c r="BF68" i="3"/>
  <c r="AW27" i="3"/>
  <c r="AX26" i="3"/>
  <c r="AZ26" i="3"/>
  <c r="BM70" i="3" s="1"/>
  <c r="AY26" i="3"/>
  <c r="BO69" i="3"/>
  <c r="BH67" i="3"/>
  <c r="AP70" i="3"/>
  <c r="BM69" i="3"/>
  <c r="H32" i="1"/>
  <c r="I32" i="1" s="1"/>
  <c r="AR63" i="1"/>
  <c r="AK61" i="1"/>
  <c r="AD20" i="1"/>
  <c r="AA21" i="1"/>
  <c r="AB20" i="1"/>
  <c r="AC20" i="1"/>
  <c r="AI62" i="1"/>
  <c r="BR140" i="1"/>
  <c r="BK61" i="1"/>
  <c r="AS63" i="1"/>
  <c r="AL61" i="1"/>
  <c r="AW21" i="1"/>
  <c r="AX20" i="1"/>
  <c r="AY20" i="1"/>
  <c r="AZ20" i="1"/>
  <c r="BP141" i="1" s="1"/>
  <c r="BI62" i="1"/>
  <c r="AQ63" i="1"/>
  <c r="AJ61" i="1"/>
  <c r="BS140" i="1"/>
  <c r="BL61" i="1"/>
  <c r="BQ140" i="1"/>
  <c r="BJ61" i="1"/>
  <c r="M301" i="3" l="1" a="1"/>
  <c r="M301" i="3" s="1"/>
  <c r="M353" i="3" a="1"/>
  <c r="M353" i="3" s="1"/>
  <c r="AK69" i="3"/>
  <c r="AR71" i="3"/>
  <c r="BF69" i="3"/>
  <c r="AW28" i="3"/>
  <c r="AZ27" i="3"/>
  <c r="AY27" i="3"/>
  <c r="AX27" i="3"/>
  <c r="AI70" i="3"/>
  <c r="AD28" i="3"/>
  <c r="AP72" i="3" s="1"/>
  <c r="AA29" i="3"/>
  <c r="AB28" i="3"/>
  <c r="AC28" i="3"/>
  <c r="BP70" i="3"/>
  <c r="BI68" i="3"/>
  <c r="BH68" i="3"/>
  <c r="BO70" i="3"/>
  <c r="M150" i="3" a="1"/>
  <c r="M150" i="3" s="1"/>
  <c r="AQ71" i="3"/>
  <c r="AJ69" i="3"/>
  <c r="BG68" i="3"/>
  <c r="BN70" i="3"/>
  <c r="M61" i="3" a="1"/>
  <c r="M61" i="3" s="1"/>
  <c r="M17" i="3" a="1"/>
  <c r="M17" i="3" s="1"/>
  <c r="M170" i="3" a="1"/>
  <c r="M170" i="3" s="1"/>
  <c r="M174" i="3" a="1"/>
  <c r="M174" i="3" s="1"/>
  <c r="M80" i="3" a="1"/>
  <c r="M80" i="3" s="1"/>
  <c r="M85" i="3" a="1"/>
  <c r="M85" i="3" s="1"/>
  <c r="M163" i="3" a="1"/>
  <c r="M163" i="3" s="1"/>
  <c r="M122" i="3" a="1"/>
  <c r="M122" i="3" s="1"/>
  <c r="M200" i="3" a="1"/>
  <c r="M200" i="3" s="1"/>
  <c r="M27" i="3" a="1"/>
  <c r="M27" i="3" s="1"/>
  <c r="M57" i="3" a="1"/>
  <c r="M57" i="3" s="1"/>
  <c r="M354" i="3" a="1"/>
  <c r="M354" i="3" s="1"/>
  <c r="M157" i="3" a="1"/>
  <c r="M157" i="3" s="1"/>
  <c r="M207" i="3" a="1"/>
  <c r="M207" i="3" s="1"/>
  <c r="M191" i="3" a="1"/>
  <c r="M191" i="3" s="1"/>
  <c r="M312" i="3" a="1"/>
  <c r="M312" i="3" s="1"/>
  <c r="M49" i="3" a="1"/>
  <c r="M49" i="3" s="1"/>
  <c r="M134" i="3" a="1"/>
  <c r="M134" i="3" s="1"/>
  <c r="M115" i="3" a="1"/>
  <c r="M115" i="3" s="1"/>
  <c r="M70" i="3" a="1"/>
  <c r="M70" i="3" s="1"/>
  <c r="M79" i="3" a="1"/>
  <c r="M79" i="3" s="1"/>
  <c r="M106" i="3" a="1"/>
  <c r="M106" i="3" s="1"/>
  <c r="M292" i="3" a="1"/>
  <c r="M292" i="3" s="1"/>
  <c r="M342" i="3" a="1"/>
  <c r="M342" i="3" s="1"/>
  <c r="M357" i="3" a="1"/>
  <c r="M357" i="3" s="1"/>
  <c r="M306" i="3" a="1"/>
  <c r="M306" i="3" s="1"/>
  <c r="M321" i="3" a="1"/>
  <c r="M321" i="3" s="1"/>
  <c r="M326" i="3" a="1"/>
  <c r="M326" i="3" s="1"/>
  <c r="M135" i="3" a="1"/>
  <c r="M135" i="3" s="1"/>
  <c r="M9" i="3" a="1"/>
  <c r="M9" i="3" s="1"/>
  <c r="M83" i="3" a="1"/>
  <c r="M83" i="3" s="1"/>
  <c r="M153" i="3" a="1"/>
  <c r="M153" i="3" s="1"/>
  <c r="M309" i="3" a="1"/>
  <c r="M309" i="3" s="1"/>
  <c r="M331" i="3" a="1"/>
  <c r="M331" i="3" s="1"/>
  <c r="M178" i="3" a="1"/>
  <c r="M178" i="3" s="1"/>
  <c r="M352" i="3" a="1"/>
  <c r="M352" i="3" s="1"/>
  <c r="M329" i="3" a="1"/>
  <c r="M329" i="3" s="1"/>
  <c r="M53" i="3" a="1"/>
  <c r="M53" i="3" s="1"/>
  <c r="M211" i="3" a="1"/>
  <c r="M211" i="3" s="1"/>
  <c r="M114" i="3" a="1"/>
  <c r="M114" i="3" s="1"/>
  <c r="M126" i="3" a="1"/>
  <c r="M126" i="3" s="1"/>
  <c r="M77" i="3" a="1"/>
  <c r="M77" i="3" s="1"/>
  <c r="M102" i="3" a="1"/>
  <c r="M102" i="3" s="1"/>
  <c r="M58" i="3" a="1"/>
  <c r="M58" i="3" s="1"/>
  <c r="M310" i="3" a="1"/>
  <c r="M310" i="3" s="1"/>
  <c r="M203" i="3" a="1"/>
  <c r="M203" i="3" s="1"/>
  <c r="M92" i="3" a="1"/>
  <c r="M92" i="3" s="1"/>
  <c r="M98" i="3" a="1"/>
  <c r="M98" i="3" s="1"/>
  <c r="M175" i="3" a="1"/>
  <c r="M175" i="3" s="1"/>
  <c r="M138" i="3" a="1"/>
  <c r="M138" i="3" s="1"/>
  <c r="M316" i="3" a="1"/>
  <c r="M316" i="3" s="1"/>
  <c r="M339" i="3" a="1"/>
  <c r="M339" i="3" s="1"/>
  <c r="M82" i="3" a="1"/>
  <c r="M82" i="3" s="1"/>
  <c r="M140" i="3" a="1"/>
  <c r="M140" i="3" s="1"/>
  <c r="M51" i="3" a="1"/>
  <c r="M51" i="3" s="1"/>
  <c r="M155" i="3" a="1"/>
  <c r="M155" i="3" s="1"/>
  <c r="M335" i="3" a="1"/>
  <c r="M335" i="3" s="1"/>
  <c r="M158" i="3" a="1"/>
  <c r="M158" i="3" s="1"/>
  <c r="M149" i="3" a="1"/>
  <c r="M149" i="3" s="1"/>
  <c r="M187" i="3" a="1"/>
  <c r="M187" i="3" s="1"/>
  <c r="M130" i="3" a="1"/>
  <c r="M130" i="3" s="1"/>
  <c r="M118" i="3" a="1"/>
  <c r="M118" i="3" s="1"/>
  <c r="M338" i="3" a="1"/>
  <c r="M338" i="3" s="1"/>
  <c r="M324" i="3" a="1"/>
  <c r="M324" i="3" s="1"/>
  <c r="M59" i="3" a="1"/>
  <c r="M59" i="3" s="1"/>
  <c r="M139" i="3" a="1"/>
  <c r="M139" i="3" s="1"/>
  <c r="M81" i="3" a="1"/>
  <c r="M81" i="3" s="1"/>
  <c r="M340" i="3" a="1"/>
  <c r="M340" i="3" s="1"/>
  <c r="M28" i="3" a="1"/>
  <c r="M28" i="3" s="1"/>
  <c r="M346" i="3" a="1"/>
  <c r="M346" i="3" s="1"/>
  <c r="M151" i="3" a="1"/>
  <c r="M151" i="3" s="1"/>
  <c r="M112" i="3" a="1"/>
  <c r="M112" i="3" s="1"/>
  <c r="M123" i="3" a="1"/>
  <c r="M123" i="3" s="1"/>
  <c r="M189" i="3" a="1"/>
  <c r="M189" i="3" s="1"/>
  <c r="M25" i="3" a="1"/>
  <c r="M25" i="3" s="1"/>
  <c r="M90" i="3" a="1"/>
  <c r="M90" i="3" s="1"/>
  <c r="M113" i="3" a="1"/>
  <c r="M113" i="3" s="1"/>
  <c r="M117" i="3" a="1"/>
  <c r="M117" i="3" s="1"/>
  <c r="M315" i="3" a="1"/>
  <c r="M315" i="3" s="1"/>
  <c r="M36" i="3" a="1"/>
  <c r="M36" i="3" s="1"/>
  <c r="M69" i="3" a="1"/>
  <c r="M69" i="3" s="1"/>
  <c r="M303" i="3" a="1"/>
  <c r="M303" i="3" s="1"/>
  <c r="M109" i="3" a="1"/>
  <c r="M109" i="3" s="1"/>
  <c r="M341" i="3" a="1"/>
  <c r="M341" i="3" s="1"/>
  <c r="M206" i="3" a="1"/>
  <c r="M206" i="3" s="1"/>
  <c r="M299" i="3" a="1"/>
  <c r="M299" i="3" s="1"/>
  <c r="M165" i="3" a="1"/>
  <c r="M165" i="3" s="1"/>
  <c r="M182" i="3" a="1"/>
  <c r="M182" i="3" s="1"/>
  <c r="M212" i="3" a="1"/>
  <c r="M212" i="3" s="1"/>
  <c r="M345" i="3" a="1"/>
  <c r="M345" i="3" s="1"/>
  <c r="M142" i="3" a="1"/>
  <c r="M142" i="3" s="1"/>
  <c r="M194" i="3" a="1"/>
  <c r="M194" i="3" s="1"/>
  <c r="M318" i="3" a="1"/>
  <c r="M318" i="3" s="1"/>
  <c r="M183" i="3" a="1"/>
  <c r="M183" i="3" s="1"/>
  <c r="M325" i="3" a="1"/>
  <c r="M325" i="3" s="1"/>
  <c r="M22" i="3" a="1"/>
  <c r="M22" i="3" s="1"/>
  <c r="M37" i="3" a="1"/>
  <c r="M37" i="3" s="1"/>
  <c r="M35" i="3" a="1"/>
  <c r="M35" i="3" s="1"/>
  <c r="M16" i="3" a="1"/>
  <c r="M16" i="3" s="1"/>
  <c r="M30" i="3" a="1"/>
  <c r="M30" i="3" s="1"/>
  <c r="M99" i="3" a="1"/>
  <c r="M99" i="3" s="1"/>
  <c r="M63" i="3" a="1"/>
  <c r="M63" i="3" s="1"/>
  <c r="M111" i="3" a="1"/>
  <c r="M111" i="3" s="1"/>
  <c r="M100" i="3" a="1"/>
  <c r="M100" i="3" s="1"/>
  <c r="M47" i="3" a="1"/>
  <c r="M47" i="3" s="1"/>
  <c r="M32" i="3" a="1"/>
  <c r="M32" i="3" s="1"/>
  <c r="M87" i="3" a="1"/>
  <c r="M87" i="3" s="1"/>
  <c r="M20" i="3" a="1"/>
  <c r="M20" i="3" s="1"/>
  <c r="M5" i="3" a="1"/>
  <c r="M5" i="3" s="1"/>
  <c r="M14" i="3" a="1"/>
  <c r="M14" i="3" s="1"/>
  <c r="M44" i="3" a="1"/>
  <c r="M44" i="3" s="1"/>
  <c r="M12" i="3" a="1"/>
  <c r="M12" i="3" s="1"/>
  <c r="M78" i="3" a="1"/>
  <c r="M78" i="3" s="1"/>
  <c r="M67" i="3" a="1"/>
  <c r="M67" i="3" s="1"/>
  <c r="M6" i="3" a="1"/>
  <c r="M6" i="3" s="1"/>
  <c r="M19" i="3" a="1"/>
  <c r="M19" i="3" s="1"/>
  <c r="M15" i="3" a="1"/>
  <c r="M15" i="3" s="1"/>
  <c r="M94" i="3" a="1"/>
  <c r="M94" i="3" s="1"/>
  <c r="M13" i="3" a="1"/>
  <c r="M13" i="3" s="1"/>
  <c r="M34" i="3" a="1"/>
  <c r="M34" i="3" s="1"/>
  <c r="M21" i="3" a="1"/>
  <c r="M21" i="3" s="1"/>
  <c r="M18" i="3" a="1"/>
  <c r="M18" i="3" s="1"/>
  <c r="M43" i="3" a="1"/>
  <c r="M43" i="3" s="1"/>
  <c r="M31" i="3" a="1"/>
  <c r="M31" i="3" s="1"/>
  <c r="M26" i="3" a="1"/>
  <c r="M26" i="3" s="1"/>
  <c r="M152" i="3" a="1"/>
  <c r="M152" i="3" s="1"/>
  <c r="M7" i="3" a="1"/>
  <c r="M7" i="3" s="1"/>
  <c r="M8" i="3" a="1"/>
  <c r="M8" i="3" s="1"/>
  <c r="M38" i="3" a="1"/>
  <c r="M38" i="3" s="1"/>
  <c r="M11" i="3" a="1"/>
  <c r="M11" i="3" s="1"/>
  <c r="M224" i="3" a="1"/>
  <c r="M224" i="3" s="1"/>
  <c r="M217" i="3" a="1"/>
  <c r="M217" i="3" s="1"/>
  <c r="M233" i="3" a="1"/>
  <c r="M233" i="3" s="1"/>
  <c r="M250" i="3" a="1"/>
  <c r="M250" i="3" s="1"/>
  <c r="M234" i="3" a="1"/>
  <c r="M234" i="3" s="1"/>
  <c r="M226" i="3" a="1"/>
  <c r="M226" i="3" s="1"/>
  <c r="M254" i="3" a="1"/>
  <c r="M254" i="3" s="1"/>
  <c r="M214" i="3" a="1"/>
  <c r="M214" i="3" s="1"/>
  <c r="M237" i="3" a="1"/>
  <c r="M237" i="3" s="1"/>
  <c r="M258" i="3" a="1"/>
  <c r="M258" i="3" s="1"/>
  <c r="M249" i="3" a="1"/>
  <c r="M249" i="3" s="1"/>
  <c r="M240" i="3" a="1"/>
  <c r="M240" i="3" s="1"/>
  <c r="M265" i="3" a="1"/>
  <c r="M265" i="3" s="1"/>
  <c r="M253" i="3" a="1"/>
  <c r="M253" i="3" s="1"/>
  <c r="M243" i="3" a="1"/>
  <c r="M243" i="3" s="1"/>
  <c r="M256" i="3" a="1"/>
  <c r="M256" i="3" s="1"/>
  <c r="M260" i="3" a="1"/>
  <c r="M260" i="3" s="1"/>
  <c r="M241" i="3" a="1"/>
  <c r="M241" i="3" s="1"/>
  <c r="M247" i="3" a="1"/>
  <c r="M247" i="3" s="1"/>
  <c r="M252" i="3" a="1"/>
  <c r="M252" i="3" s="1"/>
  <c r="M235" i="3" a="1"/>
  <c r="M235" i="3" s="1"/>
  <c r="M215" i="3" a="1"/>
  <c r="M215" i="3" s="1"/>
  <c r="M239" i="3" a="1"/>
  <c r="M239" i="3" s="1"/>
  <c r="M227" i="3" a="1"/>
  <c r="M227" i="3" s="1"/>
  <c r="M230" i="3" a="1"/>
  <c r="M230" i="3" s="1"/>
  <c r="M259" i="3" a="1"/>
  <c r="M259" i="3" s="1"/>
  <c r="M255" i="3" a="1"/>
  <c r="M255" i="3" s="1"/>
  <c r="M219" i="3" a="1"/>
  <c r="M219" i="3" s="1"/>
  <c r="M242" i="3" a="1"/>
  <c r="M242" i="3" s="1"/>
  <c r="M231" i="3" a="1"/>
  <c r="M231" i="3" s="1"/>
  <c r="M222" i="3" a="1"/>
  <c r="M222" i="3" s="1"/>
  <c r="M245" i="3" a="1"/>
  <c r="M245" i="3" s="1"/>
  <c r="M238" i="3" a="1"/>
  <c r="M238" i="3" s="1"/>
  <c r="M270" i="3" a="1"/>
  <c r="M270" i="3" s="1"/>
  <c r="M248" i="3" a="1"/>
  <c r="M248" i="3" s="1"/>
  <c r="M251" i="3" a="1"/>
  <c r="M251" i="3" s="1"/>
  <c r="M298" i="3" a="1"/>
  <c r="M298" i="3" s="1"/>
  <c r="M244" i="3" a="1"/>
  <c r="M244" i="3" s="1"/>
  <c r="M264" i="3" a="1"/>
  <c r="M264" i="3" s="1"/>
  <c r="M246" i="3" a="1"/>
  <c r="M246" i="3" s="1"/>
  <c r="M262" i="3" a="1"/>
  <c r="M262" i="3" s="1"/>
  <c r="AL69" i="3"/>
  <c r="AS71" i="3"/>
  <c r="M279" i="3" a="1"/>
  <c r="M279" i="3" s="1"/>
  <c r="I35" i="3"/>
  <c r="AS64" i="1"/>
  <c r="AL62" i="1"/>
  <c r="BS141" i="1"/>
  <c r="BL62" i="1"/>
  <c r="BR141" i="1"/>
  <c r="BK62" i="1"/>
  <c r="BQ141" i="1"/>
  <c r="BJ62" i="1"/>
  <c r="AX21" i="1"/>
  <c r="AW22" i="1"/>
  <c r="AY21" i="1"/>
  <c r="AZ21" i="1"/>
  <c r="BP142" i="1" s="1"/>
  <c r="BI63" i="1"/>
  <c r="AP64" i="1"/>
  <c r="AK62" i="1"/>
  <c r="AR64" i="1"/>
  <c r="AQ64" i="1"/>
  <c r="AJ62" i="1"/>
  <c r="AB21" i="1"/>
  <c r="AA22" i="1"/>
  <c r="AC21" i="1"/>
  <c r="AD21" i="1"/>
  <c r="AP65" i="1" s="1"/>
  <c r="AI63" i="1"/>
  <c r="G33" i="1"/>
  <c r="AS72" i="3" l="1"/>
  <c r="AL70" i="3"/>
  <c r="BF70" i="3"/>
  <c r="AZ28" i="3"/>
  <c r="BM72" i="3" s="1"/>
  <c r="AY28" i="3"/>
  <c r="AX28" i="3"/>
  <c r="AW29" i="3"/>
  <c r="AR72" i="3"/>
  <c r="AK70" i="3"/>
  <c r="AJ70" i="3"/>
  <c r="AQ72" i="3"/>
  <c r="AC29" i="3"/>
  <c r="AD29" i="3"/>
  <c r="AB29" i="3"/>
  <c r="AI71" i="3"/>
  <c r="AA30" i="3"/>
  <c r="BN71" i="3"/>
  <c r="BG69" i="3"/>
  <c r="BO71" i="3"/>
  <c r="BH69" i="3"/>
  <c r="BI69" i="3"/>
  <c r="BP71" i="3"/>
  <c r="BM71" i="3"/>
  <c r="BL63" i="1"/>
  <c r="BS142" i="1"/>
  <c r="BK63" i="1"/>
  <c r="BR142" i="1"/>
  <c r="H33" i="1"/>
  <c r="I33" i="1" s="1"/>
  <c r="AX22" i="1"/>
  <c r="AY22" i="1"/>
  <c r="AZ22" i="1"/>
  <c r="BP143" i="1" s="1"/>
  <c r="AW23" i="1"/>
  <c r="BI64" i="1"/>
  <c r="BQ142" i="1"/>
  <c r="BJ63" i="1"/>
  <c r="AS65" i="1"/>
  <c r="AL63" i="1"/>
  <c r="AK63" i="1"/>
  <c r="AR65" i="1"/>
  <c r="AB22" i="1"/>
  <c r="AC22" i="1"/>
  <c r="AA23" i="1"/>
  <c r="AD22" i="1"/>
  <c r="AP66" i="1" s="1"/>
  <c r="AI64" i="1"/>
  <c r="AQ65" i="1"/>
  <c r="AJ63" i="1"/>
  <c r="AK71" i="3" l="1"/>
  <c r="AR73" i="3"/>
  <c r="AL71" i="3"/>
  <c r="AS73" i="3"/>
  <c r="BG70" i="3"/>
  <c r="BN72" i="3"/>
  <c r="AP73" i="3"/>
  <c r="BP72" i="3"/>
  <c r="BI70" i="3"/>
  <c r="BF71" i="3"/>
  <c r="AZ29" i="3"/>
  <c r="AY29" i="3"/>
  <c r="AX29" i="3"/>
  <c r="AW30" i="3"/>
  <c r="AI72" i="3"/>
  <c r="AA31" i="3"/>
  <c r="AB30" i="3"/>
  <c r="AC30" i="3"/>
  <c r="AD30" i="3"/>
  <c r="AJ71" i="3"/>
  <c r="AQ73" i="3"/>
  <c r="BH70" i="3"/>
  <c r="BO72" i="3"/>
  <c r="AX23" i="1"/>
  <c r="AY23" i="1"/>
  <c r="AZ23" i="1"/>
  <c r="BP144" i="1" s="1"/>
  <c r="AW24" i="1"/>
  <c r="BI65" i="1"/>
  <c r="BS143" i="1"/>
  <c r="BL64" i="1"/>
  <c r="BR143" i="1"/>
  <c r="BK64" i="1"/>
  <c r="BJ64" i="1"/>
  <c r="BQ143" i="1"/>
  <c r="G34" i="1"/>
  <c r="AS66" i="1"/>
  <c r="AL64" i="1"/>
  <c r="AA24" i="1"/>
  <c r="AB23" i="1"/>
  <c r="AC23" i="1"/>
  <c r="AD23" i="1"/>
  <c r="AP67" i="1" s="1"/>
  <c r="AI65" i="1"/>
  <c r="AK64" i="1"/>
  <c r="AR66" i="1"/>
  <c r="AJ64" i="1"/>
  <c r="AQ66" i="1"/>
  <c r="BI71" i="3" l="1"/>
  <c r="BP73" i="3"/>
  <c r="BM73" i="3"/>
  <c r="BN73" i="3"/>
  <c r="BG71" i="3"/>
  <c r="AS74" i="3"/>
  <c r="AL72" i="3"/>
  <c r="BF72" i="3"/>
  <c r="AZ30" i="3"/>
  <c r="AY30" i="3"/>
  <c r="AX30" i="3"/>
  <c r="AW31" i="3"/>
  <c r="AQ74" i="3"/>
  <c r="AJ72" i="3"/>
  <c r="AP74" i="3"/>
  <c r="AK72" i="3"/>
  <c r="AR74" i="3"/>
  <c r="BO73" i="3"/>
  <c r="BH71" i="3"/>
  <c r="AI73" i="3"/>
  <c r="AC31" i="3"/>
  <c r="AB31" i="3"/>
  <c r="AD31" i="3"/>
  <c r="AP75" i="3" s="1"/>
  <c r="AA32" i="3"/>
  <c r="H34" i="1"/>
  <c r="G35" i="1" s="1"/>
  <c r="AL65" i="1"/>
  <c r="AS67" i="1"/>
  <c r="AK65" i="1"/>
  <c r="AR67" i="1"/>
  <c r="AY24" i="1"/>
  <c r="AW25" i="1"/>
  <c r="AX24" i="1"/>
  <c r="AZ24" i="1"/>
  <c r="BP145" i="1" s="1"/>
  <c r="BI66" i="1"/>
  <c r="AJ65" i="1"/>
  <c r="AQ67" i="1"/>
  <c r="BL65" i="1"/>
  <c r="BS144" i="1"/>
  <c r="AD24" i="1"/>
  <c r="AP68" i="1" s="1"/>
  <c r="AB24" i="1"/>
  <c r="AC24" i="1"/>
  <c r="AA25" i="1"/>
  <c r="AI66" i="1"/>
  <c r="BR144" i="1"/>
  <c r="BK65" i="1"/>
  <c r="BQ144" i="1"/>
  <c r="BJ65" i="1"/>
  <c r="BO74" i="3" l="1"/>
  <c r="BH72" i="3"/>
  <c r="AB32" i="3"/>
  <c r="AA33" i="3"/>
  <c r="AC32" i="3"/>
  <c r="AD32" i="3"/>
  <c r="AS76" i="3" s="1"/>
  <c r="BF73" i="3"/>
  <c r="AW32" i="3"/>
  <c r="AY31" i="3"/>
  <c r="AZ31" i="3"/>
  <c r="AX31" i="3"/>
  <c r="AK73" i="3"/>
  <c r="AR75" i="3"/>
  <c r="AJ73" i="3"/>
  <c r="AQ75" i="3"/>
  <c r="AL73" i="3"/>
  <c r="AS75" i="3"/>
  <c r="BN74" i="3"/>
  <c r="BG72" i="3"/>
  <c r="BI72" i="3"/>
  <c r="BP74" i="3"/>
  <c r="BM74" i="3"/>
  <c r="BL66" i="1"/>
  <c r="BS145" i="1"/>
  <c r="BJ66" i="1"/>
  <c r="BQ145" i="1"/>
  <c r="AY25" i="1"/>
  <c r="AZ25" i="1"/>
  <c r="BP146" i="1" s="1"/>
  <c r="AX25" i="1"/>
  <c r="AW26" i="1"/>
  <c r="BI67" i="1"/>
  <c r="BK66" i="1"/>
  <c r="BR145" i="1"/>
  <c r="AB25" i="1"/>
  <c r="AC25" i="1"/>
  <c r="AA26" i="1"/>
  <c r="AD25" i="1"/>
  <c r="AP69" i="1" s="1"/>
  <c r="AI67" i="1"/>
  <c r="AK66" i="1"/>
  <c r="AR68" i="1"/>
  <c r="AJ66" i="1"/>
  <c r="AQ68" i="1"/>
  <c r="AS68" i="1"/>
  <c r="AL66" i="1"/>
  <c r="H35" i="1"/>
  <c r="M381" i="1" s="1" a="1"/>
  <c r="M381" i="1" s="1"/>
  <c r="M341" i="1" a="1"/>
  <c r="M341" i="1" s="1"/>
  <c r="I34" i="1"/>
  <c r="M384" i="1" l="1" a="1"/>
  <c r="M384" i="1" s="1"/>
  <c r="M336" i="1" a="1"/>
  <c r="M336" i="1" s="1"/>
  <c r="M392" i="1" a="1"/>
  <c r="M392" i="1" s="1"/>
  <c r="M394" i="1" a="1"/>
  <c r="M394" i="1" s="1"/>
  <c r="M382" i="1" a="1"/>
  <c r="M382" i="1" s="1"/>
  <c r="M385" i="1" a="1"/>
  <c r="M385" i="1" s="1"/>
  <c r="M379" i="1" a="1"/>
  <c r="M379" i="1" s="1"/>
  <c r="M377" i="1" a="1"/>
  <c r="M377" i="1" s="1"/>
  <c r="M380" i="1" a="1"/>
  <c r="M380" i="1" s="1"/>
  <c r="M386" i="1" a="1"/>
  <c r="M386" i="1" s="1"/>
  <c r="M388" i="1" a="1"/>
  <c r="M388" i="1" s="1"/>
  <c r="M376" i="1" a="1"/>
  <c r="M376" i="1" s="1"/>
  <c r="M393" i="1" a="1"/>
  <c r="M393" i="1" s="1"/>
  <c r="M375" i="1" a="1"/>
  <c r="M375" i="1" s="1"/>
  <c r="M387" i="1" a="1"/>
  <c r="M387" i="1" s="1"/>
  <c r="M372" i="1" a="1"/>
  <c r="M372" i="1" s="1"/>
  <c r="M395" i="1" a="1"/>
  <c r="M395" i="1" s="1"/>
  <c r="M378" i="1" a="1"/>
  <c r="M378" i="1" s="1"/>
  <c r="M391" i="1" a="1"/>
  <c r="M391" i="1" s="1"/>
  <c r="M373" i="1" a="1"/>
  <c r="M373" i="1" s="1"/>
  <c r="M383" i="1" a="1"/>
  <c r="M383" i="1" s="1"/>
  <c r="M389" i="1" a="1"/>
  <c r="M389" i="1" s="1"/>
  <c r="M374" i="1" a="1"/>
  <c r="M374" i="1" s="1"/>
  <c r="M390" i="1" a="1"/>
  <c r="M390" i="1" s="1"/>
  <c r="M366" i="1" a="1"/>
  <c r="M366" i="1" s="1"/>
  <c r="M368" i="1" a="1"/>
  <c r="M368" i="1" s="1"/>
  <c r="M369" i="1" a="1"/>
  <c r="M369" i="1" s="1"/>
  <c r="M370" i="1" a="1"/>
  <c r="M370" i="1" s="1"/>
  <c r="M371" i="1" a="1"/>
  <c r="M371" i="1" s="1"/>
  <c r="M311" i="1" a="1"/>
  <c r="M311" i="1" s="1"/>
  <c r="M367" i="1" a="1"/>
  <c r="M367" i="1" s="1"/>
  <c r="M266" i="1" a="1"/>
  <c r="M266" i="1" s="1"/>
  <c r="M363" i="1" a="1"/>
  <c r="M363" i="1" s="1"/>
  <c r="M358" i="1" a="1"/>
  <c r="M358" i="1" s="1"/>
  <c r="M361" i="1" a="1"/>
  <c r="M361" i="1" s="1"/>
  <c r="M359" i="1" a="1"/>
  <c r="M359" i="1" s="1"/>
  <c r="M365" i="1" a="1"/>
  <c r="M365" i="1" s="1"/>
  <c r="M364" i="1" a="1"/>
  <c r="M364" i="1" s="1"/>
  <c r="M360" i="1" a="1"/>
  <c r="M360" i="1" s="1"/>
  <c r="M362" i="1" a="1"/>
  <c r="M362" i="1" s="1"/>
  <c r="M297" i="1" a="1"/>
  <c r="M297" i="1" s="1"/>
  <c r="M299" i="1" a="1"/>
  <c r="M299" i="1" s="1"/>
  <c r="M272" i="1" a="1"/>
  <c r="M272" i="1" s="1"/>
  <c r="M290" i="1" a="1"/>
  <c r="M290" i="1" s="1"/>
  <c r="M316" i="1" a="1"/>
  <c r="M316" i="1" s="1"/>
  <c r="I35" i="1"/>
  <c r="M357" i="1" a="1"/>
  <c r="M357" i="1" s="1"/>
  <c r="M355" i="1" a="1"/>
  <c r="M355" i="1" s="1"/>
  <c r="M292" i="1" a="1"/>
  <c r="M292" i="1" s="1"/>
  <c r="M302" i="1" a="1"/>
  <c r="M302" i="1" s="1"/>
  <c r="M255" i="1" a="1"/>
  <c r="M255" i="1" s="1"/>
  <c r="M267" i="1" a="1"/>
  <c r="M267" i="1" s="1"/>
  <c r="M283" i="1" a="1"/>
  <c r="M283" i="1" s="1"/>
  <c r="M301" i="1" a="1"/>
  <c r="M301" i="1" s="1"/>
  <c r="M339" i="1" a="1"/>
  <c r="M339" i="1" s="1"/>
  <c r="M291" i="1" a="1"/>
  <c r="M291" i="1" s="1"/>
  <c r="M318" i="1" a="1"/>
  <c r="M318" i="1" s="1"/>
  <c r="M313" i="1" a="1"/>
  <c r="M313" i="1" s="1"/>
  <c r="M332" i="1" a="1"/>
  <c r="M332" i="1" s="1"/>
  <c r="M279" i="1" a="1"/>
  <c r="M279" i="1" s="1"/>
  <c r="M270" i="1" a="1"/>
  <c r="M270" i="1" s="1"/>
  <c r="M161" i="1" a="1"/>
  <c r="M161" i="1" s="1"/>
  <c r="M288" i="1" a="1"/>
  <c r="M288" i="1" s="1"/>
  <c r="M294" i="1" a="1"/>
  <c r="M294" i="1" s="1"/>
  <c r="M328" i="1" a="1"/>
  <c r="M328" i="1" s="1"/>
  <c r="M356" i="1" a="1"/>
  <c r="M356" i="1" s="1"/>
  <c r="BN75" i="3"/>
  <c r="BG73" i="3"/>
  <c r="BI73" i="3"/>
  <c r="BP75" i="3"/>
  <c r="BF74" i="3"/>
  <c r="AX32" i="3"/>
  <c r="AY32" i="3"/>
  <c r="AZ32" i="3"/>
  <c r="AW33" i="3"/>
  <c r="BM75" i="3"/>
  <c r="AR76" i="3"/>
  <c r="AP76" i="3"/>
  <c r="BH73" i="3"/>
  <c r="BO75" i="3"/>
  <c r="AQ76" i="3"/>
  <c r="AA34" i="3"/>
  <c r="AD33" i="3"/>
  <c r="AS77" i="3" s="1"/>
  <c r="AC33" i="3"/>
  <c r="AB33" i="3"/>
  <c r="M286" i="1" a="1"/>
  <c r="M286" i="1" s="1"/>
  <c r="M295" i="1" a="1"/>
  <c r="M295" i="1" s="1"/>
  <c r="M304" i="1" a="1"/>
  <c r="M304" i="1" s="1"/>
  <c r="M280" i="1" a="1"/>
  <c r="M280" i="1" s="1"/>
  <c r="M284" i="1" a="1"/>
  <c r="M284" i="1" s="1"/>
  <c r="M289" i="1" a="1"/>
  <c r="M289" i="1" s="1"/>
  <c r="M306" i="1" a="1"/>
  <c r="M306" i="1" s="1"/>
  <c r="M308" i="1" a="1"/>
  <c r="M308" i="1" s="1"/>
  <c r="M273" i="1" a="1"/>
  <c r="M273" i="1" s="1"/>
  <c r="M319" i="1" a="1"/>
  <c r="M319" i="1" s="1"/>
  <c r="M330" i="1" a="1"/>
  <c r="M330" i="1" s="1"/>
  <c r="M282" i="1" a="1"/>
  <c r="M282" i="1" s="1"/>
  <c r="M271" i="1" a="1"/>
  <c r="M271" i="1" s="1"/>
  <c r="M314" i="1" a="1"/>
  <c r="M314" i="1" s="1"/>
  <c r="M274" i="1" a="1"/>
  <c r="M274" i="1" s="1"/>
  <c r="M281" i="1" a="1"/>
  <c r="M281" i="1" s="1"/>
  <c r="M269" i="1" a="1"/>
  <c r="M269" i="1" s="1"/>
  <c r="M275" i="1" a="1"/>
  <c r="M275" i="1" s="1"/>
  <c r="M312" i="1" a="1"/>
  <c r="M312" i="1" s="1"/>
  <c r="M285" i="1" a="1"/>
  <c r="M285" i="1" s="1"/>
  <c r="M337" i="1" a="1"/>
  <c r="M337" i="1" s="1"/>
  <c r="M47" i="1" a="1"/>
  <c r="M47" i="1" s="1"/>
  <c r="M166" i="1" a="1"/>
  <c r="M166" i="1" s="1"/>
  <c r="M325" i="1" a="1"/>
  <c r="M325" i="1" s="1"/>
  <c r="M335" i="1" a="1"/>
  <c r="M335" i="1" s="1"/>
  <c r="M303" i="1" a="1"/>
  <c r="M303" i="1" s="1"/>
  <c r="M324" i="1" a="1"/>
  <c r="M324" i="1" s="1"/>
  <c r="M307" i="1" a="1"/>
  <c r="M307" i="1" s="1"/>
  <c r="M338" i="1" a="1"/>
  <c r="M338" i="1" s="1"/>
  <c r="M268" i="1" a="1"/>
  <c r="M268" i="1" s="1"/>
  <c r="M340" i="1" a="1"/>
  <c r="M340" i="1" s="1"/>
  <c r="M129" i="1" a="1"/>
  <c r="M129" i="1" s="1"/>
  <c r="M49" i="1" a="1"/>
  <c r="M49" i="1" s="1"/>
  <c r="M56" i="1" a="1"/>
  <c r="M56" i="1" s="1"/>
  <c r="M80" i="1" a="1"/>
  <c r="M80" i="1" s="1"/>
  <c r="M327" i="1" a="1"/>
  <c r="M327" i="1" s="1"/>
  <c r="M277" i="1" a="1"/>
  <c r="M277" i="1" s="1"/>
  <c r="M323" i="1" a="1"/>
  <c r="M323" i="1" s="1"/>
  <c r="M276" i="1" a="1"/>
  <c r="M276" i="1" s="1"/>
  <c r="M329" i="1" a="1"/>
  <c r="M329" i="1" s="1"/>
  <c r="M278" i="1" a="1"/>
  <c r="M278" i="1" s="1"/>
  <c r="M334" i="1" a="1"/>
  <c r="M334" i="1" s="1"/>
  <c r="M45" i="1" a="1"/>
  <c r="M45" i="1" s="1"/>
  <c r="M33" i="1" a="1"/>
  <c r="M33" i="1" s="1"/>
  <c r="M26" i="1" a="1"/>
  <c r="M26" i="1" s="1"/>
  <c r="M55" i="1" a="1"/>
  <c r="M55" i="1" s="1"/>
  <c r="M77" i="1" a="1"/>
  <c r="M77" i="1" s="1"/>
  <c r="M321" i="1" a="1"/>
  <c r="M321" i="1" s="1"/>
  <c r="M69" i="1" a="1"/>
  <c r="M69" i="1" s="1"/>
  <c r="M171" i="1" a="1"/>
  <c r="M171" i="1" s="1"/>
  <c r="M24" i="1" a="1"/>
  <c r="M24" i="1" s="1"/>
  <c r="M348" i="1" a="1"/>
  <c r="M348" i="1" s="1"/>
  <c r="M51" i="1" a="1"/>
  <c r="M51" i="1" s="1"/>
  <c r="M172" i="1" a="1"/>
  <c r="M172" i="1" s="1"/>
  <c r="M342" i="1" a="1"/>
  <c r="M342" i="1" s="1"/>
  <c r="M320" i="1" a="1"/>
  <c r="M320" i="1" s="1"/>
  <c r="M149" i="1" a="1"/>
  <c r="M149" i="1" s="1"/>
  <c r="M31" i="1" a="1"/>
  <c r="M31" i="1" s="1"/>
  <c r="M53" i="1" a="1"/>
  <c r="M53" i="1" s="1"/>
  <c r="M70" i="1" a="1"/>
  <c r="M70" i="1" s="1"/>
  <c r="M102" i="1" a="1"/>
  <c r="M102" i="1" s="1"/>
  <c r="M322" i="1" a="1"/>
  <c r="M322" i="1" s="1"/>
  <c r="M201" i="1" a="1"/>
  <c r="M201" i="1" s="1"/>
  <c r="M100" i="1" a="1"/>
  <c r="M100" i="1" s="1"/>
  <c r="M178" i="1" a="1"/>
  <c r="M178" i="1" s="1"/>
  <c r="M36" i="1" a="1"/>
  <c r="M36" i="1" s="1"/>
  <c r="M35" i="1" a="1"/>
  <c r="M35" i="1" s="1"/>
  <c r="M121" i="1" a="1"/>
  <c r="M121" i="1" s="1"/>
  <c r="M15" i="1" a="1"/>
  <c r="M15" i="1" s="1"/>
  <c r="M174" i="1" a="1"/>
  <c r="M174" i="1" s="1"/>
  <c r="M64" i="1" a="1"/>
  <c r="M64" i="1" s="1"/>
  <c r="M57" i="1" a="1"/>
  <c r="M57" i="1" s="1"/>
  <c r="M119" i="1" a="1"/>
  <c r="M119" i="1" s="1"/>
  <c r="M79" i="1" a="1"/>
  <c r="M79" i="1" s="1"/>
  <c r="M305" i="1" a="1"/>
  <c r="M305" i="1" s="1"/>
  <c r="M175" i="1" a="1"/>
  <c r="M175" i="1" s="1"/>
  <c r="M343" i="1" a="1"/>
  <c r="M343" i="1" s="1"/>
  <c r="M315" i="1" a="1"/>
  <c r="M315" i="1" s="1"/>
  <c r="M16" i="1" a="1"/>
  <c r="M16" i="1" s="1"/>
  <c r="M112" i="1" a="1"/>
  <c r="M112" i="1" s="1"/>
  <c r="M117" i="1" a="1"/>
  <c r="M117" i="1" s="1"/>
  <c r="M153" i="1" a="1"/>
  <c r="M153" i="1" s="1"/>
  <c r="M170" i="1" a="1"/>
  <c r="M170" i="1" s="1"/>
  <c r="M32" i="1" a="1"/>
  <c r="M32" i="1" s="1"/>
  <c r="M17" i="1" a="1"/>
  <c r="M17" i="1" s="1"/>
  <c r="M81" i="1" a="1"/>
  <c r="M81" i="1" s="1"/>
  <c r="M156" i="1" a="1"/>
  <c r="M156" i="1" s="1"/>
  <c r="M345" i="1" a="1"/>
  <c r="M345" i="1" s="1"/>
  <c r="M44" i="1" a="1"/>
  <c r="M44" i="1" s="1"/>
  <c r="M346" i="1" a="1"/>
  <c r="M346" i="1" s="1"/>
  <c r="M23" i="1" a="1"/>
  <c r="M23" i="1" s="1"/>
  <c r="M29" i="1" a="1"/>
  <c r="M29" i="1" s="1"/>
  <c r="M19" i="1" a="1"/>
  <c r="M19" i="1" s="1"/>
  <c r="M131" i="1" a="1"/>
  <c r="M131" i="1" s="1"/>
  <c r="M54" i="1" a="1"/>
  <c r="M54" i="1" s="1"/>
  <c r="M198" i="1" a="1"/>
  <c r="M198" i="1" s="1"/>
  <c r="M6" i="1" a="1"/>
  <c r="M6" i="1" s="1"/>
  <c r="M96" i="1" a="1"/>
  <c r="M96" i="1" s="1"/>
  <c r="M74" i="1" a="1"/>
  <c r="M74" i="1" s="1"/>
  <c r="M65" i="1" a="1"/>
  <c r="M65" i="1" s="1"/>
  <c r="M25" i="1" a="1"/>
  <c r="M25" i="1" s="1"/>
  <c r="M287" i="1" a="1"/>
  <c r="M287" i="1" s="1"/>
  <c r="M8" i="1" a="1"/>
  <c r="M8" i="1" s="1"/>
  <c r="M310" i="1" a="1"/>
  <c r="M310" i="1" s="1"/>
  <c r="M27" i="1" a="1"/>
  <c r="M27" i="1" s="1"/>
  <c r="M300" i="1" a="1"/>
  <c r="M300" i="1" s="1"/>
  <c r="M39" i="1" a="1"/>
  <c r="M39" i="1" s="1"/>
  <c r="M145" i="1" a="1"/>
  <c r="M145" i="1" s="1"/>
  <c r="M141" i="1" a="1"/>
  <c r="M141" i="1" s="1"/>
  <c r="AB26" i="1"/>
  <c r="AC26" i="1"/>
  <c r="AA27" i="1"/>
  <c r="AD26" i="1"/>
  <c r="AP70" i="1" s="1"/>
  <c r="AI68" i="1"/>
  <c r="AK67" i="1"/>
  <c r="AR69" i="1"/>
  <c r="AJ67" i="1"/>
  <c r="AQ69" i="1"/>
  <c r="M75" i="1" a="1"/>
  <c r="M75" i="1" s="1"/>
  <c r="M28" i="1" a="1"/>
  <c r="M28" i="1" s="1"/>
  <c r="M30" i="1" a="1"/>
  <c r="M30" i="1" s="1"/>
  <c r="M5" i="1" a="1"/>
  <c r="M5" i="1" s="1"/>
  <c r="M333" i="1" a="1"/>
  <c r="M333" i="1" s="1"/>
  <c r="M326" i="1" a="1"/>
  <c r="M326" i="1" s="1"/>
  <c r="M11" i="1" a="1"/>
  <c r="M11" i="1" s="1"/>
  <c r="M87" i="1" a="1"/>
  <c r="M87" i="1" s="1"/>
  <c r="M58" i="1" a="1"/>
  <c r="M58" i="1" s="1"/>
  <c r="M63" i="1" a="1"/>
  <c r="M63" i="1" s="1"/>
  <c r="M88" i="1" a="1"/>
  <c r="M88" i="1" s="1"/>
  <c r="M146" i="1" a="1"/>
  <c r="M146" i="1" s="1"/>
  <c r="M22" i="1" a="1"/>
  <c r="M22" i="1" s="1"/>
  <c r="M46" i="1" a="1"/>
  <c r="M46" i="1" s="1"/>
  <c r="M61" i="1" a="1"/>
  <c r="M61" i="1" s="1"/>
  <c r="M347" i="1" a="1"/>
  <c r="M347" i="1" s="1"/>
  <c r="M52" i="1" a="1"/>
  <c r="M52" i="1" s="1"/>
  <c r="M134" i="1" a="1"/>
  <c r="M134" i="1" s="1"/>
  <c r="M14" i="1" a="1"/>
  <c r="M14" i="1" s="1"/>
  <c r="M50" i="1" a="1"/>
  <c r="M50" i="1" s="1"/>
  <c r="M344" i="1" a="1"/>
  <c r="M344" i="1" s="1"/>
  <c r="M38" i="1" a="1"/>
  <c r="M38" i="1" s="1"/>
  <c r="M13" i="1" a="1"/>
  <c r="M13" i="1" s="1"/>
  <c r="M10" i="1" a="1"/>
  <c r="M10" i="1" s="1"/>
  <c r="M12" i="1" a="1"/>
  <c r="M12" i="1" s="1"/>
  <c r="M7" i="1" a="1"/>
  <c r="M7" i="1" s="1"/>
  <c r="M130" i="1" a="1"/>
  <c r="M130" i="1" s="1"/>
  <c r="M97" i="1" a="1"/>
  <c r="M97" i="1" s="1"/>
  <c r="M43" i="1" a="1"/>
  <c r="M43" i="1" s="1"/>
  <c r="M20" i="1" a="1"/>
  <c r="M20" i="1" s="1"/>
  <c r="M21" i="1" a="1"/>
  <c r="M21" i="1" s="1"/>
  <c r="M67" i="1" a="1"/>
  <c r="M67" i="1" s="1"/>
  <c r="M148" i="1" a="1"/>
  <c r="M148" i="1" s="1"/>
  <c r="M18" i="1" a="1"/>
  <c r="M18" i="1" s="1"/>
  <c r="M9" i="1" a="1"/>
  <c r="M9" i="1" s="1"/>
  <c r="M66" i="1" a="1"/>
  <c r="M66" i="1" s="1"/>
  <c r="M204" i="1" a="1"/>
  <c r="M204" i="1" s="1"/>
  <c r="M109" i="1" a="1"/>
  <c r="M109" i="1" s="1"/>
  <c r="M162" i="1" a="1"/>
  <c r="M162" i="1" s="1"/>
  <c r="M169" i="1" a="1"/>
  <c r="M169" i="1" s="1"/>
  <c r="M40" i="1" a="1"/>
  <c r="M40" i="1" s="1"/>
  <c r="M142" i="1" a="1"/>
  <c r="M142" i="1" s="1"/>
  <c r="M353" i="1" a="1"/>
  <c r="M353" i="1" s="1"/>
  <c r="M136" i="1" a="1"/>
  <c r="M136" i="1" s="1"/>
  <c r="M211" i="1" a="1"/>
  <c r="M211" i="1" s="1"/>
  <c r="M191" i="1" a="1"/>
  <c r="M191" i="1" s="1"/>
  <c r="M103" i="1" a="1"/>
  <c r="M103" i="1" s="1"/>
  <c r="M128" i="1" a="1"/>
  <c r="M128" i="1" s="1"/>
  <c r="M167" i="1" a="1"/>
  <c r="M167" i="1" s="1"/>
  <c r="M108" i="1" a="1"/>
  <c r="M108" i="1" s="1"/>
  <c r="M194" i="1" a="1"/>
  <c r="M194" i="1" s="1"/>
  <c r="M205" i="1" a="1"/>
  <c r="M205" i="1" s="1"/>
  <c r="M155" i="1" a="1"/>
  <c r="M155" i="1" s="1"/>
  <c r="M202" i="1" a="1"/>
  <c r="M202" i="1" s="1"/>
  <c r="M98" i="1" a="1"/>
  <c r="M98" i="1" s="1"/>
  <c r="M147" i="1" a="1"/>
  <c r="M147" i="1" s="1"/>
  <c r="M187" i="1" a="1"/>
  <c r="M187" i="1" s="1"/>
  <c r="M209" i="1" a="1"/>
  <c r="M209" i="1" s="1"/>
  <c r="M144" i="1" a="1"/>
  <c r="M144" i="1" s="1"/>
  <c r="M183" i="1" a="1"/>
  <c r="M183" i="1" s="1"/>
  <c r="M62" i="1" a="1"/>
  <c r="M62" i="1" s="1"/>
  <c r="M90" i="1" a="1"/>
  <c r="M90" i="1" s="1"/>
  <c r="M354" i="1" a="1"/>
  <c r="M354" i="1" s="1"/>
  <c r="M181" i="1" a="1"/>
  <c r="M181" i="1" s="1"/>
  <c r="M41" i="1" a="1"/>
  <c r="M41" i="1" s="1"/>
  <c r="M140" i="1" a="1"/>
  <c r="M140" i="1" s="1"/>
  <c r="M159" i="1" a="1"/>
  <c r="M159" i="1" s="1"/>
  <c r="M118" i="1" a="1"/>
  <c r="M118" i="1" s="1"/>
  <c r="M89" i="1" a="1"/>
  <c r="M89" i="1" s="1"/>
  <c r="M210" i="1" a="1"/>
  <c r="M210" i="1" s="1"/>
  <c r="M110" i="1" a="1"/>
  <c r="M110" i="1" s="1"/>
  <c r="M188" i="1" a="1"/>
  <c r="M188" i="1" s="1"/>
  <c r="M126" i="1" a="1"/>
  <c r="M126" i="1" s="1"/>
  <c r="M213" i="1" a="1"/>
  <c r="M213" i="1" s="1"/>
  <c r="M173" i="1" a="1"/>
  <c r="M173" i="1" s="1"/>
  <c r="M101" i="1" a="1"/>
  <c r="M101" i="1" s="1"/>
  <c r="M150" i="1" a="1"/>
  <c r="M150" i="1" s="1"/>
  <c r="M125" i="1" a="1"/>
  <c r="M125" i="1" s="1"/>
  <c r="M351" i="1" a="1"/>
  <c r="M351" i="1" s="1"/>
  <c r="M42" i="1" a="1"/>
  <c r="M42" i="1" s="1"/>
  <c r="M95" i="1" a="1"/>
  <c r="M95" i="1" s="1"/>
  <c r="M192" i="1" a="1"/>
  <c r="M192" i="1" s="1"/>
  <c r="M139" i="1" a="1"/>
  <c r="M139" i="1" s="1"/>
  <c r="M105" i="1" a="1"/>
  <c r="M105" i="1" s="1"/>
  <c r="M116" i="1" a="1"/>
  <c r="M116" i="1" s="1"/>
  <c r="M164" i="1" a="1"/>
  <c r="M164" i="1" s="1"/>
  <c r="M114" i="1" a="1"/>
  <c r="M114" i="1" s="1"/>
  <c r="M163" i="1" a="1"/>
  <c r="M163" i="1" s="1"/>
  <c r="M138" i="1" a="1"/>
  <c r="M138" i="1" s="1"/>
  <c r="M83" i="1" a="1"/>
  <c r="M83" i="1" s="1"/>
  <c r="M132" i="1" a="1"/>
  <c r="M132" i="1" s="1"/>
  <c r="M73" i="1" a="1"/>
  <c r="M73" i="1" s="1"/>
  <c r="M200" i="1" a="1"/>
  <c r="M200" i="1" s="1"/>
  <c r="M203" i="1" a="1"/>
  <c r="M203" i="1" s="1"/>
  <c r="M59" i="1" a="1"/>
  <c r="M59" i="1" s="1"/>
  <c r="M135" i="1" a="1"/>
  <c r="M135" i="1" s="1"/>
  <c r="M196" i="1" a="1"/>
  <c r="M196" i="1" s="1"/>
  <c r="M193" i="1" a="1"/>
  <c r="M193" i="1" s="1"/>
  <c r="M185" i="1" a="1"/>
  <c r="M185" i="1" s="1"/>
  <c r="M165" i="1" a="1"/>
  <c r="M165" i="1" s="1"/>
  <c r="M151" i="1" a="1"/>
  <c r="M151" i="1" s="1"/>
  <c r="M189" i="1" a="1"/>
  <c r="M189" i="1" s="1"/>
  <c r="M127" i="1" a="1"/>
  <c r="M127" i="1" s="1"/>
  <c r="M111" i="1" a="1"/>
  <c r="M111" i="1" s="1"/>
  <c r="M182" i="1" a="1"/>
  <c r="M182" i="1" s="1"/>
  <c r="M207" i="1" a="1"/>
  <c r="M207" i="1" s="1"/>
  <c r="M199" i="1" a="1"/>
  <c r="M199" i="1" s="1"/>
  <c r="M71" i="1" a="1"/>
  <c r="M71" i="1" s="1"/>
  <c r="M154" i="1" a="1"/>
  <c r="M154" i="1" s="1"/>
  <c r="M123" i="1" a="1"/>
  <c r="M123" i="1" s="1"/>
  <c r="M113" i="1" a="1"/>
  <c r="M113" i="1" s="1"/>
  <c r="M157" i="1" a="1"/>
  <c r="M157" i="1" s="1"/>
  <c r="M92" i="1" a="1"/>
  <c r="M92" i="1" s="1"/>
  <c r="M176" i="1" a="1"/>
  <c r="M176" i="1" s="1"/>
  <c r="M168" i="1" a="1"/>
  <c r="M168" i="1" s="1"/>
  <c r="M190" i="1" a="1"/>
  <c r="M190" i="1" s="1"/>
  <c r="M208" i="1" a="1"/>
  <c r="M208" i="1" s="1"/>
  <c r="M206" i="1" a="1"/>
  <c r="M206" i="1" s="1"/>
  <c r="M76" i="1" a="1"/>
  <c r="M76" i="1" s="1"/>
  <c r="M99" i="1" a="1"/>
  <c r="M99" i="1" s="1"/>
  <c r="M184" i="1" a="1"/>
  <c r="M184" i="1" s="1"/>
  <c r="M137" i="1" a="1"/>
  <c r="M137" i="1" s="1"/>
  <c r="M104" i="1" a="1"/>
  <c r="M104" i="1" s="1"/>
  <c r="M72" i="1" a="1"/>
  <c r="M72" i="1" s="1"/>
  <c r="M107" i="1" a="1"/>
  <c r="M107" i="1" s="1"/>
  <c r="M106" i="1" a="1"/>
  <c r="M106" i="1" s="1"/>
  <c r="M158" i="1" a="1"/>
  <c r="M158" i="1" s="1"/>
  <c r="M122" i="1" a="1"/>
  <c r="M122" i="1" s="1"/>
  <c r="M34" i="1" a="1"/>
  <c r="M34" i="1" s="1"/>
  <c r="M133" i="1" a="1"/>
  <c r="M133" i="1" s="1"/>
  <c r="M115" i="1" a="1"/>
  <c r="M115" i="1" s="1"/>
  <c r="M86" i="1" a="1"/>
  <c r="M86" i="1" s="1"/>
  <c r="M152" i="1" a="1"/>
  <c r="M152" i="1" s="1"/>
  <c r="M349" i="1" a="1"/>
  <c r="M349" i="1" s="1"/>
  <c r="M212" i="1" a="1"/>
  <c r="M212" i="1" s="1"/>
  <c r="M197" i="1" a="1"/>
  <c r="M197" i="1" s="1"/>
  <c r="M186" i="1" a="1"/>
  <c r="M186" i="1" s="1"/>
  <c r="M85" i="1" a="1"/>
  <c r="M85" i="1" s="1"/>
  <c r="M84" i="1" a="1"/>
  <c r="M84" i="1" s="1"/>
  <c r="M93" i="1" a="1"/>
  <c r="M93" i="1" s="1"/>
  <c r="M82" i="1" a="1"/>
  <c r="M82" i="1" s="1"/>
  <c r="M124" i="1" a="1"/>
  <c r="M124" i="1" s="1"/>
  <c r="M350" i="1" a="1"/>
  <c r="M350" i="1" s="1"/>
  <c r="M78" i="1" a="1"/>
  <c r="M78" i="1" s="1"/>
  <c r="M195" i="1" a="1"/>
  <c r="M195" i="1" s="1"/>
  <c r="M120" i="1" a="1"/>
  <c r="M120" i="1" s="1"/>
  <c r="M179" i="1" a="1"/>
  <c r="M179" i="1" s="1"/>
  <c r="M177" i="1" a="1"/>
  <c r="M177" i="1" s="1"/>
  <c r="M91" i="1" a="1"/>
  <c r="M91" i="1" s="1"/>
  <c r="M94" i="1" a="1"/>
  <c r="M94" i="1" s="1"/>
  <c r="M180" i="1" a="1"/>
  <c r="M180" i="1" s="1"/>
  <c r="M352" i="1" a="1"/>
  <c r="M352" i="1" s="1"/>
  <c r="M293" i="1" a="1"/>
  <c r="M293" i="1" s="1"/>
  <c r="M309" i="1" a="1"/>
  <c r="M309" i="1" s="1"/>
  <c r="M296" i="1" a="1"/>
  <c r="M296" i="1" s="1"/>
  <c r="M298" i="1" a="1"/>
  <c r="M298" i="1" s="1"/>
  <c r="M317" i="1" a="1"/>
  <c r="M317" i="1" s="1"/>
  <c r="M224" i="1" a="1"/>
  <c r="M224" i="1" s="1"/>
  <c r="M215" i="1" a="1"/>
  <c r="M215" i="1" s="1"/>
  <c r="M223" i="1" a="1"/>
  <c r="M223" i="1" s="1"/>
  <c r="M257" i="1" a="1"/>
  <c r="M257" i="1" s="1"/>
  <c r="M214" i="1" a="1"/>
  <c r="M214" i="1" s="1"/>
  <c r="M261" i="1" a="1"/>
  <c r="M261" i="1" s="1"/>
  <c r="M254" i="1" a="1"/>
  <c r="M254" i="1" s="1"/>
  <c r="M249" i="1" a="1"/>
  <c r="M249" i="1" s="1"/>
  <c r="M263" i="1" a="1"/>
  <c r="M263" i="1" s="1"/>
  <c r="M242" i="1" a="1"/>
  <c r="M242" i="1" s="1"/>
  <c r="M221" i="1" a="1"/>
  <c r="M221" i="1" s="1"/>
  <c r="M240" i="1" a="1"/>
  <c r="M240" i="1" s="1"/>
  <c r="M222" i="1" a="1"/>
  <c r="M222" i="1" s="1"/>
  <c r="M217" i="1" a="1"/>
  <c r="M217" i="1" s="1"/>
  <c r="M239" i="1" a="1"/>
  <c r="M239" i="1" s="1"/>
  <c r="M225" i="1" a="1"/>
  <c r="M225" i="1" s="1"/>
  <c r="M232" i="1" a="1"/>
  <c r="M232" i="1" s="1"/>
  <c r="M258" i="1" a="1"/>
  <c r="M258" i="1" s="1"/>
  <c r="M252" i="1" a="1"/>
  <c r="M252" i="1" s="1"/>
  <c r="M220" i="1" a="1"/>
  <c r="M220" i="1" s="1"/>
  <c r="M248" i="1" a="1"/>
  <c r="M248" i="1" s="1"/>
  <c r="M262" i="1" a="1"/>
  <c r="M262" i="1" s="1"/>
  <c r="M265" i="1" a="1"/>
  <c r="M265" i="1" s="1"/>
  <c r="M251" i="1" a="1"/>
  <c r="M251" i="1" s="1"/>
  <c r="M259" i="1" a="1"/>
  <c r="M259" i="1" s="1"/>
  <c r="M233" i="1" a="1"/>
  <c r="M233" i="1" s="1"/>
  <c r="M241" i="1" a="1"/>
  <c r="M241" i="1" s="1"/>
  <c r="M246" i="1" a="1"/>
  <c r="M246" i="1" s="1"/>
  <c r="M236" i="1" a="1"/>
  <c r="M236" i="1" s="1"/>
  <c r="M230" i="1" a="1"/>
  <c r="M230" i="1" s="1"/>
  <c r="M231" i="1" a="1"/>
  <c r="M231" i="1" s="1"/>
  <c r="M256" i="1" a="1"/>
  <c r="M256" i="1" s="1"/>
  <c r="M264" i="1" a="1"/>
  <c r="M264" i="1" s="1"/>
  <c r="M227" i="1" a="1"/>
  <c r="M227" i="1" s="1"/>
  <c r="M253" i="1" a="1"/>
  <c r="M253" i="1" s="1"/>
  <c r="M219" i="1" a="1"/>
  <c r="M219" i="1" s="1"/>
  <c r="M250" i="1" a="1"/>
  <c r="M250" i="1" s="1"/>
  <c r="M235" i="1" a="1"/>
  <c r="M235" i="1" s="1"/>
  <c r="M226" i="1" a="1"/>
  <c r="M226" i="1" s="1"/>
  <c r="M228" i="1" a="1"/>
  <c r="M228" i="1" s="1"/>
  <c r="M234" i="1" a="1"/>
  <c r="M234" i="1" s="1"/>
  <c r="M238" i="1" a="1"/>
  <c r="M238" i="1" s="1"/>
  <c r="M247" i="1" a="1"/>
  <c r="M247" i="1" s="1"/>
  <c r="M237" i="1" a="1"/>
  <c r="M237" i="1" s="1"/>
  <c r="M218" i="1" a="1"/>
  <c r="M218" i="1" s="1"/>
  <c r="M229" i="1" a="1"/>
  <c r="M229" i="1" s="1"/>
  <c r="M244" i="1" a="1"/>
  <c r="M244" i="1" s="1"/>
  <c r="M216" i="1" a="1"/>
  <c r="M216" i="1" s="1"/>
  <c r="M243" i="1" a="1"/>
  <c r="M243" i="1" s="1"/>
  <c r="M245" i="1" a="1"/>
  <c r="M245" i="1" s="1"/>
  <c r="AW27" i="1"/>
  <c r="AY26" i="1"/>
  <c r="AX26" i="1"/>
  <c r="AZ26" i="1"/>
  <c r="BP147" i="1" s="1"/>
  <c r="BI68" i="1"/>
  <c r="BJ67" i="1"/>
  <c r="BQ146" i="1"/>
  <c r="BL67" i="1"/>
  <c r="BS146" i="1"/>
  <c r="BK67" i="1"/>
  <c r="BR146" i="1"/>
  <c r="M331" i="1" a="1"/>
  <c r="M331" i="1" s="1"/>
  <c r="M68" i="1" a="1"/>
  <c r="M68" i="1" s="1"/>
  <c r="M60" i="1" a="1"/>
  <c r="M60" i="1" s="1"/>
  <c r="M48" i="1" a="1"/>
  <c r="M48" i="1" s="1"/>
  <c r="M160" i="1" a="1"/>
  <c r="M160" i="1" s="1"/>
  <c r="M37" i="1" a="1"/>
  <c r="M37" i="1" s="1"/>
  <c r="M143" i="1" a="1"/>
  <c r="M143" i="1" s="1"/>
  <c r="AL67" i="1"/>
  <c r="AS69" i="1"/>
  <c r="M260" i="1" a="1"/>
  <c r="M260" i="1" s="1"/>
  <c r="AQ77" i="3" l="1"/>
  <c r="AR77" i="3"/>
  <c r="AW34" i="3"/>
  <c r="AY33" i="3"/>
  <c r="AX33" i="3"/>
  <c r="AZ33" i="3"/>
  <c r="BF75" i="3"/>
  <c r="BI74" i="3"/>
  <c r="BP76" i="3"/>
  <c r="BO76" i="3"/>
  <c r="BH74" i="3"/>
  <c r="BM76" i="3"/>
  <c r="BG74" i="3"/>
  <c r="BN76" i="3"/>
  <c r="AC34" i="3"/>
  <c r="AB34" i="3"/>
  <c r="AA35" i="3"/>
  <c r="AD34" i="3"/>
  <c r="AS78" i="3" s="1"/>
  <c r="AP77" i="3"/>
  <c r="BL68" i="1"/>
  <c r="BS147" i="1"/>
  <c r="BQ147" i="1"/>
  <c r="BJ68" i="1"/>
  <c r="BK68" i="1"/>
  <c r="BR147" i="1"/>
  <c r="AX27" i="1"/>
  <c r="AW28" i="1"/>
  <c r="AY27" i="1"/>
  <c r="AZ27" i="1"/>
  <c r="BP148" i="1" s="1"/>
  <c r="BI69" i="1"/>
  <c r="AL68" i="1"/>
  <c r="AS70" i="1"/>
  <c r="AC27" i="1"/>
  <c r="AD27" i="1"/>
  <c r="AA28" i="1"/>
  <c r="AB27" i="1"/>
  <c r="AI69" i="1"/>
  <c r="AK68" i="1"/>
  <c r="AR70" i="1"/>
  <c r="AQ70" i="1"/>
  <c r="AJ68" i="1"/>
  <c r="AR78" i="3" l="1"/>
  <c r="AQ78" i="3"/>
  <c r="AP78" i="3"/>
  <c r="BG75" i="3"/>
  <c r="BN77" i="3"/>
  <c r="BH75" i="3"/>
  <c r="BO77" i="3"/>
  <c r="AW35" i="3"/>
  <c r="AY34" i="3"/>
  <c r="BF76" i="3"/>
  <c r="AZ34" i="3"/>
  <c r="AX34" i="3"/>
  <c r="BI75" i="3"/>
  <c r="BP77" i="3"/>
  <c r="AA36" i="3"/>
  <c r="AD35" i="3"/>
  <c r="AS79" i="3" s="1"/>
  <c r="AC35" i="3"/>
  <c r="AB35" i="3"/>
  <c r="BM77" i="3"/>
  <c r="AS71" i="1"/>
  <c r="AL69" i="1"/>
  <c r="AK69" i="1"/>
  <c r="AR71" i="1"/>
  <c r="BS148" i="1"/>
  <c r="BL69" i="1"/>
  <c r="BR148" i="1"/>
  <c r="BK69" i="1"/>
  <c r="AX28" i="1"/>
  <c r="AY28" i="1"/>
  <c r="AZ28" i="1"/>
  <c r="BP149" i="1" s="1"/>
  <c r="AW29" i="1"/>
  <c r="BI70" i="1"/>
  <c r="BJ69" i="1"/>
  <c r="BQ148" i="1"/>
  <c r="AP71" i="1"/>
  <c r="AJ69" i="1"/>
  <c r="AQ71" i="1"/>
  <c r="AB28" i="1"/>
  <c r="AA29" i="1"/>
  <c r="AC28" i="1"/>
  <c r="AD28" i="1"/>
  <c r="AP72" i="1" s="1"/>
  <c r="AI70" i="1"/>
  <c r="AR79" i="3" l="1"/>
  <c r="AP79" i="3"/>
  <c r="AB36" i="3"/>
  <c r="AA37" i="3"/>
  <c r="AD36" i="3"/>
  <c r="AS80" i="3" s="1"/>
  <c r="AC36" i="3"/>
  <c r="BI76" i="3"/>
  <c r="BP78" i="3"/>
  <c r="BN78" i="3"/>
  <c r="BG76" i="3"/>
  <c r="BF77" i="3"/>
  <c r="AX35" i="3"/>
  <c r="AZ35" i="3"/>
  <c r="AY35" i="3"/>
  <c r="AW36" i="3"/>
  <c r="BO78" i="3"/>
  <c r="BH76" i="3"/>
  <c r="BM78" i="3"/>
  <c r="AQ79" i="3"/>
  <c r="AX29" i="1"/>
  <c r="AY29" i="1"/>
  <c r="AZ29" i="1"/>
  <c r="BP150" i="1" s="1"/>
  <c r="AW30" i="1"/>
  <c r="BI71" i="1"/>
  <c r="BS149" i="1"/>
  <c r="BL70" i="1"/>
  <c r="BR149" i="1"/>
  <c r="BK70" i="1"/>
  <c r="BQ149" i="1"/>
  <c r="BJ70" i="1"/>
  <c r="AL70" i="1"/>
  <c r="AS72" i="1"/>
  <c r="AK70" i="1"/>
  <c r="AR72" i="1"/>
  <c r="AB29" i="1"/>
  <c r="AA30" i="1"/>
  <c r="AC29" i="1"/>
  <c r="AD29" i="1"/>
  <c r="AP73" i="1" s="1"/>
  <c r="AI71" i="1"/>
  <c r="AJ70" i="1"/>
  <c r="AQ72" i="1"/>
  <c r="AR80" i="3" l="1"/>
  <c r="AW37" i="3"/>
  <c r="BF78" i="3"/>
  <c r="AZ36" i="3"/>
  <c r="AY36" i="3"/>
  <c r="AX36" i="3"/>
  <c r="AD37" i="3"/>
  <c r="AS81" i="3" s="1"/>
  <c r="AA38" i="3"/>
  <c r="AB37" i="3"/>
  <c r="AQ81" i="3" s="1"/>
  <c r="AC37" i="3"/>
  <c r="BG77" i="3"/>
  <c r="BN79" i="3"/>
  <c r="AQ80" i="3"/>
  <c r="BO79" i="3"/>
  <c r="BH77" i="3"/>
  <c r="AP80" i="3"/>
  <c r="BI77" i="3"/>
  <c r="BP79" i="3"/>
  <c r="BM79" i="3"/>
  <c r="AS73" i="1"/>
  <c r="AL71" i="1"/>
  <c r="AZ30" i="1"/>
  <c r="BP151" i="1" s="1"/>
  <c r="AW31" i="1"/>
  <c r="AX30" i="1"/>
  <c r="AY30" i="1"/>
  <c r="BI72" i="1"/>
  <c r="AR73" i="1"/>
  <c r="AK71" i="1"/>
  <c r="BS150" i="1"/>
  <c r="BL71" i="1"/>
  <c r="AC30" i="1"/>
  <c r="AA31" i="1"/>
  <c r="AB30" i="1"/>
  <c r="AD30" i="1"/>
  <c r="AI72" i="1"/>
  <c r="BR150" i="1"/>
  <c r="BK71" i="1"/>
  <c r="AQ73" i="1"/>
  <c r="AJ71" i="1"/>
  <c r="BQ150" i="1"/>
  <c r="BJ71" i="1"/>
  <c r="AR81" i="3" l="1"/>
  <c r="AC38" i="3"/>
  <c r="AB38" i="3"/>
  <c r="AA39" i="3"/>
  <c r="AD38" i="3"/>
  <c r="AS82" i="3" s="1"/>
  <c r="AP81" i="3"/>
  <c r="BN80" i="3"/>
  <c r="BG78" i="3"/>
  <c r="BI78" i="3"/>
  <c r="BP80" i="3"/>
  <c r="BF79" i="3"/>
  <c r="AY37" i="3"/>
  <c r="AZ37" i="3"/>
  <c r="AX37" i="3"/>
  <c r="AW38" i="3"/>
  <c r="BO80" i="3"/>
  <c r="BH78" i="3"/>
  <c r="BM80" i="3"/>
  <c r="AS74" i="1"/>
  <c r="AL72" i="1"/>
  <c r="AQ74" i="1"/>
  <c r="AJ72" i="1"/>
  <c r="AA32" i="1"/>
  <c r="AB31" i="1"/>
  <c r="AC31" i="1"/>
  <c r="AD31" i="1"/>
  <c r="AP75" i="1" s="1"/>
  <c r="AI73" i="1"/>
  <c r="AR74" i="1"/>
  <c r="AK72" i="1"/>
  <c r="BK72" i="1"/>
  <c r="BR151" i="1"/>
  <c r="BQ151" i="1"/>
  <c r="BJ72" i="1"/>
  <c r="AZ31" i="1"/>
  <c r="BP152" i="1" s="1"/>
  <c r="AW32" i="1"/>
  <c r="AX31" i="1"/>
  <c r="AY31" i="1"/>
  <c r="BI73" i="1"/>
  <c r="BL72" i="1"/>
  <c r="BS151" i="1"/>
  <c r="AP74" i="1"/>
  <c r="BF80" i="3" l="1"/>
  <c r="AZ38" i="3"/>
  <c r="AY38" i="3"/>
  <c r="AX38" i="3"/>
  <c r="AW39" i="3"/>
  <c r="BN81" i="3"/>
  <c r="BG79" i="3"/>
  <c r="AA40" i="3"/>
  <c r="AB39" i="3"/>
  <c r="AD39" i="3"/>
  <c r="AS83" i="3" s="1"/>
  <c r="AC39" i="3"/>
  <c r="BI79" i="3"/>
  <c r="BP81" i="3"/>
  <c r="BM81" i="3"/>
  <c r="AQ82" i="3"/>
  <c r="BH79" i="3"/>
  <c r="BO81" i="3"/>
  <c r="AP82" i="3"/>
  <c r="AR82" i="3"/>
  <c r="AL73" i="1"/>
  <c r="AS75" i="1"/>
  <c r="AK73" i="1"/>
  <c r="AR75" i="1"/>
  <c r="AJ73" i="1"/>
  <c r="AQ75" i="1"/>
  <c r="AB32" i="1"/>
  <c r="AC32" i="1"/>
  <c r="AA33" i="1"/>
  <c r="AD32" i="1"/>
  <c r="AS76" i="1" s="1"/>
  <c r="BR152" i="1"/>
  <c r="BK73" i="1"/>
  <c r="BQ152" i="1"/>
  <c r="BJ73" i="1"/>
  <c r="AX32" i="1"/>
  <c r="AY32" i="1"/>
  <c r="AW33" i="1"/>
  <c r="AZ32" i="1"/>
  <c r="BP153" i="1" s="1"/>
  <c r="BI74" i="1"/>
  <c r="BS152" i="1"/>
  <c r="BL73" i="1"/>
  <c r="AR83" i="3" l="1"/>
  <c r="AA41" i="3"/>
  <c r="AC40" i="3"/>
  <c r="AB40" i="3"/>
  <c r="AD40" i="3"/>
  <c r="AS84" i="3" s="1"/>
  <c r="AP83" i="3"/>
  <c r="AZ39" i="3"/>
  <c r="AY39" i="3"/>
  <c r="BF81" i="3"/>
  <c r="AX39" i="3"/>
  <c r="AW40" i="3"/>
  <c r="BG80" i="3"/>
  <c r="BN82" i="3"/>
  <c r="AQ83" i="3"/>
  <c r="BP82" i="3"/>
  <c r="BI80" i="3"/>
  <c r="BH80" i="3"/>
  <c r="BO82" i="3"/>
  <c r="BM82" i="3"/>
  <c r="AQ76" i="1"/>
  <c r="BQ153" i="1"/>
  <c r="BJ74" i="1"/>
  <c r="AP76" i="1"/>
  <c r="AB33" i="1"/>
  <c r="AC33" i="1"/>
  <c r="AD33" i="1"/>
  <c r="AS77" i="1" s="1"/>
  <c r="AA34" i="1"/>
  <c r="AR76" i="1"/>
  <c r="BS153" i="1"/>
  <c r="BL74" i="1"/>
  <c r="AW34" i="1"/>
  <c r="AY33" i="1"/>
  <c r="AX33" i="1"/>
  <c r="AZ33" i="1"/>
  <c r="BI75" i="1"/>
  <c r="BR153" i="1"/>
  <c r="BK74" i="1"/>
  <c r="BH81" i="3" l="1"/>
  <c r="BO83" i="3"/>
  <c r="BG81" i="3"/>
  <c r="BN83" i="3"/>
  <c r="AP84" i="3"/>
  <c r="BI81" i="3"/>
  <c r="BP83" i="3"/>
  <c r="BM83" i="3"/>
  <c r="AQ84" i="3"/>
  <c r="BF82" i="3"/>
  <c r="AY40" i="3"/>
  <c r="AW41" i="3"/>
  <c r="AZ40" i="3"/>
  <c r="AX40" i="3"/>
  <c r="AR84" i="3"/>
  <c r="AC41" i="3"/>
  <c r="AB41" i="3"/>
  <c r="AD41" i="3"/>
  <c r="AS85" i="3" s="1"/>
  <c r="AA42" i="3"/>
  <c r="AP77" i="1"/>
  <c r="BS154" i="1"/>
  <c r="BL75" i="1"/>
  <c r="BJ75" i="1"/>
  <c r="BQ154" i="1"/>
  <c r="BR154" i="1"/>
  <c r="BK75" i="1"/>
  <c r="AX34" i="1"/>
  <c r="AY34" i="1"/>
  <c r="AZ34" i="1"/>
  <c r="BP155" i="1" s="1"/>
  <c r="AW35" i="1"/>
  <c r="BI76" i="1"/>
  <c r="AC34" i="1"/>
  <c r="AA35" i="1"/>
  <c r="AB34" i="1"/>
  <c r="AD34" i="1"/>
  <c r="AS78" i="1" s="1"/>
  <c r="AR77" i="1"/>
  <c r="AQ77" i="1"/>
  <c r="BP154" i="1"/>
  <c r="BG82" i="3" l="1"/>
  <c r="BN84" i="3"/>
  <c r="BI82" i="3"/>
  <c r="BP84" i="3"/>
  <c r="BM84" i="3"/>
  <c r="BF83" i="3"/>
  <c r="AW42" i="3"/>
  <c r="AZ41" i="3"/>
  <c r="AY41" i="3"/>
  <c r="AX41" i="3"/>
  <c r="BH82" i="3"/>
  <c r="BO84" i="3"/>
  <c r="AQ85" i="3"/>
  <c r="AB42" i="3"/>
  <c r="AD42" i="3"/>
  <c r="AS86" i="3" s="1"/>
  <c r="AA43" i="3"/>
  <c r="AC42" i="3"/>
  <c r="AR85" i="3"/>
  <c r="AP85" i="3"/>
  <c r="AQ78" i="1"/>
  <c r="AB35" i="1"/>
  <c r="AA36" i="1"/>
  <c r="AC35" i="1"/>
  <c r="AD35" i="1"/>
  <c r="AS79" i="1" s="1"/>
  <c r="AR78" i="1"/>
  <c r="AY35" i="1"/>
  <c r="AZ35" i="1"/>
  <c r="BP156" i="1" s="1"/>
  <c r="AX35" i="1"/>
  <c r="AW36" i="1"/>
  <c r="BI77" i="1"/>
  <c r="BL76" i="1"/>
  <c r="BS155" i="1"/>
  <c r="BR155" i="1"/>
  <c r="BK76" i="1"/>
  <c r="BQ155" i="1"/>
  <c r="BJ76" i="1"/>
  <c r="AP78" i="1"/>
  <c r="AQ86" i="3" l="1"/>
  <c r="AP86" i="3"/>
  <c r="AR86" i="3"/>
  <c r="BG83" i="3"/>
  <c r="BN85" i="3"/>
  <c r="BP85" i="3"/>
  <c r="BI83" i="3"/>
  <c r="AZ42" i="3"/>
  <c r="BM86" i="3" s="1"/>
  <c r="AY42" i="3"/>
  <c r="AX42" i="3"/>
  <c r="BF84" i="3"/>
  <c r="AW43" i="3"/>
  <c r="BH83" i="3"/>
  <c r="BO85" i="3"/>
  <c r="BM85" i="3"/>
  <c r="AA44" i="3"/>
  <c r="AC43" i="3"/>
  <c r="AD43" i="3"/>
  <c r="AS87" i="3" s="1"/>
  <c r="AB43" i="3"/>
  <c r="AX36" i="1"/>
  <c r="AY36" i="1"/>
  <c r="AZ36" i="1"/>
  <c r="BP157" i="1" s="1"/>
  <c r="AW37" i="1"/>
  <c r="BI78" i="1"/>
  <c r="BQ156" i="1"/>
  <c r="BJ77" i="1"/>
  <c r="BS156" i="1"/>
  <c r="BL77" i="1"/>
  <c r="BR156" i="1"/>
  <c r="BK77" i="1"/>
  <c r="AP79" i="1"/>
  <c r="AR79" i="1"/>
  <c r="AD36" i="1"/>
  <c r="AS80" i="1" s="1"/>
  <c r="AA37" i="1"/>
  <c r="AB36" i="1"/>
  <c r="AC36" i="1"/>
  <c r="AQ79" i="1"/>
  <c r="AQ87" i="3" l="1"/>
  <c r="AR87" i="3"/>
  <c r="AP87" i="3"/>
  <c r="AC44" i="3"/>
  <c r="AB44" i="3"/>
  <c r="AA45" i="3"/>
  <c r="AD44" i="3"/>
  <c r="AS88" i="3" s="1"/>
  <c r="BG84" i="3"/>
  <c r="BN86" i="3"/>
  <c r="BF85" i="3"/>
  <c r="AZ43" i="3"/>
  <c r="BM87" i="3" s="1"/>
  <c r="AY43" i="3"/>
  <c r="AX43" i="3"/>
  <c r="AW44" i="3"/>
  <c r="BH84" i="3"/>
  <c r="BO86" i="3"/>
  <c r="BI84" i="3"/>
  <c r="BP86" i="3"/>
  <c r="AB37" i="1"/>
  <c r="AC37" i="1"/>
  <c r="AA38" i="1"/>
  <c r="AD37" i="1"/>
  <c r="AS81" i="1" s="1"/>
  <c r="AX37" i="1"/>
  <c r="AY37" i="1"/>
  <c r="AZ37" i="1"/>
  <c r="BP158" i="1" s="1"/>
  <c r="AW38" i="1"/>
  <c r="BI79" i="1"/>
  <c r="AP80" i="1"/>
  <c r="BL78" i="1"/>
  <c r="BS157" i="1"/>
  <c r="AR80" i="1"/>
  <c r="BK78" i="1"/>
  <c r="BR157" i="1"/>
  <c r="AQ80" i="1"/>
  <c r="BJ78" i="1"/>
  <c r="BQ157" i="1"/>
  <c r="BF86" i="3" l="1"/>
  <c r="AW45" i="3"/>
  <c r="AY44" i="3"/>
  <c r="AZ44" i="3"/>
  <c r="BM88" i="3" s="1"/>
  <c r="AX44" i="3"/>
  <c r="BH85" i="3"/>
  <c r="BO87" i="3"/>
  <c r="BG85" i="3"/>
  <c r="BN87" i="3"/>
  <c r="BP87" i="3"/>
  <c r="BI85" i="3"/>
  <c r="AR88" i="3"/>
  <c r="AD45" i="3"/>
  <c r="AS89" i="3" s="1"/>
  <c r="AC45" i="3"/>
  <c r="AB45" i="3"/>
  <c r="AA46" i="3"/>
  <c r="AQ88" i="3"/>
  <c r="AP88" i="3"/>
  <c r="AZ38" i="1"/>
  <c r="BP159" i="1" s="1"/>
  <c r="AW39" i="1"/>
  <c r="AX38" i="1"/>
  <c r="AY38" i="1"/>
  <c r="BI80" i="1"/>
  <c r="BS158" i="1"/>
  <c r="BL79" i="1"/>
  <c r="BR158" i="1"/>
  <c r="BK79" i="1"/>
  <c r="BQ158" i="1"/>
  <c r="BJ79" i="1"/>
  <c r="AP81" i="1"/>
  <c r="AC38" i="1"/>
  <c r="AB38" i="1"/>
  <c r="AD38" i="1"/>
  <c r="AS82" i="1" s="1"/>
  <c r="AA39" i="1"/>
  <c r="AR81" i="1"/>
  <c r="AQ81" i="1"/>
  <c r="AR89" i="3" l="1"/>
  <c r="AP89" i="3"/>
  <c r="BH86" i="3"/>
  <c r="BO88" i="3"/>
  <c r="BG86" i="3"/>
  <c r="BN88" i="3"/>
  <c r="AD46" i="3"/>
  <c r="AS90" i="3" s="1"/>
  <c r="AC46" i="3"/>
  <c r="AB46" i="3"/>
  <c r="AA47" i="3"/>
  <c r="BP88" i="3"/>
  <c r="BI86" i="3"/>
  <c r="BF87" i="3"/>
  <c r="AW46" i="3"/>
  <c r="AZ45" i="3"/>
  <c r="BM89" i="3" s="1"/>
  <c r="AY45" i="3"/>
  <c r="AX45" i="3"/>
  <c r="AQ89" i="3"/>
  <c r="AQ82" i="1"/>
  <c r="AR82" i="1"/>
  <c r="BR159" i="1"/>
  <c r="BK80" i="1"/>
  <c r="BQ159" i="1"/>
  <c r="BJ80" i="1"/>
  <c r="AP82" i="1"/>
  <c r="AZ39" i="1"/>
  <c r="BP160" i="1" s="1"/>
  <c r="AX39" i="1"/>
  <c r="AY39" i="1"/>
  <c r="AW40" i="1"/>
  <c r="BI81" i="1"/>
  <c r="AB39" i="1"/>
  <c r="AC39" i="1"/>
  <c r="AD39" i="1"/>
  <c r="AS83" i="1" s="1"/>
  <c r="AA40" i="1"/>
  <c r="BL80" i="1"/>
  <c r="BS159" i="1"/>
  <c r="AR90" i="3" l="1"/>
  <c r="AP90" i="3"/>
  <c r="AD47" i="3"/>
  <c r="AS91" i="3" s="1"/>
  <c r="AC47" i="3"/>
  <c r="AB47" i="3"/>
  <c r="AQ91" i="3" s="1"/>
  <c r="AA48" i="3"/>
  <c r="BF88" i="3"/>
  <c r="AX46" i="3"/>
  <c r="AW47" i="3"/>
  <c r="AZ46" i="3"/>
  <c r="AY46" i="3"/>
  <c r="AQ90" i="3"/>
  <c r="BI87" i="3"/>
  <c r="BP89" i="3"/>
  <c r="BG87" i="3"/>
  <c r="BN89" i="3"/>
  <c r="BH87" i="3"/>
  <c r="BO89" i="3"/>
  <c r="AR83" i="1"/>
  <c r="AQ83" i="1"/>
  <c r="AX40" i="1"/>
  <c r="AW41" i="1"/>
  <c r="AY40" i="1"/>
  <c r="AZ40" i="1"/>
  <c r="BP161" i="1" s="1"/>
  <c r="BI82" i="1"/>
  <c r="BR160" i="1"/>
  <c r="BK81" i="1"/>
  <c r="BJ81" i="1"/>
  <c r="BQ160" i="1"/>
  <c r="BS160" i="1"/>
  <c r="BL81" i="1"/>
  <c r="AP83" i="1"/>
  <c r="AA41" i="1"/>
  <c r="AB40" i="1"/>
  <c r="AC40" i="1"/>
  <c r="AD40" i="1"/>
  <c r="AS84" i="1" s="1"/>
  <c r="AR91" i="3" l="1"/>
  <c r="BI88" i="3"/>
  <c r="BP90" i="3"/>
  <c r="BH88" i="3"/>
  <c r="BO90" i="3"/>
  <c r="BM90" i="3"/>
  <c r="BF89" i="3"/>
  <c r="AZ47" i="3"/>
  <c r="AY47" i="3"/>
  <c r="AX47" i="3"/>
  <c r="AW48" i="3"/>
  <c r="BG88" i="3"/>
  <c r="BN90" i="3"/>
  <c r="AA49" i="3"/>
  <c r="AD48" i="3"/>
  <c r="AS92" i="3" s="1"/>
  <c r="AC48" i="3"/>
  <c r="AB48" i="3"/>
  <c r="AP91" i="3"/>
  <c r="AR84" i="1"/>
  <c r="AQ84" i="1"/>
  <c r="AB41" i="1"/>
  <c r="AC41" i="1"/>
  <c r="AD41" i="1"/>
  <c r="AS85" i="1" s="1"/>
  <c r="AA42" i="1"/>
  <c r="BL82" i="1"/>
  <c r="BS161" i="1"/>
  <c r="BR161" i="1"/>
  <c r="BK82" i="1"/>
  <c r="AP84" i="1"/>
  <c r="AX41" i="1"/>
  <c r="AW42" i="1"/>
  <c r="AY41" i="1"/>
  <c r="AZ41" i="1"/>
  <c r="BI83" i="1"/>
  <c r="BJ82" i="1"/>
  <c r="BQ161" i="1"/>
  <c r="AP92" i="3" l="1"/>
  <c r="BH89" i="3"/>
  <c r="BO91" i="3"/>
  <c r="BP91" i="3"/>
  <c r="BI89" i="3"/>
  <c r="BM91" i="3"/>
  <c r="AD49" i="3"/>
  <c r="AS93" i="3" s="1"/>
  <c r="AC49" i="3"/>
  <c r="AB49" i="3"/>
  <c r="AA50" i="3"/>
  <c r="BF90" i="3"/>
  <c r="AZ48" i="3"/>
  <c r="BM92" i="3" s="1"/>
  <c r="AY48" i="3"/>
  <c r="AX48" i="3"/>
  <c r="AW49" i="3"/>
  <c r="AQ92" i="3"/>
  <c r="BG89" i="3"/>
  <c r="BN91" i="3"/>
  <c r="AR92" i="3"/>
  <c r="AP85" i="1"/>
  <c r="BR162" i="1"/>
  <c r="BK83" i="1"/>
  <c r="AZ42" i="1"/>
  <c r="BS163" i="1" s="1"/>
  <c r="AX42" i="1"/>
  <c r="AY42" i="1"/>
  <c r="AW43" i="1"/>
  <c r="BI84" i="1"/>
  <c r="BQ162" i="1"/>
  <c r="BJ83" i="1"/>
  <c r="AA43" i="1"/>
  <c r="AB42" i="1"/>
  <c r="AC42" i="1"/>
  <c r="AD42" i="1"/>
  <c r="AS86" i="1" s="1"/>
  <c r="AR85" i="1"/>
  <c r="BS162" i="1"/>
  <c r="BL83" i="1"/>
  <c r="AQ85" i="1"/>
  <c r="BP162" i="1"/>
  <c r="AR93" i="3" l="1"/>
  <c r="BQ163" i="1"/>
  <c r="BR163" i="1"/>
  <c r="BP163" i="1"/>
  <c r="AP93" i="3"/>
  <c r="AQ93" i="3"/>
  <c r="AC50" i="3"/>
  <c r="AB50" i="3"/>
  <c r="AD50" i="3"/>
  <c r="AS94" i="3" s="1"/>
  <c r="AA51" i="3"/>
  <c r="BH90" i="3"/>
  <c r="BO92" i="3"/>
  <c r="BP92" i="3"/>
  <c r="BI90" i="3"/>
  <c r="BG90" i="3"/>
  <c r="BN92" i="3"/>
  <c r="BF91" i="3"/>
  <c r="AW50" i="3"/>
  <c r="AZ49" i="3"/>
  <c r="AY49" i="3"/>
  <c r="AX49" i="3"/>
  <c r="AP86" i="1"/>
  <c r="AR86" i="1"/>
  <c r="AQ86" i="1"/>
  <c r="AB43" i="1"/>
  <c r="AC43" i="1"/>
  <c r="AD43" i="1"/>
  <c r="AS87" i="1" s="1"/>
  <c r="AA44" i="1"/>
  <c r="AX43" i="1"/>
  <c r="AW44" i="1"/>
  <c r="AZ43" i="1"/>
  <c r="BP164" i="1" s="1"/>
  <c r="AY43" i="1"/>
  <c r="BI85" i="1"/>
  <c r="BK84" i="1"/>
  <c r="BJ84" i="1"/>
  <c r="BL84" i="1"/>
  <c r="BF92" i="3" l="1"/>
  <c r="AX50" i="3"/>
  <c r="AZ50" i="3"/>
  <c r="AW51" i="3"/>
  <c r="AY50" i="3"/>
  <c r="BO93" i="3"/>
  <c r="BH91" i="3"/>
  <c r="BP93" i="3"/>
  <c r="BI91" i="3"/>
  <c r="BM93" i="3"/>
  <c r="AQ94" i="3"/>
  <c r="AD51" i="3"/>
  <c r="AS95" i="3" s="1"/>
  <c r="AC51" i="3"/>
  <c r="AA52" i="3"/>
  <c r="AB51" i="3"/>
  <c r="AR94" i="3"/>
  <c r="BG91" i="3"/>
  <c r="BN93" i="3"/>
  <c r="AP94" i="3"/>
  <c r="AP87" i="1"/>
  <c r="BK85" i="1"/>
  <c r="BR164" i="1"/>
  <c r="BS164" i="1"/>
  <c r="BL85" i="1"/>
  <c r="AW45" i="1"/>
  <c r="AY44" i="1"/>
  <c r="AX44" i="1"/>
  <c r="AZ44" i="1"/>
  <c r="BP165" i="1" s="1"/>
  <c r="BI86" i="1"/>
  <c r="BQ164" i="1"/>
  <c r="BJ85" i="1"/>
  <c r="AA45" i="1"/>
  <c r="AB44" i="1"/>
  <c r="AC44" i="1"/>
  <c r="AD44" i="1"/>
  <c r="AS88" i="1" s="1"/>
  <c r="AR87" i="1"/>
  <c r="AQ87" i="1"/>
  <c r="AR95" i="3" l="1"/>
  <c r="BO94" i="3"/>
  <c r="BH92" i="3"/>
  <c r="AA53" i="3"/>
  <c r="AD52" i="3"/>
  <c r="AS96" i="3" s="1"/>
  <c r="AC52" i="3"/>
  <c r="AB52" i="3"/>
  <c r="AQ96" i="3" s="1"/>
  <c r="AP95" i="3"/>
  <c r="AW52" i="3"/>
  <c r="AY51" i="3"/>
  <c r="BF93" i="3"/>
  <c r="AZ51" i="3"/>
  <c r="BM95" i="3" s="1"/>
  <c r="AX51" i="3"/>
  <c r="BN94" i="3"/>
  <c r="BG92" i="3"/>
  <c r="BP94" i="3"/>
  <c r="BI92" i="3"/>
  <c r="BM94" i="3"/>
  <c r="AQ95" i="3"/>
  <c r="AR88" i="1"/>
  <c r="AQ88" i="1"/>
  <c r="AD45" i="1"/>
  <c r="AS89" i="1" s="1"/>
  <c r="AA46" i="1"/>
  <c r="AB45" i="1"/>
  <c r="AC45" i="1"/>
  <c r="AR89" i="1" s="1"/>
  <c r="AP89" i="1"/>
  <c r="BS165" i="1"/>
  <c r="BL86" i="1"/>
  <c r="BJ86" i="1"/>
  <c r="BQ165" i="1"/>
  <c r="BR165" i="1"/>
  <c r="BK86" i="1"/>
  <c r="AZ45" i="1"/>
  <c r="AW46" i="1"/>
  <c r="AX45" i="1"/>
  <c r="AY45" i="1"/>
  <c r="BI87" i="1"/>
  <c r="AP88" i="1"/>
  <c r="AR96" i="3" l="1"/>
  <c r="AQ89" i="1"/>
  <c r="BF94" i="3"/>
  <c r="AW53" i="3"/>
  <c r="AX52" i="3"/>
  <c r="AY52" i="3"/>
  <c r="AZ52" i="3"/>
  <c r="BI93" i="3"/>
  <c r="BP95" i="3"/>
  <c r="BN95" i="3"/>
  <c r="BG93" i="3"/>
  <c r="AB53" i="3"/>
  <c r="AC53" i="3"/>
  <c r="AA54" i="3"/>
  <c r="AD53" i="3"/>
  <c r="AS97" i="3" s="1"/>
  <c r="AP96" i="3"/>
  <c r="BH93" i="3"/>
  <c r="BO95" i="3"/>
  <c r="BQ166" i="1"/>
  <c r="BJ87" i="1"/>
  <c r="AX46" i="1"/>
  <c r="AY46" i="1"/>
  <c r="AZ46" i="1"/>
  <c r="BP167" i="1" s="1"/>
  <c r="AW47" i="1"/>
  <c r="BI88" i="1"/>
  <c r="BL87" i="1"/>
  <c r="BS166" i="1"/>
  <c r="AB46" i="1"/>
  <c r="AC46" i="1"/>
  <c r="AD46" i="1"/>
  <c r="AS90" i="1" s="1"/>
  <c r="AA47" i="1"/>
  <c r="BP166" i="1"/>
  <c r="BK87" i="1"/>
  <c r="BR166" i="1"/>
  <c r="AC54" i="3" l="1"/>
  <c r="AB54" i="3"/>
  <c r="AA55" i="3"/>
  <c r="AD54" i="3"/>
  <c r="AS98" i="3" s="1"/>
  <c r="AR97" i="3"/>
  <c r="AP97" i="3"/>
  <c r="AQ97" i="3"/>
  <c r="BO96" i="3"/>
  <c r="BH94" i="3"/>
  <c r="BG94" i="3"/>
  <c r="BN96" i="3"/>
  <c r="BP96" i="3"/>
  <c r="BI94" i="3"/>
  <c r="BF95" i="3"/>
  <c r="AZ53" i="3"/>
  <c r="BM97" i="3" s="1"/>
  <c r="AW54" i="3"/>
  <c r="AY53" i="3"/>
  <c r="AX53" i="3"/>
  <c r="BM96" i="3"/>
  <c r="AP90" i="1"/>
  <c r="AR90" i="1"/>
  <c r="AB47" i="1"/>
  <c r="AC47" i="1"/>
  <c r="AD47" i="1"/>
  <c r="AS91" i="1" s="1"/>
  <c r="AA48" i="1"/>
  <c r="AQ90" i="1"/>
  <c r="AW48" i="1"/>
  <c r="AX47" i="1"/>
  <c r="AY47" i="1"/>
  <c r="AZ47" i="1"/>
  <c r="BP168" i="1" s="1"/>
  <c r="BI89" i="1"/>
  <c r="BL88" i="1"/>
  <c r="BS167" i="1"/>
  <c r="BK88" i="1"/>
  <c r="BR167" i="1"/>
  <c r="BQ167" i="1"/>
  <c r="BJ88" i="1"/>
  <c r="BN97" i="3" l="1"/>
  <c r="BG95" i="3"/>
  <c r="BO97" i="3"/>
  <c r="BH95" i="3"/>
  <c r="AP98" i="3"/>
  <c r="AA56" i="3"/>
  <c r="AD55" i="3"/>
  <c r="AS99" i="3" s="1"/>
  <c r="AC55" i="3"/>
  <c r="AB55" i="3"/>
  <c r="AX54" i="3"/>
  <c r="AZ54" i="3"/>
  <c r="BM98" i="3" s="1"/>
  <c r="AY54" i="3"/>
  <c r="BF96" i="3"/>
  <c r="AW55" i="3"/>
  <c r="AQ98" i="3"/>
  <c r="BP97" i="3"/>
  <c r="BI95" i="3"/>
  <c r="AR98" i="3"/>
  <c r="AP91" i="1"/>
  <c r="BS168" i="1"/>
  <c r="BL89" i="1"/>
  <c r="BK89" i="1"/>
  <c r="BR168" i="1"/>
  <c r="BJ89" i="1"/>
  <c r="BQ168" i="1"/>
  <c r="AX48" i="1"/>
  <c r="AZ48" i="1"/>
  <c r="BS169" i="1" s="1"/>
  <c r="AY48" i="1"/>
  <c r="AW49" i="1"/>
  <c r="BI90" i="1"/>
  <c r="AA49" i="1"/>
  <c r="AB48" i="1"/>
  <c r="AC48" i="1"/>
  <c r="AD48" i="1"/>
  <c r="AS92" i="1" s="1"/>
  <c r="AR91" i="1"/>
  <c r="AQ91" i="1"/>
  <c r="AR99" i="3" l="1"/>
  <c r="BR169" i="1"/>
  <c r="BQ169" i="1"/>
  <c r="BP169" i="1"/>
  <c r="AQ99" i="3"/>
  <c r="BO98" i="3"/>
  <c r="BH96" i="3"/>
  <c r="AP99" i="3"/>
  <c r="BN98" i="3"/>
  <c r="BG96" i="3"/>
  <c r="BF97" i="3"/>
  <c r="AW56" i="3"/>
  <c r="AZ55" i="3"/>
  <c r="AX55" i="3"/>
  <c r="AY55" i="3"/>
  <c r="AD56" i="3"/>
  <c r="AC56" i="3"/>
  <c r="AB56" i="3"/>
  <c r="BI96" i="3"/>
  <c r="BP98" i="3"/>
  <c r="AR92" i="1"/>
  <c r="AQ92" i="1"/>
  <c r="AC49" i="1"/>
  <c r="AB49" i="1"/>
  <c r="AA50" i="1"/>
  <c r="AD49" i="1"/>
  <c r="AS93" i="1" s="1"/>
  <c r="AX49" i="1"/>
  <c r="AY49" i="1"/>
  <c r="AZ49" i="1"/>
  <c r="BP170" i="1" s="1"/>
  <c r="AW50" i="1"/>
  <c r="BI91" i="1"/>
  <c r="BK90" i="1"/>
  <c r="BL90" i="1"/>
  <c r="BJ90" i="1"/>
  <c r="AP92" i="1"/>
  <c r="AR100" i="3" l="1"/>
  <c r="AQ100" i="3"/>
  <c r="BP99" i="3"/>
  <c r="BI97" i="3"/>
  <c r="AS100" i="3"/>
  <c r="AG7" i="3"/>
  <c r="AG12" i="3"/>
  <c r="AG9" i="3"/>
  <c r="AG10" i="3"/>
  <c r="AG13" i="3"/>
  <c r="AG6" i="3"/>
  <c r="AG14" i="3"/>
  <c r="AG11" i="3"/>
  <c r="AG5" i="3"/>
  <c r="AG8" i="3"/>
  <c r="BH97" i="3"/>
  <c r="BO99" i="3"/>
  <c r="BG97" i="3"/>
  <c r="BN99" i="3"/>
  <c r="BM99" i="3"/>
  <c r="AP100" i="3"/>
  <c r="BF98" i="3"/>
  <c r="AY56" i="3"/>
  <c r="AZ56" i="3"/>
  <c r="AX56" i="3"/>
  <c r="AW57" i="3"/>
  <c r="AP93" i="1"/>
  <c r="AW51" i="1"/>
  <c r="AY50" i="1"/>
  <c r="AX50" i="1"/>
  <c r="AZ50" i="1"/>
  <c r="BP171" i="1" s="1"/>
  <c r="BI92" i="1"/>
  <c r="BL91" i="1"/>
  <c r="BS170" i="1"/>
  <c r="BK91" i="1"/>
  <c r="BR170" i="1"/>
  <c r="BJ91" i="1"/>
  <c r="BQ170" i="1"/>
  <c r="AC50" i="1"/>
  <c r="AB50" i="1"/>
  <c r="AD50" i="1"/>
  <c r="AS94" i="1" s="1"/>
  <c r="AA51" i="1"/>
  <c r="AQ93" i="1"/>
  <c r="AR93" i="1"/>
  <c r="BF99" i="3" l="1"/>
  <c r="AZ57" i="3"/>
  <c r="AY57" i="3"/>
  <c r="AX57" i="3"/>
  <c r="AG15" i="3"/>
  <c r="BI98" i="3"/>
  <c r="BP100" i="3"/>
  <c r="BH98" i="3"/>
  <c r="BO100" i="3"/>
  <c r="BG98" i="3"/>
  <c r="BN100" i="3"/>
  <c r="BM100" i="3"/>
  <c r="AC51" i="1"/>
  <c r="AA52" i="1"/>
  <c r="AB51" i="1"/>
  <c r="AD51" i="1"/>
  <c r="AS95" i="1" s="1"/>
  <c r="AQ94" i="1"/>
  <c r="AR94" i="1"/>
  <c r="BS171" i="1"/>
  <c r="BL92" i="1"/>
  <c r="BQ171" i="1"/>
  <c r="BJ92" i="1"/>
  <c r="BK92" i="1"/>
  <c r="BR171" i="1"/>
  <c r="AP94" i="1"/>
  <c r="AY51" i="1"/>
  <c r="AX51" i="1"/>
  <c r="AZ51" i="1"/>
  <c r="BP172" i="1" s="1"/>
  <c r="AW52" i="1"/>
  <c r="BI93" i="1"/>
  <c r="BG99" i="3" l="1"/>
  <c r="BN101" i="3"/>
  <c r="BI99" i="3"/>
  <c r="BP101" i="3"/>
  <c r="BC8" i="3"/>
  <c r="BC15" i="3"/>
  <c r="BC9" i="3"/>
  <c r="BD7" i="3"/>
  <c r="BC6" i="3"/>
  <c r="BC7" i="3"/>
  <c r="BD10" i="3"/>
  <c r="BD5" i="3"/>
  <c r="BC11" i="3"/>
  <c r="BC13" i="3"/>
  <c r="BD11" i="3"/>
  <c r="BC10" i="3"/>
  <c r="BD8" i="3"/>
  <c r="BD15" i="3"/>
  <c r="BC12" i="3"/>
  <c r="BC14" i="3"/>
  <c r="BC16" i="3"/>
  <c r="BD13" i="3"/>
  <c r="BD6" i="3"/>
  <c r="BD9" i="3"/>
  <c r="BD14" i="3"/>
  <c r="BD12" i="3"/>
  <c r="BD16" i="3"/>
  <c r="BC5" i="3"/>
  <c r="BH99" i="3"/>
  <c r="BO101" i="3"/>
  <c r="BM101" i="3"/>
  <c r="BQ172" i="1"/>
  <c r="BJ93" i="1"/>
  <c r="BR172" i="1"/>
  <c r="BK93" i="1"/>
  <c r="AP95" i="1"/>
  <c r="AQ95" i="1"/>
  <c r="AW53" i="1"/>
  <c r="AX52" i="1"/>
  <c r="AZ52" i="1"/>
  <c r="BP173" i="1" s="1"/>
  <c r="AY52" i="1"/>
  <c r="BI94" i="1"/>
  <c r="AD52" i="1"/>
  <c r="AS96" i="1" s="1"/>
  <c r="AB52" i="1"/>
  <c r="AC52" i="1"/>
  <c r="AA53" i="1"/>
  <c r="BS172" i="1"/>
  <c r="BL93" i="1"/>
  <c r="AR95" i="1"/>
  <c r="AR96" i="1" l="1"/>
  <c r="BC17" i="3"/>
  <c r="AC53" i="1"/>
  <c r="AA54" i="1"/>
  <c r="AB53" i="1"/>
  <c r="AD53" i="1"/>
  <c r="AS97" i="1" s="1"/>
  <c r="AQ96" i="1"/>
  <c r="BR173" i="1"/>
  <c r="BK94" i="1"/>
  <c r="BS173" i="1"/>
  <c r="BL94" i="1"/>
  <c r="BQ173" i="1"/>
  <c r="BJ94" i="1"/>
  <c r="AX53" i="1"/>
  <c r="AY53" i="1"/>
  <c r="AW54" i="1"/>
  <c r="AZ53" i="1"/>
  <c r="BI95" i="1"/>
  <c r="AP96" i="1"/>
  <c r="AP97" i="1" l="1"/>
  <c r="BL95" i="1"/>
  <c r="BS174" i="1"/>
  <c r="AW55" i="1"/>
  <c r="AX54" i="1"/>
  <c r="AY54" i="1"/>
  <c r="AZ54" i="1"/>
  <c r="BP175" i="1" s="1"/>
  <c r="BI96" i="1"/>
  <c r="BK95" i="1"/>
  <c r="BR174" i="1"/>
  <c r="BQ174" i="1"/>
  <c r="BJ95" i="1"/>
  <c r="AQ97" i="1"/>
  <c r="AB54" i="1"/>
  <c r="AC54" i="1"/>
  <c r="AD54" i="1"/>
  <c r="AS98" i="1" s="1"/>
  <c r="AA55" i="1"/>
  <c r="BP174" i="1"/>
  <c r="AR97" i="1"/>
  <c r="AR98" i="1" l="1"/>
  <c r="AQ98" i="1"/>
  <c r="BS175" i="1"/>
  <c r="BL96" i="1"/>
  <c r="BR175" i="1"/>
  <c r="BK96" i="1"/>
  <c r="BQ175" i="1"/>
  <c r="BJ96" i="1"/>
  <c r="AX55" i="1"/>
  <c r="AY55" i="1"/>
  <c r="AW56" i="1"/>
  <c r="AZ55" i="1"/>
  <c r="BP176" i="1" s="1"/>
  <c r="BI97" i="1"/>
  <c r="AP98" i="1"/>
  <c r="AB55" i="1"/>
  <c r="AA56" i="1"/>
  <c r="AC55" i="1"/>
  <c r="AD55" i="1"/>
  <c r="AS99" i="1" s="1"/>
  <c r="AQ99" i="1" l="1"/>
  <c r="AR99" i="1"/>
  <c r="AB56" i="1"/>
  <c r="AC56" i="1"/>
  <c r="AD56" i="1"/>
  <c r="AP100" i="1" s="1"/>
  <c r="BS176" i="1"/>
  <c r="BL97" i="1"/>
  <c r="AW57" i="1"/>
  <c r="AX56" i="1"/>
  <c r="AY56" i="1"/>
  <c r="AZ56" i="1"/>
  <c r="BP177" i="1" s="1"/>
  <c r="BI98" i="1"/>
  <c r="BR176" i="1"/>
  <c r="BK97" i="1"/>
  <c r="BQ176" i="1"/>
  <c r="BJ97" i="1"/>
  <c r="AP99" i="1"/>
  <c r="BS177" i="1" l="1"/>
  <c r="BL98" i="1"/>
  <c r="BR177" i="1"/>
  <c r="BK98" i="1"/>
  <c r="BQ177" i="1"/>
  <c r="BJ98" i="1"/>
  <c r="AY57" i="1"/>
  <c r="AX57" i="1"/>
  <c r="AZ57" i="1"/>
  <c r="BI99" i="1"/>
  <c r="AS100" i="1"/>
  <c r="AG6" i="1"/>
  <c r="AG13" i="1"/>
  <c r="AG10" i="1"/>
  <c r="AG12" i="1"/>
  <c r="AG11" i="1"/>
  <c r="AG14" i="1"/>
  <c r="AG9" i="1"/>
  <c r="AG7" i="1"/>
  <c r="AG5" i="1"/>
  <c r="AG8" i="1"/>
  <c r="AR100" i="1"/>
  <c r="AQ100" i="1"/>
  <c r="BF47" i="1" l="1"/>
  <c r="BC48" i="1"/>
  <c r="BD49" i="1"/>
  <c r="BF48" i="1"/>
  <c r="BC44" i="1"/>
  <c r="BC46" i="1"/>
  <c r="BE42" i="1"/>
  <c r="BG42" i="1" s="1"/>
  <c r="BC43" i="1"/>
  <c r="BF45" i="1"/>
  <c r="BC42" i="1"/>
  <c r="BE43" i="1"/>
  <c r="BG43" i="1" s="1"/>
  <c r="BF42" i="1"/>
  <c r="BF49" i="1"/>
  <c r="BD48" i="1"/>
  <c r="BF44" i="1"/>
  <c r="BE47" i="1"/>
  <c r="BG47" i="1" s="1"/>
  <c r="BD47" i="1"/>
  <c r="BF43" i="1"/>
  <c r="BE45" i="1"/>
  <c r="BG45" i="1" s="1"/>
  <c r="BF46" i="1"/>
  <c r="BD46" i="1"/>
  <c r="BC45" i="1"/>
  <c r="BE49" i="1"/>
  <c r="BG49" i="1" s="1"/>
  <c r="BC47" i="1"/>
  <c r="BE48" i="1"/>
  <c r="BG48" i="1" s="1"/>
  <c r="BE46" i="1"/>
  <c r="BG46" i="1" s="1"/>
  <c r="BE44" i="1"/>
  <c r="BG44" i="1" s="1"/>
  <c r="BD42" i="1"/>
  <c r="BD43" i="1"/>
  <c r="BD44" i="1"/>
  <c r="BD45" i="1"/>
  <c r="BC49" i="1"/>
  <c r="BP178" i="1"/>
  <c r="BC41" i="1"/>
  <c r="BE41" i="1"/>
  <c r="BG41" i="1" s="1"/>
  <c r="BF41" i="1"/>
  <c r="BD41" i="1"/>
  <c r="BL99" i="1"/>
  <c r="BS178" i="1"/>
  <c r="BD13" i="1"/>
  <c r="BC15" i="1"/>
  <c r="BC14" i="1"/>
  <c r="BD6" i="1"/>
  <c r="BD11" i="1"/>
  <c r="BD8" i="1"/>
  <c r="BC5" i="1"/>
  <c r="BC6" i="1"/>
  <c r="BD5" i="1"/>
  <c r="BC11" i="1"/>
  <c r="BD16" i="1"/>
  <c r="BC13" i="1"/>
  <c r="BC16" i="1"/>
  <c r="BC8" i="1"/>
  <c r="BC10" i="1"/>
  <c r="BD14" i="1"/>
  <c r="BD15" i="1"/>
  <c r="BC12" i="1"/>
  <c r="BD10" i="1"/>
  <c r="BC9" i="1"/>
  <c r="BD12" i="1"/>
  <c r="BD9" i="1"/>
  <c r="BC7" i="1"/>
  <c r="BJ99" i="1"/>
  <c r="BQ178" i="1"/>
  <c r="BK99" i="1"/>
  <c r="BR178" i="1"/>
  <c r="BD7" i="1"/>
  <c r="AG15" i="1"/>
  <c r="BC1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<sst xmlns="http://schemas.openxmlformats.org/spreadsheetml/2006/main" count="4295" uniqueCount="176">
  <si>
    <t>142m</t>
  </si>
  <si>
    <t>30/1/21 to 15/5/21</t>
  </si>
  <si>
    <t>Accelerated SL</t>
  </si>
  <si>
    <t>223m</t>
  </si>
  <si>
    <t>26/1/21 to 11/5/21</t>
  </si>
  <si>
    <t>Accelerated OZL</t>
  </si>
  <si>
    <t>143m</t>
  </si>
  <si>
    <t>10/10/20 to 23/1/21</t>
  </si>
  <si>
    <t>Normal SL</t>
  </si>
  <si>
    <t>122m</t>
  </si>
  <si>
    <t>6/10/20 to 19/1/21</t>
  </si>
  <si>
    <t>Normal OZL before</t>
  </si>
  <si>
    <t>Saturday Lotto</t>
  </si>
  <si>
    <t>Oz Lotto</t>
  </si>
  <si>
    <t>Premium</t>
  </si>
  <si>
    <t>Accelerated</t>
  </si>
  <si>
    <t>Normal</t>
  </si>
  <si>
    <t>Cumulative Jackpots ($m)</t>
  </si>
  <si>
    <t># Weeks</t>
  </si>
  <si>
    <t>To</t>
  </si>
  <si>
    <t>From</t>
  </si>
  <si>
    <t>Timeframe</t>
  </si>
  <si>
    <t>Cannibalisation Impact - 2nd Accelerated Sequence</t>
  </si>
  <si>
    <t>17/9/22 to 31/12/22</t>
  </si>
  <si>
    <t>D1 Prize</t>
  </si>
  <si>
    <t>Entries</t>
  </si>
  <si>
    <t>Draw date</t>
  </si>
  <si>
    <t>FY</t>
  </si>
  <si>
    <t>less than</t>
  </si>
  <si>
    <t>13/9/22 to 27/12/22</t>
  </si>
  <si>
    <t>28/5/22 to 10/9/22</t>
  </si>
  <si>
    <t>Cannibalisation Impact - 1st Accelerated Sequence</t>
  </si>
  <si>
    <t>Powerball entries during 2nd Accelerated Sequence (15/9/22 to 29/12/22; 16 weeks) &amp; Normal Sequence (16 weeks prior)</t>
  </si>
  <si>
    <t>FY19</t>
  </si>
  <si>
    <t>FY18</t>
  </si>
  <si>
    <t>FY22</t>
  </si>
  <si>
    <t>24/5/22 to 6/9/22</t>
  </si>
  <si>
    <t>FY23</t>
  </si>
  <si>
    <t>FY21</t>
  </si>
  <si>
    <t>FY20</t>
  </si>
  <si>
    <t>Normal OZL</t>
  </si>
  <si>
    <t>Jackpot</t>
  </si>
  <si>
    <t>#</t>
  </si>
  <si>
    <t>A2</t>
  </si>
  <si>
    <t>FY18 - Post Change</t>
  </si>
  <si>
    <t>N2</t>
  </si>
  <si>
    <t>Accelerated #2</t>
  </si>
  <si>
    <t>F1</t>
  </si>
  <si>
    <t>Last 6M</t>
  </si>
  <si>
    <t>A1</t>
  </si>
  <si>
    <t>N1</t>
  </si>
  <si>
    <t>Poly (^3)</t>
  </si>
  <si>
    <t>Last 12M</t>
  </si>
  <si>
    <t>^last 2 sequences were slow</t>
  </si>
  <si>
    <t>Accelerated #1</t>
  </si>
  <si>
    <t>FY18 - Pre Change</t>
  </si>
  <si>
    <t>OZL FY22 Game Change</t>
  </si>
  <si>
    <t>20 weeks</t>
  </si>
  <si>
    <t>Powerball entries during 1st Accelerated Sequence (28/1/21 to 11/5/21; 16 weeks) &amp; Normal Sequence (16 weeks prior)</t>
  </si>
  <si>
    <t>COVID</t>
  </si>
  <si>
    <t>2H25</t>
  </si>
  <si>
    <t>1H25</t>
  </si>
  <si>
    <t>speed up at the end</t>
  </si>
  <si>
    <t>2H24</t>
  </si>
  <si>
    <t>1H20 - slow sequence</t>
  </si>
  <si>
    <t>2 slow sequences in the middle</t>
  </si>
  <si>
    <t>Pre Change</t>
  </si>
  <si>
    <t>1H24</t>
  </si>
  <si>
    <t>1 minor slow down</t>
  </si>
  <si>
    <t>1H22</t>
  </si>
  <si>
    <t>1H21</t>
  </si>
  <si>
    <t>one sequence slower</t>
  </si>
  <si>
    <t>somewhat consistent</t>
  </si>
  <si>
    <t>1 faster 1 slower</t>
  </si>
  <si>
    <t>2H23</t>
  </si>
  <si>
    <t>1 minor speed up</t>
  </si>
  <si>
    <t>2H22</t>
  </si>
  <si>
    <t>2H20</t>
  </si>
  <si>
    <t>1H20</t>
  </si>
  <si>
    <t>2H19</t>
  </si>
  <si>
    <t>one sequence faster</t>
  </si>
  <si>
    <t>1H19</t>
  </si>
  <si>
    <t>2H18</t>
  </si>
  <si>
    <t>1H18</t>
  </si>
  <si>
    <t>fairly consistent</t>
  </si>
  <si>
    <t>1H23</t>
  </si>
  <si>
    <t>2H21</t>
  </si>
  <si>
    <t>Pre Game change - #2</t>
  </si>
  <si>
    <t>2H18 - Post Change</t>
  </si>
  <si>
    <t>FY21 - speed up</t>
  </si>
  <si>
    <t>Poly (^2)</t>
  </si>
  <si>
    <t>FY22 - 4m</t>
  </si>
  <si>
    <t>33 weeks</t>
  </si>
  <si>
    <t>could do</t>
  </si>
  <si>
    <t>last 2 sequences are faster</t>
  </si>
  <si>
    <t>2H22 - 4m</t>
  </si>
  <si>
    <t>to account for speedup</t>
  </si>
  <si>
    <t>ex 30</t>
  </si>
  <si>
    <t>do you account for speedup?</t>
  </si>
  <si>
    <t>used faster sequence</t>
  </si>
  <si>
    <t xml:space="preserve">very cons. </t>
  </si>
  <si>
    <t>tricky</t>
  </si>
  <si>
    <t>very consisitent exc 1st</t>
  </si>
  <si>
    <t>1H20 - fast sequence</t>
  </si>
  <si>
    <t>2H18 - Pre Change</t>
  </si>
  <si>
    <t>2H17</t>
  </si>
  <si>
    <t>Pre Game change - #1</t>
  </si>
  <si>
    <t>Total</t>
  </si>
  <si>
    <t>HY's</t>
  </si>
  <si>
    <t>Div 1 Combinations</t>
  </si>
  <si>
    <t>FY17</t>
  </si>
  <si>
    <t>FY22 - 3m</t>
  </si>
  <si>
    <t>FY25</t>
  </si>
  <si>
    <t>2H22 - 3m</t>
  </si>
  <si>
    <t>FY21 - adjusted</t>
  </si>
  <si>
    <t>FY24</t>
  </si>
  <si>
    <t>Price</t>
  </si>
  <si>
    <t>Linear</t>
  </si>
  <si>
    <t>FY's</t>
  </si>
  <si>
    <t>Commission</t>
  </si>
  <si>
    <t>int</t>
  </si>
  <si>
    <t>x</t>
  </si>
  <si>
    <t>x^2</t>
  </si>
  <si>
    <t>Graphs</t>
  </si>
  <si>
    <t>Extrapolation</t>
  </si>
  <si>
    <t>Count</t>
  </si>
  <si>
    <t>Post GC</t>
  </si>
  <si>
    <t>Pre GC</t>
  </si>
  <si>
    <t>HY</t>
  </si>
  <si>
    <t>Extrapolation - ex 100m draws</t>
  </si>
  <si>
    <t>Average</t>
  </si>
  <si>
    <t>Div 1 Prize Rolling</t>
  </si>
  <si>
    <t>Sales</t>
  </si>
  <si>
    <t>A2 ref</t>
  </si>
  <si>
    <t>A1 ref</t>
  </si>
  <si>
    <t>L12M</t>
  </si>
  <si>
    <t>L6M</t>
  </si>
  <si>
    <t>FY ref</t>
  </si>
  <si>
    <t>Calendar</t>
  </si>
  <si>
    <t>Factors</t>
  </si>
  <si>
    <t>HY Backtesting</t>
  </si>
  <si>
    <t>FY Backtesting</t>
  </si>
  <si>
    <t>Accelerated Sequence</t>
  </si>
  <si>
    <t>Recent</t>
  </si>
  <si>
    <t>Index</t>
  </si>
  <si>
    <t>Sequence</t>
  </si>
  <si>
    <t>Pre Game Change</t>
  </si>
  <si>
    <t>Game Change</t>
  </si>
  <si>
    <t>2H20 - slow</t>
  </si>
  <si>
    <t>Pre Game change</t>
  </si>
  <si>
    <t>FY22 - 2m</t>
  </si>
  <si>
    <t>1H21 - normal</t>
  </si>
  <si>
    <t>2H22 - 2m</t>
  </si>
  <si>
    <t>1H18 - main</t>
  </si>
  <si>
    <t>1H20 - main</t>
  </si>
  <si>
    <t>2H21 - normal</t>
  </si>
  <si>
    <t>FY21 - main</t>
  </si>
  <si>
    <t>2H20 - fast</t>
  </si>
  <si>
    <t>clean</t>
  </si>
  <si>
    <t>clean ex 3m</t>
  </si>
  <si>
    <t>2H21 - fast</t>
  </si>
  <si>
    <t>1H21 - fast</t>
  </si>
  <si>
    <t>1H20 - slow</t>
  </si>
  <si>
    <t>1 slower</t>
  </si>
  <si>
    <t>1H18 - slow</t>
  </si>
  <si>
    <t>1 slower 1 faster</t>
  </si>
  <si>
    <t>some faster</t>
  </si>
  <si>
    <t>FY21 - fast</t>
  </si>
  <si>
    <t>X</t>
  </si>
  <si>
    <t>Since FY21</t>
  </si>
  <si>
    <t>HERE</t>
  </si>
  <si>
    <t>OLD</t>
  </si>
  <si>
    <t>Min</t>
  </si>
  <si>
    <t>Max</t>
  </si>
  <si>
    <t>FY24 - Base</t>
  </si>
  <si>
    <t>FY24 - Accelerated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</si>
</sst>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d\-mmm\-yy_);\(###0\);&quot;-  &quot;;&quot; &quot;@&quot; &quot;"/>
    <numFmt numFmtId="167" formatCode="_-* #,##0.0_-;\-* #,##0.0_-;_-* &quot;-&quot;??_-;_-@_-"/>
    <numFmt numFmtId="168" formatCode="\+0%;\-0%;\-"/>
    <numFmt numFmtId="169" formatCode="0.0000"/>
    <numFmt numFmtId="170" formatCode="0.0%"/>
    <numFmt numFmtId="171" formatCode="#,##0.0_);\(#,##0.0\)_);&quot;-  &quot;;&quot; &quot;@&quot; &quot;"/>
    <numFmt numFmtId="172" formatCode="###0_);\(###0\);&quot;-  &quot;;&quot; &quot;@&quot; &quot;"/>
    <numFmt numFmtId="173" formatCode="0.00%_);\(0.00%\)_);&quot;-  &quot;;&quot; &quot;@&quot; &quot;"/>
    <numFmt numFmtId="174" formatCode="#,##0.0000_);\(#,##0.0000\);&quot;-  &quot;;&quot; &quot;@&quot; &quot;"/>
    <numFmt numFmtId="175" formatCode="d\-mmm\-yyyy_);\(###0\);&quot;-  &quot;;&quot; &quot;@&quot; &quot;"/>
    <numFmt numFmtId="176" formatCode="#,##0.0000"/>
    <numFmt numFmtId="177" formatCode="_-* #,##0.000_-;\-* #,##0.00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6600"/>
      <name val="Calibri"/>
      <family val="2"/>
      <scheme val="minor"/>
    </font>
    <font>
      <sz val="10"/>
      <color rgb="FF7030A0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u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0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3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Protection="0">
      <alignment vertical="top"/>
    </xf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2" applyNumberFormat="0" applyFill="0" applyAlignment="0" applyProtection="0"/>
    <xf numFmtId="0" fontId="22" fillId="0" borderId="13" applyNumberFormat="0" applyFill="0" applyAlignment="0" applyProtection="0"/>
    <xf numFmtId="0" fontId="23" fillId="0" borderId="14" applyNumberFormat="0" applyFill="0" applyAlignment="0" applyProtection="0"/>
    <xf numFmtId="0" fontId="23" fillId="0" borderId="0" applyNumberFormat="0" applyFill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6" fillId="20" borderId="0" applyNumberFormat="0" applyBorder="0" applyAlignment="0" applyProtection="0"/>
    <xf numFmtId="0" fontId="27" fillId="21" borderId="15" applyNumberFormat="0" applyAlignment="0" applyProtection="0"/>
    <xf numFmtId="0" fontId="28" fillId="22" borderId="16" applyNumberFormat="0" applyAlignment="0" applyProtection="0"/>
    <xf numFmtId="0" fontId="29" fillId="22" borderId="15" applyNumberFormat="0" applyAlignment="0" applyProtection="0"/>
    <xf numFmtId="0" fontId="30" fillId="0" borderId="17" applyNumberFormat="0" applyFill="0" applyAlignment="0" applyProtection="0"/>
    <xf numFmtId="0" fontId="2" fillId="23" borderId="18" applyNumberFormat="0" applyAlignment="0" applyProtection="0"/>
    <xf numFmtId="0" fontId="31" fillId="0" borderId="0" applyNumberFormat="0" applyFill="0" applyBorder="0" applyAlignment="0" applyProtection="0"/>
    <xf numFmtId="0" fontId="1" fillId="24" borderId="19" applyNumberFormat="0" applyFont="0" applyAlignment="0" applyProtection="0"/>
    <xf numFmtId="0" fontId="32" fillId="0" borderId="0" applyNumberFormat="0" applyFill="0" applyBorder="0" applyAlignment="0" applyProtection="0"/>
    <xf numFmtId="0" fontId="3" fillId="0" borderId="20" applyNumberFormat="0" applyFill="0" applyAlignment="0" applyProtection="0"/>
    <xf numFmtId="0" fontId="3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3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3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3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Protection="0">
      <alignment vertical="top"/>
    </xf>
    <xf numFmtId="172" fontId="1" fillId="0" borderId="0" applyFont="0" applyFill="0" applyBorder="0" applyProtection="0">
      <alignment vertical="top"/>
    </xf>
    <xf numFmtId="43" fontId="1" fillId="0" borderId="0" applyFont="0" applyFill="0" applyBorder="0" applyAlignment="0" applyProtection="0"/>
    <xf numFmtId="173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5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3" fillId="28" borderId="0" applyNumberFormat="0" applyBorder="0" applyAlignment="0" applyProtection="0"/>
    <xf numFmtId="0" fontId="33" fillId="32" borderId="0" applyNumberFormat="0" applyBorder="0" applyAlignment="0" applyProtection="0"/>
    <xf numFmtId="0" fontId="33" fillId="36" borderId="0" applyNumberFormat="0" applyBorder="0" applyAlignment="0" applyProtection="0"/>
    <xf numFmtId="0" fontId="33" fillId="40" borderId="0" applyNumberFormat="0" applyBorder="0" applyAlignment="0" applyProtection="0"/>
    <xf numFmtId="0" fontId="33" fillId="44" borderId="0" applyNumberFormat="0" applyBorder="0" applyAlignment="0" applyProtection="0"/>
    <xf numFmtId="0" fontId="33" fillId="48" borderId="0" applyNumberFormat="0" applyBorder="0" applyAlignment="0" applyProtection="0"/>
    <xf numFmtId="0" fontId="37" fillId="20" borderId="0" applyNumberFormat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22" fontId="35" fillId="0" borderId="0"/>
    <xf numFmtId="0" fontId="38" fillId="0" borderId="0" applyFont="0" applyFill="0" applyBorder="0" applyProtection="0">
      <alignment vertical="top"/>
    </xf>
    <xf numFmtId="0" fontId="1" fillId="0" borderId="0"/>
    <xf numFmtId="0" fontId="35" fillId="0" borderId="0"/>
    <xf numFmtId="0" fontId="39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1" fontId="34" fillId="0" borderId="0" applyNumberFormat="0" applyFill="0" applyBorder="0" applyAlignment="0" applyProtection="0">
      <alignment vertical="top"/>
    </xf>
  </cellStyleXfs>
  <cellXfs count="12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Fill="1" applyAlignment="1">
      <alignment vertical="center"/>
    </xf>
    <xf numFmtId="166" fontId="6" fillId="0" borderId="0" xfId="2" applyFont="1" applyFill="1" applyAlignment="1">
      <alignment horizontal="center" vertical="top"/>
    </xf>
    <xf numFmtId="167" fontId="4" fillId="0" borderId="0" xfId="1" applyNumberFormat="1" applyFont="1" applyFill="1" applyAlignment="1">
      <alignment horizontal="center" vertical="center"/>
    </xf>
    <xf numFmtId="166" fontId="4" fillId="0" borderId="0" xfId="2" applyFont="1" applyFill="1" applyAlignment="1">
      <alignment horizontal="center" vertical="center"/>
    </xf>
    <xf numFmtId="167" fontId="4" fillId="0" borderId="0" xfId="1" applyNumberFormat="1" applyFont="1" applyFill="1" applyAlignment="1">
      <alignment horizontal="right" vertical="center"/>
    </xf>
    <xf numFmtId="165" fontId="4" fillId="0" borderId="0" xfId="1" applyNumberFormat="1" applyFont="1" applyFill="1" applyAlignment="1">
      <alignment horizontal="right" vertical="center"/>
    </xf>
    <xf numFmtId="165" fontId="4" fillId="0" borderId="0" xfId="1" applyNumberFormat="1" applyFont="1" applyFill="1" applyAlignment="1">
      <alignment vertical="center"/>
    </xf>
    <xf numFmtId="166" fontId="4" fillId="0" borderId="0" xfId="2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2" applyNumberFormat="1" applyFont="1" applyFill="1" applyAlignment="1">
      <alignment horizontal="center" vertical="center"/>
    </xf>
    <xf numFmtId="168" fontId="7" fillId="2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8" fontId="7" fillId="2" borderId="4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Continuous" vertical="center"/>
    </xf>
    <xf numFmtId="14" fontId="4" fillId="3" borderId="7" xfId="0" applyNumberFormat="1" applyFont="1" applyFill="1" applyBorder="1" applyAlignment="1">
      <alignment horizontal="centerContinuous" vertical="center"/>
    </xf>
    <xf numFmtId="0" fontId="8" fillId="3" borderId="8" xfId="0" applyFont="1" applyFill="1" applyBorder="1" applyAlignment="1">
      <alignment horizontal="centerContinuous" vertical="center"/>
    </xf>
    <xf numFmtId="0" fontId="8" fillId="0" borderId="4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8" fillId="3" borderId="4" xfId="0" applyFont="1" applyFill="1" applyBorder="1" applyAlignment="1">
      <alignment horizontal="centerContinuous" vertical="center"/>
    </xf>
    <xf numFmtId="14" fontId="4" fillId="3" borderId="0" xfId="0" applyNumberFormat="1" applyFont="1" applyFill="1" applyAlignment="1">
      <alignment horizontal="centerContinuous" vertical="center"/>
    </xf>
    <xf numFmtId="0" fontId="8" fillId="3" borderId="5" xfId="0" applyFont="1" applyFill="1" applyBorder="1" applyAlignment="1">
      <alignment horizontal="centerContinuous" vertical="center"/>
    </xf>
    <xf numFmtId="0" fontId="9" fillId="4" borderId="9" xfId="0" applyFont="1" applyFill="1" applyBorder="1" applyAlignment="1">
      <alignment horizontal="centerContinuous" vertical="center"/>
    </xf>
    <xf numFmtId="0" fontId="9" fillId="4" borderId="10" xfId="0" applyFont="1" applyFill="1" applyBorder="1" applyAlignment="1">
      <alignment horizontal="centerContinuous" vertical="center"/>
    </xf>
    <xf numFmtId="0" fontId="10" fillId="4" borderId="11" xfId="0" applyFont="1" applyFill="1" applyBorder="1" applyAlignment="1">
      <alignment horizontal="centerContinuous" vertical="center"/>
    </xf>
    <xf numFmtId="0" fontId="10" fillId="5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6" borderId="4" xfId="0" applyNumberFormat="1" applyFont="1" applyFill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65" fontId="7" fillId="0" borderId="0" xfId="3" applyNumberFormat="1" applyFont="1" applyFill="1" applyAlignment="1">
      <alignment horizontal="center"/>
    </xf>
    <xf numFmtId="165" fontId="13" fillId="0" borderId="0" xfId="1" applyNumberFormat="1" applyFont="1" applyFill="1" applyAlignment="1">
      <alignment horizontal="right" vertical="center"/>
    </xf>
    <xf numFmtId="165" fontId="13" fillId="0" borderId="0" xfId="1" applyNumberFormat="1" applyFont="1" applyFill="1" applyAlignment="1">
      <alignment vertical="center"/>
    </xf>
    <xf numFmtId="166" fontId="13" fillId="0" borderId="0" xfId="2" applyFont="1" applyFill="1" applyAlignment="1">
      <alignment horizontal="left" vertical="center"/>
    </xf>
    <xf numFmtId="3" fontId="4" fillId="0" borderId="0" xfId="2" applyNumberFormat="1" applyFont="1" applyFill="1" applyAlignment="1">
      <alignment horizontal="left" vertical="center"/>
    </xf>
    <xf numFmtId="3" fontId="4" fillId="0" borderId="0" xfId="2" applyNumberFormat="1" applyFont="1" applyFill="1" applyAlignment="1">
      <alignment horizontal="center" vertical="center"/>
    </xf>
    <xf numFmtId="165" fontId="4" fillId="0" borderId="0" xfId="1" applyNumberFormat="1" applyFont="1" applyFill="1" applyAlignment="1">
      <alignment horizontal="center" vertical="center"/>
    </xf>
    <xf numFmtId="3" fontId="4" fillId="0" borderId="0" xfId="2" applyNumberFormat="1" applyFont="1" applyAlignment="1">
      <alignment horizontal="center" vertical="top"/>
    </xf>
    <xf numFmtId="166" fontId="4" fillId="0" borderId="0" xfId="2" applyFont="1" applyAlignment="1">
      <alignment horizontal="center" vertical="top"/>
    </xf>
    <xf numFmtId="0" fontId="14" fillId="0" borderId="2" xfId="0" applyFont="1" applyBorder="1" applyAlignment="1">
      <alignment horizontal="centerContinuous" vertical="center"/>
    </xf>
    <xf numFmtId="166" fontId="11" fillId="0" borderId="0" xfId="2" applyFont="1" applyAlignment="1">
      <alignment horizontal="center" vertical="top"/>
    </xf>
    <xf numFmtId="2" fontId="9" fillId="7" borderId="0" xfId="0" applyNumberFormat="1" applyFont="1" applyFill="1" applyAlignment="1">
      <alignment horizontal="centerContinuous" vertical="center"/>
    </xf>
    <xf numFmtId="2" fontId="10" fillId="7" borderId="0" xfId="0" applyNumberFormat="1" applyFont="1" applyFill="1" applyAlignment="1">
      <alignment horizontal="centerContinuous" vertical="center"/>
    </xf>
    <xf numFmtId="0" fontId="11" fillId="0" borderId="0" xfId="0" applyFont="1" applyAlignment="1">
      <alignment vertical="center"/>
    </xf>
    <xf numFmtId="0" fontId="15" fillId="5" borderId="0" xfId="0" applyFont="1" applyFill="1" applyAlignment="1">
      <alignment horizontal="centerContinuous" vertical="center"/>
    </xf>
    <xf numFmtId="0" fontId="16" fillId="5" borderId="0" xfId="0" applyFont="1" applyFill="1" applyAlignment="1">
      <alignment horizontal="centerContinuous" vertical="center"/>
    </xf>
    <xf numFmtId="0" fontId="11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10" fontId="4" fillId="0" borderId="0" xfId="0" applyNumberFormat="1" applyFont="1" applyAlignment="1">
      <alignment vertical="center"/>
    </xf>
    <xf numFmtId="2" fontId="9" fillId="4" borderId="0" xfId="0" applyNumberFormat="1" applyFont="1" applyFill="1" applyAlignment="1">
      <alignment horizontal="centerContinuous" vertical="center"/>
    </xf>
    <xf numFmtId="2" fontId="10" fillId="4" borderId="0" xfId="0" applyNumberFormat="1" applyFont="1" applyFill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169" fontId="11" fillId="0" borderId="0" xfId="0" applyNumberFormat="1" applyFont="1" applyAlignment="1">
      <alignment horizontal="center" vertical="center"/>
    </xf>
    <xf numFmtId="4" fontId="11" fillId="0" borderId="0" xfId="2" applyNumberFormat="1" applyFont="1" applyAlignment="1">
      <alignment horizontal="center" vertical="top"/>
    </xf>
    <xf numFmtId="0" fontId="10" fillId="0" borderId="0" xfId="0" applyFont="1" applyAlignment="1">
      <alignment horizontal="centerContinuous" vertical="center"/>
    </xf>
    <xf numFmtId="2" fontId="9" fillId="0" borderId="0" xfId="0" applyNumberFormat="1" applyFont="1" applyAlignment="1">
      <alignment horizontal="centerContinuous" vertical="center"/>
    </xf>
    <xf numFmtId="0" fontId="8" fillId="0" borderId="0" xfId="0" applyFont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170" fontId="11" fillId="0" borderId="0" xfId="2" applyNumberFormat="1" applyFont="1" applyAlignment="1">
      <alignment horizontal="center" vertical="top"/>
    </xf>
    <xf numFmtId="0" fontId="4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7" fillId="0" borderId="0" xfId="0" applyFont="1" applyAlignment="1">
      <alignment vertical="top"/>
    </xf>
    <xf numFmtId="0" fontId="8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10" borderId="0" xfId="0" applyFont="1" applyFill="1" applyAlignment="1">
      <alignment horizontal="centerContinuous" vertical="center"/>
    </xf>
    <xf numFmtId="0" fontId="10" fillId="5" borderId="0" xfId="0" applyFont="1" applyFill="1" applyAlignment="1">
      <alignment horizontal="centerContinuous" vertical="center"/>
    </xf>
    <xf numFmtId="0" fontId="10" fillId="11" borderId="0" xfId="0" applyFont="1" applyFill="1" applyAlignment="1">
      <alignment horizontal="centerContinuous" vertical="center"/>
    </xf>
    <xf numFmtId="0" fontId="10" fillId="12" borderId="0" xfId="0" applyFont="1" applyFill="1" applyAlignment="1">
      <alignment horizontal="centerContinuous" vertical="center"/>
    </xf>
    <xf numFmtId="0" fontId="10" fillId="4" borderId="0" xfId="0" applyFont="1" applyFill="1" applyAlignment="1">
      <alignment horizontal="centerContinuous" vertical="center"/>
    </xf>
    <xf numFmtId="0" fontId="10" fillId="4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Continuous" vertical="top"/>
    </xf>
    <xf numFmtId="0" fontId="2" fillId="13" borderId="0" xfId="0" applyFont="1" applyFill="1" applyAlignment="1">
      <alignment horizontal="center" vertical="top"/>
    </xf>
    <xf numFmtId="0" fontId="8" fillId="0" borderId="0" xfId="0" applyFont="1" applyAlignment="1">
      <alignment vertical="center"/>
    </xf>
    <xf numFmtId="0" fontId="10" fillId="7" borderId="0" xfId="0" applyFont="1" applyFill="1" applyAlignment="1">
      <alignment horizontal="right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Continuous" vertical="center"/>
    </xf>
    <xf numFmtId="0" fontId="2" fillId="7" borderId="0" xfId="0" applyFont="1" applyFill="1" applyAlignment="1">
      <alignment horizontal="centerContinuous" vertical="center"/>
    </xf>
    <xf numFmtId="0" fontId="3" fillId="0" borderId="0" xfId="0" applyFont="1" applyAlignment="1">
      <alignment vertical="top"/>
    </xf>
    <xf numFmtId="0" fontId="10" fillId="14" borderId="0" xfId="0" applyFont="1" applyFill="1" applyAlignment="1">
      <alignment horizontal="centerContinuous" vertical="center"/>
    </xf>
    <xf numFmtId="0" fontId="4" fillId="0" borderId="2" xfId="0" applyFont="1" applyBorder="1" applyAlignment="1">
      <alignment vertical="center"/>
    </xf>
    <xf numFmtId="166" fontId="4" fillId="15" borderId="0" xfId="2" applyFont="1" applyFill="1" applyAlignment="1">
      <alignment horizontal="left" vertical="center"/>
    </xf>
    <xf numFmtId="165" fontId="4" fillId="15" borderId="0" xfId="1" applyNumberFormat="1" applyFont="1" applyFill="1" applyAlignment="1">
      <alignment vertical="center"/>
    </xf>
    <xf numFmtId="165" fontId="4" fillId="15" borderId="0" xfId="1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0" fontId="4" fillId="16" borderId="0" xfId="0" applyFont="1" applyFill="1" applyAlignment="1">
      <alignment vertical="center"/>
    </xf>
    <xf numFmtId="0" fontId="4" fillId="16" borderId="0" xfId="0" applyFont="1" applyFill="1" applyAlignment="1">
      <alignment horizontal="center" vertical="center"/>
    </xf>
    <xf numFmtId="165" fontId="6" fillId="0" borderId="0" xfId="3" applyNumberFormat="1" applyFont="1" applyFill="1" applyAlignment="1">
      <alignment vertical="center"/>
    </xf>
    <xf numFmtId="165" fontId="6" fillId="0" borderId="0" xfId="3" applyNumberFormat="1" applyFont="1" applyFill="1" applyAlignment="1">
      <alignment horizontal="right"/>
    </xf>
    <xf numFmtId="165" fontId="4" fillId="0" borderId="0" xfId="3" applyNumberFormat="1" applyFont="1" applyFill="1" applyAlignment="1">
      <alignment vertical="center"/>
    </xf>
    <xf numFmtId="165" fontId="4" fillId="0" borderId="0" xfId="3" applyNumberFormat="1" applyFont="1" applyFill="1" applyAlignment="1">
      <alignment horizontal="right" vertical="center"/>
    </xf>
    <xf numFmtId="165" fontId="4" fillId="0" borderId="0" xfId="3" applyNumberFormat="1" applyFont="1" applyFill="1" applyAlignment="1">
      <alignment horizontal="center" vertical="center"/>
    </xf>
    <xf numFmtId="167" fontId="4" fillId="0" borderId="0" xfId="3" applyNumberFormat="1" applyFont="1" applyFill="1" applyAlignment="1">
      <alignment horizontal="right" vertical="center"/>
    </xf>
    <xf numFmtId="165" fontId="13" fillId="0" borderId="0" xfId="3" applyNumberFormat="1" applyFont="1" applyFill="1" applyAlignment="1">
      <alignment vertical="center"/>
    </xf>
    <xf numFmtId="165" fontId="13" fillId="0" borderId="0" xfId="3" applyNumberFormat="1" applyFont="1" applyFill="1" applyAlignment="1">
      <alignment horizontal="right" vertical="center"/>
    </xf>
    <xf numFmtId="167" fontId="4" fillId="0" borderId="0" xfId="3" applyNumberFormat="1" applyFont="1" applyFill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right" vertical="center"/>
    </xf>
    <xf numFmtId="43" fontId="4" fillId="0" borderId="0" xfId="0" applyNumberFormat="1" applyFont="1" applyAlignment="1">
      <alignment vertical="center"/>
    </xf>
    <xf numFmtId="166" fontId="11" fillId="0" borderId="0" xfId="2" applyFont="1" applyFill="1" applyBorder="1" applyAlignment="1">
      <alignment horizontal="center" vertical="top"/>
    </xf>
    <xf numFmtId="166" fontId="11" fillId="0" borderId="0" xfId="2" applyFont="1" applyBorder="1" applyAlignment="1">
      <alignment horizontal="center" vertical="top"/>
    </xf>
    <xf numFmtId="170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4" fillId="0" borderId="0" xfId="1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</cellXfs>
  <cellStyles count="93">
    <cellStyle name="_Capital CSL template" xfId="83" xr:uid="{6B51DE98-A2C7-40D6-9621-E6924915046E}"/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1 2" xfId="71" xr:uid="{3750E226-3853-4220-A579-A3E10F8A0167}"/>
    <cellStyle name="60% - Accent2" xfId="28" builtinId="36" customBuiltin="1"/>
    <cellStyle name="60% - Accent2 2" xfId="72" xr:uid="{FAC63E5E-94C4-444B-A110-12D2F888BC56}"/>
    <cellStyle name="60% - Accent3" xfId="32" builtinId="40" customBuiltin="1"/>
    <cellStyle name="60% - Accent3 2" xfId="73" xr:uid="{FD90CDBD-81D3-4112-B29E-6DFB60F731CD}"/>
    <cellStyle name="60% - Accent4" xfId="36" builtinId="44" customBuiltin="1"/>
    <cellStyle name="60% - Accent4 2" xfId="74" xr:uid="{ED601ACF-162C-42A5-A183-EB18FD8992B9}"/>
    <cellStyle name="60% - Accent5" xfId="40" builtinId="48" customBuiltin="1"/>
    <cellStyle name="60% - Accent5 2" xfId="75" xr:uid="{6AE0C82A-87FE-4748-B8B6-A1564587CAE8}"/>
    <cellStyle name="60% - Accent6" xfId="44" builtinId="52" customBuiltin="1"/>
    <cellStyle name="60% - Accent6 2" xfId="76" xr:uid="{474C2B5B-B8BF-4D2E-BED3-E41956934B2C}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blp_datetime" xfId="80" xr:uid="{5E7755EA-7D0A-46E6-9899-7917717FF4BA}"/>
    <cellStyle name="Calculation" xfId="14" builtinId="22" customBuiltin="1"/>
    <cellStyle name="Check Cell" xfId="16" builtinId="23" customBuiltin="1"/>
    <cellStyle name="Comma" xfId="1" builtinId="3"/>
    <cellStyle name="Comma 2" xfId="48" xr:uid="{786BC547-71CB-4E2B-869D-B155CED59B88}"/>
    <cellStyle name="Comma 2 2" xfId="87" xr:uid="{F0982A84-EF69-415A-BF8C-0BEB0A9519BA}"/>
    <cellStyle name="Comma 3" xfId="3" xr:uid="{A503ABD0-644B-48E9-8C1F-B9D8E3FEAB3E}"/>
    <cellStyle name="Comma 3 2" xfId="89" xr:uid="{DF633CCC-9F35-4DB8-ACA1-A99F7EE97CF7}"/>
    <cellStyle name="Comma 3 3" xfId="69" xr:uid="{C50F232A-F79E-40E5-8C57-AED351880677}"/>
    <cellStyle name="Comma 3 4" xfId="52" xr:uid="{00008A5D-B0B1-467E-AE35-BA6B69AA7AF6}"/>
    <cellStyle name="Comma 4" xfId="85" xr:uid="{C1C2E853-F462-4E05-A74F-ED842FEB4565}"/>
    <cellStyle name="Comma 5" xfId="45" xr:uid="{8574F373-F024-4592-99B4-F7F3BBD1D3F6}"/>
    <cellStyle name="Currency 2" xfId="62" xr:uid="{DC915C3B-535C-49C8-923E-903E997A3F7F}"/>
    <cellStyle name="Currency 2 2" xfId="66" xr:uid="{F2025999-67E7-4A23-A544-7E19E4894260}"/>
    <cellStyle name="Currency 2 2 2" xfId="88" xr:uid="{2626A952-137C-4CCB-A23F-D287D3AD2053}"/>
    <cellStyle name="Currency 2 3" xfId="86" xr:uid="{1086FC47-429A-4306-9B78-4082FDBFBC05}"/>
    <cellStyle name="DateLong" xfId="59" xr:uid="{C092B95F-1045-4047-ACB6-BA2211152B00}"/>
    <cellStyle name="DateShort" xfId="2" xr:uid="{88E9220F-2EBF-448A-9285-EEC875A24E9D}"/>
    <cellStyle name="Explanatory Text" xfId="19" builtinId="53" customBuiltin="1"/>
    <cellStyle name="Factor" xfId="58" xr:uid="{080D66CA-9A38-468F-BA9C-7D8BCCECF0A2}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 2" xfId="63" xr:uid="{38C495B8-4AFA-4303-BD9F-6AB786A411F0}"/>
    <cellStyle name="Hyperlink 3" xfId="92" xr:uid="{F5ED4F48-83F6-475D-8642-9DD9DDD438C3}"/>
    <cellStyle name="Hyperlink 4" xfId="84" xr:uid="{E8E84F58-0611-4E35-9AB6-A27B2C64C70F}"/>
    <cellStyle name="Input" xfId="12" builtinId="20" customBuiltin="1"/>
    <cellStyle name="Linked Cell" xfId="15" builtinId="24" customBuiltin="1"/>
    <cellStyle name="Neutral" xfId="11" builtinId="28" customBuiltin="1"/>
    <cellStyle name="Neutral 2" xfId="77" xr:uid="{2A5D17AB-E1F1-456C-BD37-5C4DC48B824F}"/>
    <cellStyle name="Normal" xfId="0" builtinId="0"/>
    <cellStyle name="Normal 10" xfId="55" xr:uid="{DD870470-9FDD-40A7-8CB5-976E0067BB40}"/>
    <cellStyle name="Normal 11" xfId="90" xr:uid="{C7986055-74B1-4394-9A82-A5A9FA6154E3}"/>
    <cellStyle name="Normal 12" xfId="57" xr:uid="{4A5582DC-2CCE-4B7B-9472-9797EAB1CA4E}"/>
    <cellStyle name="Normal 13" xfId="91" xr:uid="{6863A491-411E-4075-B029-9591A2E0E6A7}"/>
    <cellStyle name="Normal 1351" xfId="49" xr:uid="{0F340E28-198C-4750-BF24-684A3B6EBC3E}"/>
    <cellStyle name="Normal 1352" xfId="65" xr:uid="{4A9AD8F2-937C-4EEE-BB48-274952519DD4}"/>
    <cellStyle name="Normal 2" xfId="47" xr:uid="{BC6986A4-C26A-4269-BF65-FE24EA02855F}"/>
    <cellStyle name="Normal 3" xfId="50" xr:uid="{3FC58354-24AC-48EE-8D8E-4F60B39FBA65}"/>
    <cellStyle name="Normal 3 2" xfId="64" xr:uid="{80E3CC64-BB86-40F4-8C70-6A49BA88F8BC}"/>
    <cellStyle name="Normal 3 3" xfId="68" xr:uid="{F63B628D-52D8-4AFE-9298-E897783CD89D}"/>
    <cellStyle name="Normal 34" xfId="67" xr:uid="{4B9CCF88-DE63-491A-AE11-CABC18951EB9}"/>
    <cellStyle name="Normal 4" xfId="70" xr:uid="{716E1752-154D-48DC-864E-B4D6348F5504}"/>
    <cellStyle name="Normal 5" xfId="78" xr:uid="{5FC1E689-A549-4CB4-86E2-24E7D2B5E453}"/>
    <cellStyle name="Normal 5 2" xfId="82" xr:uid="{69B0267B-154B-47AD-A040-97C76D922F4B}"/>
    <cellStyle name="Normal 6" xfId="54" xr:uid="{9AA7D556-CB11-4C2E-A062-FAB79E92786F}"/>
    <cellStyle name="Normal 7" xfId="81" xr:uid="{BCF730F2-B363-42EB-9FA0-B374734614D5}"/>
    <cellStyle name="Normal 8" xfId="60" xr:uid="{F54CFC4C-DD5D-4A84-8DBB-4B115225C9D4}"/>
    <cellStyle name="Normal 9" xfId="56" xr:uid="{C8ABEA62-79E8-48B5-A880-AA4FC4FD90B6}"/>
    <cellStyle name="Note" xfId="18" builtinId="10" customBuiltin="1"/>
    <cellStyle name="Output" xfId="13" builtinId="21" customBuiltin="1"/>
    <cellStyle name="Percent 2" xfId="53" xr:uid="{9CF2F9DD-7C45-4F0A-A9C6-3C5DD952D801}"/>
    <cellStyle name="Percent 2 2" xfId="61" xr:uid="{C7E9BC50-D4BF-4727-9597-558617093EAD}"/>
    <cellStyle name="Percent 3" xfId="46" xr:uid="{A3726241-FA14-4A35-8ED1-CEC073E69674}"/>
    <cellStyle name="Title" xfId="4" builtinId="15" customBuiltin="1"/>
    <cellStyle name="Title 2" xfId="79" xr:uid="{1E115A87-7DEC-4A35-91F1-ACBC614E13A5}"/>
    <cellStyle name="Total" xfId="20" builtinId="25" customBuiltin="1"/>
    <cellStyle name="Warning Text" xfId="17" builtinId="11" customBuiltin="1"/>
    <cellStyle name="Year" xfId="51" xr:uid="{F469E92A-B78C-4FF6-BEE3-5C88E312DF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Regression'!$EW$47:$EW$98</c:f>
              <c:numCache>
                <c:formatCode>_-* #,##0.0_-;\-* #,##0.0_-;_-* "-"??_-;_-@_-</c:formatCode>
                <c:ptCount val="52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  <c:pt idx="11">
                  <c:v>50</c:v>
                </c:pt>
                <c:pt idx="12">
                  <c:v>3</c:v>
                </c:pt>
                <c:pt idx="13">
                  <c:v>6</c:v>
                </c:pt>
                <c:pt idx="14">
                  <c:v>10</c:v>
                </c:pt>
                <c:pt idx="15">
                  <c:v>15</c:v>
                </c:pt>
                <c:pt idx="16">
                  <c:v>3</c:v>
                </c:pt>
                <c:pt idx="17">
                  <c:v>6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3</c:v>
                </c:pt>
                <c:pt idx="22">
                  <c:v>6</c:v>
                </c:pt>
                <c:pt idx="23">
                  <c:v>10</c:v>
                </c:pt>
                <c:pt idx="24">
                  <c:v>15</c:v>
                </c:pt>
                <c:pt idx="25">
                  <c:v>25</c:v>
                </c:pt>
                <c:pt idx="26">
                  <c:v>35</c:v>
                </c:pt>
                <c:pt idx="27">
                  <c:v>55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6</c:v>
                </c:pt>
                <c:pt idx="32">
                  <c:v>3</c:v>
                </c:pt>
                <c:pt idx="33">
                  <c:v>6</c:v>
                </c:pt>
                <c:pt idx="34">
                  <c:v>10</c:v>
                </c:pt>
                <c:pt idx="35">
                  <c:v>15</c:v>
                </c:pt>
                <c:pt idx="36">
                  <c:v>30</c:v>
                </c:pt>
                <c:pt idx="37">
                  <c:v>40</c:v>
                </c:pt>
                <c:pt idx="38">
                  <c:v>3</c:v>
                </c:pt>
                <c:pt idx="39">
                  <c:v>6</c:v>
                </c:pt>
                <c:pt idx="40">
                  <c:v>3</c:v>
                </c:pt>
                <c:pt idx="41">
                  <c:v>8</c:v>
                </c:pt>
                <c:pt idx="42">
                  <c:v>3</c:v>
                </c:pt>
                <c:pt idx="43">
                  <c:v>8</c:v>
                </c:pt>
                <c:pt idx="44">
                  <c:v>12</c:v>
                </c:pt>
                <c:pt idx="45">
                  <c:v>20</c:v>
                </c:pt>
                <c:pt idx="46">
                  <c:v>30</c:v>
                </c:pt>
                <c:pt idx="47">
                  <c:v>40</c:v>
                </c:pt>
                <c:pt idx="48">
                  <c:v>50</c:v>
                </c:pt>
                <c:pt idx="49">
                  <c:v>3</c:v>
                </c:pt>
                <c:pt idx="50">
                  <c:v>3</c:v>
                </c:pt>
                <c:pt idx="51">
                  <c:v>8</c:v>
                </c:pt>
              </c:numCache>
            </c:numRef>
          </c:xVal>
          <c:yVal>
            <c:numRef>
              <c:f>'Powerball Regression'!$EV$47:$EV$98</c:f>
              <c:numCache>
                <c:formatCode>_-* #,##0.0_-;\-* #,##0.0_-;_-* "-"??_-;_-@_-</c:formatCode>
                <c:ptCount val="52"/>
                <c:pt idx="0">
                  <c:v>14.311103305157838</c:v>
                </c:pt>
                <c:pt idx="1">
                  <c:v>15.800128126617214</c:v>
                </c:pt>
                <c:pt idx="2">
                  <c:v>13.695982549594616</c:v>
                </c:pt>
                <c:pt idx="3">
                  <c:v>12.32912110746938</c:v>
                </c:pt>
                <c:pt idx="4">
                  <c:v>17.372581597377952</c:v>
                </c:pt>
                <c:pt idx="5">
                  <c:v>13.797288766603414</c:v>
                </c:pt>
                <c:pt idx="6">
                  <c:v>13.187465068138691</c:v>
                </c:pt>
                <c:pt idx="7">
                  <c:v>16.172577453855439</c:v>
                </c:pt>
                <c:pt idx="8">
                  <c:v>18.730835321718125</c:v>
                </c:pt>
                <c:pt idx="9">
                  <c:v>25.735862268414696</c:v>
                </c:pt>
                <c:pt idx="10">
                  <c:v>42.95593276349836</c:v>
                </c:pt>
                <c:pt idx="11">
                  <c:v>69.849422718647574</c:v>
                </c:pt>
                <c:pt idx="12">
                  <c:v>14.312979346213556</c:v>
                </c:pt>
                <c:pt idx="13">
                  <c:v>17.552791894083146</c:v>
                </c:pt>
                <c:pt idx="14">
                  <c:v>25.33979689494566</c:v>
                </c:pt>
                <c:pt idx="15">
                  <c:v>28.458439261687076</c:v>
                </c:pt>
                <c:pt idx="16">
                  <c:v>12.752664964636878</c:v>
                </c:pt>
                <c:pt idx="17">
                  <c:v>16.170259991374849</c:v>
                </c:pt>
                <c:pt idx="18">
                  <c:v>13.07953752975677</c:v>
                </c:pt>
                <c:pt idx="19">
                  <c:v>17.451375321718132</c:v>
                </c:pt>
                <c:pt idx="20">
                  <c:v>25.218185292392615</c:v>
                </c:pt>
                <c:pt idx="21">
                  <c:v>13.093111238571673</c:v>
                </c:pt>
                <c:pt idx="22">
                  <c:v>17.159375049163359</c:v>
                </c:pt>
                <c:pt idx="23">
                  <c:v>19.518000077626354</c:v>
                </c:pt>
                <c:pt idx="24">
                  <c:v>23.423034712782471</c:v>
                </c:pt>
                <c:pt idx="25">
                  <c:v>27.652624450577882</c:v>
                </c:pt>
                <c:pt idx="26">
                  <c:v>46.986662149387612</c:v>
                </c:pt>
                <c:pt idx="27">
                  <c:v>80.521889218561327</c:v>
                </c:pt>
                <c:pt idx="28">
                  <c:v>14.500914517854062</c:v>
                </c:pt>
                <c:pt idx="29">
                  <c:v>16.030550110401929</c:v>
                </c:pt>
                <c:pt idx="30">
                  <c:v>12.84580488528549</c:v>
                </c:pt>
                <c:pt idx="31">
                  <c:v>16.219147414179748</c:v>
                </c:pt>
                <c:pt idx="32">
                  <c:v>14.328098030015525</c:v>
                </c:pt>
                <c:pt idx="33">
                  <c:v>17.18608104536829</c:v>
                </c:pt>
                <c:pt idx="34">
                  <c:v>21.685931050543381</c:v>
                </c:pt>
                <c:pt idx="35">
                  <c:v>27.412380840089696</c:v>
                </c:pt>
                <c:pt idx="36">
                  <c:v>42.040755794376395</c:v>
                </c:pt>
                <c:pt idx="37">
                  <c:v>52.311528797653949</c:v>
                </c:pt>
                <c:pt idx="38">
                  <c:v>15.128946850094875</c:v>
                </c:pt>
                <c:pt idx="39">
                  <c:v>18.375711785406242</c:v>
                </c:pt>
                <c:pt idx="40">
                  <c:v>12.839845696049679</c:v>
                </c:pt>
                <c:pt idx="41">
                  <c:v>17.183138970120783</c:v>
                </c:pt>
                <c:pt idx="42">
                  <c:v>11.440443356643355</c:v>
                </c:pt>
                <c:pt idx="43">
                  <c:v>15.861424030514938</c:v>
                </c:pt>
                <c:pt idx="44">
                  <c:v>17.697270947234582</c:v>
                </c:pt>
                <c:pt idx="45">
                  <c:v>26.087560584869671</c:v>
                </c:pt>
                <c:pt idx="46">
                  <c:v>36.432706166560699</c:v>
                </c:pt>
                <c:pt idx="47">
                  <c:v>46.219221614748875</c:v>
                </c:pt>
                <c:pt idx="48">
                  <c:v>56.921146598855671</c:v>
                </c:pt>
                <c:pt idx="49">
                  <c:v>12.004837380801014</c:v>
                </c:pt>
                <c:pt idx="50">
                  <c:v>11.422460775588046</c:v>
                </c:pt>
                <c:pt idx="51">
                  <c:v>16.82988989192625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64-4A1A-9DEE-4D095FCA8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Regression'!$EW$47:$EW$98</c:f>
              <c:numCache>
                <c:formatCode>_-* #,##0.0_-;\-* #,##0.0_-;_-* "-"??_-;_-@_-</c:formatCode>
                <c:ptCount val="52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  <c:pt idx="11">
                  <c:v>50</c:v>
                </c:pt>
                <c:pt idx="12">
                  <c:v>3</c:v>
                </c:pt>
                <c:pt idx="13">
                  <c:v>6</c:v>
                </c:pt>
                <c:pt idx="14">
                  <c:v>10</c:v>
                </c:pt>
                <c:pt idx="15">
                  <c:v>15</c:v>
                </c:pt>
                <c:pt idx="16">
                  <c:v>3</c:v>
                </c:pt>
                <c:pt idx="17">
                  <c:v>6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3</c:v>
                </c:pt>
                <c:pt idx="22">
                  <c:v>6</c:v>
                </c:pt>
                <c:pt idx="23">
                  <c:v>10</c:v>
                </c:pt>
                <c:pt idx="24">
                  <c:v>15</c:v>
                </c:pt>
                <c:pt idx="25">
                  <c:v>25</c:v>
                </c:pt>
                <c:pt idx="26">
                  <c:v>35</c:v>
                </c:pt>
                <c:pt idx="27">
                  <c:v>55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6</c:v>
                </c:pt>
                <c:pt idx="32">
                  <c:v>3</c:v>
                </c:pt>
                <c:pt idx="33">
                  <c:v>6</c:v>
                </c:pt>
                <c:pt idx="34">
                  <c:v>10</c:v>
                </c:pt>
                <c:pt idx="35">
                  <c:v>15</c:v>
                </c:pt>
                <c:pt idx="36">
                  <c:v>30</c:v>
                </c:pt>
                <c:pt idx="37">
                  <c:v>40</c:v>
                </c:pt>
                <c:pt idx="38">
                  <c:v>3</c:v>
                </c:pt>
                <c:pt idx="39">
                  <c:v>6</c:v>
                </c:pt>
                <c:pt idx="40">
                  <c:v>3</c:v>
                </c:pt>
                <c:pt idx="41">
                  <c:v>8</c:v>
                </c:pt>
                <c:pt idx="42">
                  <c:v>3</c:v>
                </c:pt>
                <c:pt idx="43">
                  <c:v>8</c:v>
                </c:pt>
                <c:pt idx="44">
                  <c:v>12</c:v>
                </c:pt>
                <c:pt idx="45">
                  <c:v>20</c:v>
                </c:pt>
                <c:pt idx="46">
                  <c:v>30</c:v>
                </c:pt>
                <c:pt idx="47">
                  <c:v>40</c:v>
                </c:pt>
                <c:pt idx="48">
                  <c:v>50</c:v>
                </c:pt>
                <c:pt idx="49">
                  <c:v>3</c:v>
                </c:pt>
                <c:pt idx="50">
                  <c:v>3</c:v>
                </c:pt>
                <c:pt idx="51">
                  <c:v>8</c:v>
                </c:pt>
              </c:numCache>
            </c:numRef>
          </c:xVal>
          <c:yVal>
            <c:numRef>
              <c:f>'Powerball Regression'!$EV$47:$EV$98</c:f>
              <c:numCache>
                <c:formatCode>_-* #,##0.0_-;\-* #,##0.0_-;_-* "-"??_-;_-@_-</c:formatCode>
                <c:ptCount val="52"/>
                <c:pt idx="0">
                  <c:v>14.311103305157838</c:v>
                </c:pt>
                <c:pt idx="1">
                  <c:v>15.800128126617214</c:v>
                </c:pt>
                <c:pt idx="2">
                  <c:v>13.695982549594616</c:v>
                </c:pt>
                <c:pt idx="3">
                  <c:v>12.32912110746938</c:v>
                </c:pt>
                <c:pt idx="4">
                  <c:v>17.372581597377952</c:v>
                </c:pt>
                <c:pt idx="5">
                  <c:v>13.797288766603414</c:v>
                </c:pt>
                <c:pt idx="6">
                  <c:v>13.187465068138691</c:v>
                </c:pt>
                <c:pt idx="7">
                  <c:v>16.172577453855439</c:v>
                </c:pt>
                <c:pt idx="8">
                  <c:v>18.730835321718125</c:v>
                </c:pt>
                <c:pt idx="9">
                  <c:v>25.735862268414696</c:v>
                </c:pt>
                <c:pt idx="10">
                  <c:v>42.95593276349836</c:v>
                </c:pt>
                <c:pt idx="11">
                  <c:v>69.849422718647574</c:v>
                </c:pt>
                <c:pt idx="12">
                  <c:v>14.312979346213556</c:v>
                </c:pt>
                <c:pt idx="13">
                  <c:v>17.552791894083146</c:v>
                </c:pt>
                <c:pt idx="14">
                  <c:v>25.33979689494566</c:v>
                </c:pt>
                <c:pt idx="15">
                  <c:v>28.458439261687076</c:v>
                </c:pt>
                <c:pt idx="16">
                  <c:v>12.752664964636878</c:v>
                </c:pt>
                <c:pt idx="17">
                  <c:v>16.170259991374849</c:v>
                </c:pt>
                <c:pt idx="18">
                  <c:v>13.07953752975677</c:v>
                </c:pt>
                <c:pt idx="19">
                  <c:v>17.451375321718132</c:v>
                </c:pt>
                <c:pt idx="20">
                  <c:v>25.218185292392615</c:v>
                </c:pt>
                <c:pt idx="21">
                  <c:v>13.093111238571673</c:v>
                </c:pt>
                <c:pt idx="22">
                  <c:v>17.159375049163359</c:v>
                </c:pt>
                <c:pt idx="23">
                  <c:v>19.518000077626354</c:v>
                </c:pt>
                <c:pt idx="24">
                  <c:v>23.423034712782471</c:v>
                </c:pt>
                <c:pt idx="25">
                  <c:v>27.652624450577882</c:v>
                </c:pt>
                <c:pt idx="26">
                  <c:v>46.986662149387612</c:v>
                </c:pt>
                <c:pt idx="27">
                  <c:v>80.521889218561327</c:v>
                </c:pt>
                <c:pt idx="28">
                  <c:v>14.500914517854062</c:v>
                </c:pt>
                <c:pt idx="29">
                  <c:v>16.030550110401929</c:v>
                </c:pt>
                <c:pt idx="30">
                  <c:v>12.84580488528549</c:v>
                </c:pt>
                <c:pt idx="31">
                  <c:v>16.219147414179748</c:v>
                </c:pt>
                <c:pt idx="32">
                  <c:v>14.328098030015525</c:v>
                </c:pt>
                <c:pt idx="33">
                  <c:v>17.18608104536829</c:v>
                </c:pt>
                <c:pt idx="34">
                  <c:v>21.685931050543381</c:v>
                </c:pt>
                <c:pt idx="35">
                  <c:v>27.412380840089696</c:v>
                </c:pt>
                <c:pt idx="36">
                  <c:v>42.040755794376395</c:v>
                </c:pt>
                <c:pt idx="37">
                  <c:v>52.311528797653949</c:v>
                </c:pt>
                <c:pt idx="38">
                  <c:v>15.128946850094875</c:v>
                </c:pt>
                <c:pt idx="39">
                  <c:v>18.375711785406242</c:v>
                </c:pt>
                <c:pt idx="40">
                  <c:v>12.839845696049679</c:v>
                </c:pt>
                <c:pt idx="41">
                  <c:v>17.183138970120783</c:v>
                </c:pt>
                <c:pt idx="42">
                  <c:v>11.440443356643355</c:v>
                </c:pt>
                <c:pt idx="43">
                  <c:v>15.861424030514938</c:v>
                </c:pt>
                <c:pt idx="44">
                  <c:v>17.697270947234582</c:v>
                </c:pt>
                <c:pt idx="45">
                  <c:v>26.087560584869671</c:v>
                </c:pt>
                <c:pt idx="46">
                  <c:v>36.432706166560699</c:v>
                </c:pt>
                <c:pt idx="47">
                  <c:v>46.219221614748875</c:v>
                </c:pt>
                <c:pt idx="48">
                  <c:v>56.921146598855671</c:v>
                </c:pt>
                <c:pt idx="49">
                  <c:v>12.004837380801014</c:v>
                </c:pt>
                <c:pt idx="50">
                  <c:v>11.422460775588046</c:v>
                </c:pt>
                <c:pt idx="51">
                  <c:v>16.82988989192625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3B-4E1C-A0B7-D5A2938DF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Regression'!$FL$47:$FL$98</c:f>
              <c:numCache>
                <c:formatCode>_-* #,##0.0_-;\-* #,##0.0_-;_-* "-"??_-;_-@_-</c:formatCode>
                <c:ptCount val="52"/>
                <c:pt idx="0">
                  <c:v>12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3</c:v>
                </c:pt>
                <c:pt idx="8">
                  <c:v>8</c:v>
                </c:pt>
                <c:pt idx="9">
                  <c:v>12</c:v>
                </c:pt>
                <c:pt idx="10">
                  <c:v>20</c:v>
                </c:pt>
                <c:pt idx="11">
                  <c:v>30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20</c:v>
                </c:pt>
                <c:pt idx="16">
                  <c:v>30</c:v>
                </c:pt>
                <c:pt idx="17">
                  <c:v>40</c:v>
                </c:pt>
                <c:pt idx="18">
                  <c:v>60</c:v>
                </c:pt>
                <c:pt idx="19">
                  <c:v>3</c:v>
                </c:pt>
                <c:pt idx="20">
                  <c:v>3</c:v>
                </c:pt>
                <c:pt idx="21">
                  <c:v>8</c:v>
                </c:pt>
                <c:pt idx="22">
                  <c:v>12</c:v>
                </c:pt>
                <c:pt idx="23">
                  <c:v>20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80</c:v>
                </c:pt>
                <c:pt idx="28">
                  <c:v>100</c:v>
                </c:pt>
                <c:pt idx="29">
                  <c:v>3</c:v>
                </c:pt>
                <c:pt idx="30">
                  <c:v>8</c:v>
                </c:pt>
                <c:pt idx="31">
                  <c:v>12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3</c:v>
                </c:pt>
                <c:pt idx="36">
                  <c:v>8</c:v>
                </c:pt>
                <c:pt idx="37">
                  <c:v>12</c:v>
                </c:pt>
                <c:pt idx="38">
                  <c:v>20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30</c:v>
                </c:pt>
                <c:pt idx="44">
                  <c:v>3</c:v>
                </c:pt>
                <c:pt idx="45">
                  <c:v>8</c:v>
                </c:pt>
                <c:pt idx="46">
                  <c:v>3</c:v>
                </c:pt>
                <c:pt idx="47">
                  <c:v>8</c:v>
                </c:pt>
                <c:pt idx="48">
                  <c:v>12</c:v>
                </c:pt>
                <c:pt idx="49">
                  <c:v>20</c:v>
                </c:pt>
                <c:pt idx="50">
                  <c:v>30</c:v>
                </c:pt>
                <c:pt idx="51">
                  <c:v>40</c:v>
                </c:pt>
              </c:numCache>
            </c:numRef>
          </c:xVal>
          <c:yVal>
            <c:numRef>
              <c:f>'Powerball Regression'!$FK$47:$FK$98</c:f>
              <c:numCache>
                <c:formatCode>_-* #,##0.0_-;\-* #,##0.0_-;_-* "-"??_-;_-@_-</c:formatCode>
                <c:ptCount val="52"/>
                <c:pt idx="0">
                  <c:v>20.852316083916079</c:v>
                </c:pt>
                <c:pt idx="1">
                  <c:v>26.842498410680225</c:v>
                </c:pt>
                <c:pt idx="2">
                  <c:v>32.449661792752693</c:v>
                </c:pt>
                <c:pt idx="3">
                  <c:v>38.67065225683406</c:v>
                </c:pt>
                <c:pt idx="4">
                  <c:v>47.637119898283515</c:v>
                </c:pt>
                <c:pt idx="5">
                  <c:v>89.658851621106137</c:v>
                </c:pt>
                <c:pt idx="6">
                  <c:v>169.38423649078192</c:v>
                </c:pt>
                <c:pt idx="7">
                  <c:v>14.031852256834073</c:v>
                </c:pt>
                <c:pt idx="8">
                  <c:v>16.733295359186265</c:v>
                </c:pt>
                <c:pt idx="9">
                  <c:v>21.606582835346465</c:v>
                </c:pt>
                <c:pt idx="10">
                  <c:v>27.308763127781301</c:v>
                </c:pt>
                <c:pt idx="11">
                  <c:v>36.523512523839784</c:v>
                </c:pt>
                <c:pt idx="12">
                  <c:v>12.986396185632547</c:v>
                </c:pt>
                <c:pt idx="13">
                  <c:v>17.248674888747615</c:v>
                </c:pt>
                <c:pt idx="14">
                  <c:v>22.858246916719636</c:v>
                </c:pt>
                <c:pt idx="15">
                  <c:v>29.451650349650347</c:v>
                </c:pt>
                <c:pt idx="16">
                  <c:v>34.304900190718364</c:v>
                </c:pt>
                <c:pt idx="17">
                  <c:v>42.745877177368079</c:v>
                </c:pt>
                <c:pt idx="18">
                  <c:v>70.047528035600749</c:v>
                </c:pt>
                <c:pt idx="19">
                  <c:v>13.689841958041953</c:v>
                </c:pt>
                <c:pt idx="20">
                  <c:v>13.612641449459627</c:v>
                </c:pt>
                <c:pt idx="21">
                  <c:v>19.569770120788299</c:v>
                </c:pt>
                <c:pt idx="22">
                  <c:v>24.628368722186906</c:v>
                </c:pt>
                <c:pt idx="23">
                  <c:v>30.784708455181175</c:v>
                </c:pt>
                <c:pt idx="24">
                  <c:v>32.972327018436104</c:v>
                </c:pt>
                <c:pt idx="25">
                  <c:v>36.354827972027962</c:v>
                </c:pt>
                <c:pt idx="26">
                  <c:v>63.766761602034322</c:v>
                </c:pt>
                <c:pt idx="27">
                  <c:v>112.3132386522568</c:v>
                </c:pt>
                <c:pt idx="28">
                  <c:v>174.14559186268272</c:v>
                </c:pt>
                <c:pt idx="29">
                  <c:v>13.937889720898571</c:v>
                </c:pt>
                <c:pt idx="30">
                  <c:v>18.140342842997711</c:v>
                </c:pt>
                <c:pt idx="31">
                  <c:v>25.118955133362217</c:v>
                </c:pt>
                <c:pt idx="32">
                  <c:v>31.354336778265978</c:v>
                </c:pt>
                <c:pt idx="33">
                  <c:v>38.283030633083733</c:v>
                </c:pt>
                <c:pt idx="34">
                  <c:v>44.982119438084034</c:v>
                </c:pt>
                <c:pt idx="35">
                  <c:v>13.444204963178414</c:v>
                </c:pt>
                <c:pt idx="36">
                  <c:v>16.484335664335664</c:v>
                </c:pt>
                <c:pt idx="37">
                  <c:v>20.282530107061081</c:v>
                </c:pt>
                <c:pt idx="38">
                  <c:v>26.225644903768799</c:v>
                </c:pt>
                <c:pt idx="39">
                  <c:v>13.585177795655671</c:v>
                </c:pt>
                <c:pt idx="40">
                  <c:v>17.74406361779813</c:v>
                </c:pt>
                <c:pt idx="41">
                  <c:v>22.274509066155083</c:v>
                </c:pt>
                <c:pt idx="42">
                  <c:v>22.688576025744165</c:v>
                </c:pt>
                <c:pt idx="43">
                  <c:v>34.273410483321989</c:v>
                </c:pt>
                <c:pt idx="44">
                  <c:v>12.230604616622315</c:v>
                </c:pt>
                <c:pt idx="45">
                  <c:v>16.70412154217464</c:v>
                </c:pt>
                <c:pt idx="46">
                  <c:v>12.325589702333064</c:v>
                </c:pt>
                <c:pt idx="47">
                  <c:v>15.336385914969984</c:v>
                </c:pt>
                <c:pt idx="48">
                  <c:v>18.797418899684388</c:v>
                </c:pt>
                <c:pt idx="49">
                  <c:v>22.750507333374586</c:v>
                </c:pt>
                <c:pt idx="50">
                  <c:v>27.826067454669225</c:v>
                </c:pt>
                <c:pt idx="51">
                  <c:v>37.957462714276872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2-4FB7-939B-088F103F5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Regression'!$FL$47:$FL$98</c:f>
              <c:numCache>
                <c:formatCode>_-* #,##0.0_-;\-* #,##0.0_-;_-* "-"??_-;_-@_-</c:formatCode>
                <c:ptCount val="52"/>
                <c:pt idx="0">
                  <c:v>12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3</c:v>
                </c:pt>
                <c:pt idx="8">
                  <c:v>8</c:v>
                </c:pt>
                <c:pt idx="9">
                  <c:v>12</c:v>
                </c:pt>
                <c:pt idx="10">
                  <c:v>20</c:v>
                </c:pt>
                <c:pt idx="11">
                  <c:v>30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20</c:v>
                </c:pt>
                <c:pt idx="16">
                  <c:v>30</c:v>
                </c:pt>
                <c:pt idx="17">
                  <c:v>40</c:v>
                </c:pt>
                <c:pt idx="18">
                  <c:v>60</c:v>
                </c:pt>
                <c:pt idx="19">
                  <c:v>3</c:v>
                </c:pt>
                <c:pt idx="20">
                  <c:v>3</c:v>
                </c:pt>
                <c:pt idx="21">
                  <c:v>8</c:v>
                </c:pt>
                <c:pt idx="22">
                  <c:v>12</c:v>
                </c:pt>
                <c:pt idx="23">
                  <c:v>20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80</c:v>
                </c:pt>
                <c:pt idx="28">
                  <c:v>100</c:v>
                </c:pt>
                <c:pt idx="29">
                  <c:v>3</c:v>
                </c:pt>
                <c:pt idx="30">
                  <c:v>8</c:v>
                </c:pt>
                <c:pt idx="31">
                  <c:v>12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3</c:v>
                </c:pt>
                <c:pt idx="36">
                  <c:v>8</c:v>
                </c:pt>
                <c:pt idx="37">
                  <c:v>12</c:v>
                </c:pt>
                <c:pt idx="38">
                  <c:v>20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30</c:v>
                </c:pt>
                <c:pt idx="44">
                  <c:v>3</c:v>
                </c:pt>
                <c:pt idx="45">
                  <c:v>8</c:v>
                </c:pt>
                <c:pt idx="46">
                  <c:v>3</c:v>
                </c:pt>
                <c:pt idx="47">
                  <c:v>8</c:v>
                </c:pt>
                <c:pt idx="48">
                  <c:v>12</c:v>
                </c:pt>
                <c:pt idx="49">
                  <c:v>20</c:v>
                </c:pt>
                <c:pt idx="50">
                  <c:v>30</c:v>
                </c:pt>
                <c:pt idx="51">
                  <c:v>40</c:v>
                </c:pt>
              </c:numCache>
            </c:numRef>
          </c:xVal>
          <c:yVal>
            <c:numRef>
              <c:f>'Powerball Regression'!$FK$47:$FK$98</c:f>
              <c:numCache>
                <c:formatCode>_-* #,##0.0_-;\-* #,##0.0_-;_-* "-"??_-;_-@_-</c:formatCode>
                <c:ptCount val="52"/>
                <c:pt idx="0">
                  <c:v>20.852316083916079</c:v>
                </c:pt>
                <c:pt idx="1">
                  <c:v>26.842498410680225</c:v>
                </c:pt>
                <c:pt idx="2">
                  <c:v>32.449661792752693</c:v>
                </c:pt>
                <c:pt idx="3">
                  <c:v>38.67065225683406</c:v>
                </c:pt>
                <c:pt idx="4">
                  <c:v>47.637119898283515</c:v>
                </c:pt>
                <c:pt idx="5">
                  <c:v>89.658851621106137</c:v>
                </c:pt>
                <c:pt idx="6">
                  <c:v>169.38423649078192</c:v>
                </c:pt>
                <c:pt idx="7">
                  <c:v>14.031852256834073</c:v>
                </c:pt>
                <c:pt idx="8">
                  <c:v>16.733295359186265</c:v>
                </c:pt>
                <c:pt idx="9">
                  <c:v>21.606582835346465</c:v>
                </c:pt>
                <c:pt idx="10">
                  <c:v>27.308763127781301</c:v>
                </c:pt>
                <c:pt idx="11">
                  <c:v>36.523512523839784</c:v>
                </c:pt>
                <c:pt idx="12">
                  <c:v>12.986396185632547</c:v>
                </c:pt>
                <c:pt idx="13">
                  <c:v>17.248674888747615</c:v>
                </c:pt>
                <c:pt idx="14">
                  <c:v>22.858246916719636</c:v>
                </c:pt>
                <c:pt idx="15">
                  <c:v>29.451650349650347</c:v>
                </c:pt>
                <c:pt idx="16">
                  <c:v>34.304900190718364</c:v>
                </c:pt>
                <c:pt idx="17">
                  <c:v>42.745877177368079</c:v>
                </c:pt>
                <c:pt idx="18">
                  <c:v>70.047528035600749</c:v>
                </c:pt>
                <c:pt idx="19">
                  <c:v>13.689841958041953</c:v>
                </c:pt>
                <c:pt idx="20">
                  <c:v>13.612641449459627</c:v>
                </c:pt>
                <c:pt idx="21">
                  <c:v>19.569770120788299</c:v>
                </c:pt>
                <c:pt idx="22">
                  <c:v>24.628368722186906</c:v>
                </c:pt>
                <c:pt idx="23">
                  <c:v>30.784708455181175</c:v>
                </c:pt>
                <c:pt idx="24">
                  <c:v>32.972327018436104</c:v>
                </c:pt>
                <c:pt idx="25">
                  <c:v>36.354827972027962</c:v>
                </c:pt>
                <c:pt idx="26">
                  <c:v>63.766761602034322</c:v>
                </c:pt>
                <c:pt idx="27">
                  <c:v>112.3132386522568</c:v>
                </c:pt>
                <c:pt idx="28">
                  <c:v>174.14559186268272</c:v>
                </c:pt>
                <c:pt idx="29">
                  <c:v>13.937889720898571</c:v>
                </c:pt>
                <c:pt idx="30">
                  <c:v>18.140342842997711</c:v>
                </c:pt>
                <c:pt idx="31">
                  <c:v>25.118955133362217</c:v>
                </c:pt>
                <c:pt idx="32">
                  <c:v>31.354336778265978</c:v>
                </c:pt>
                <c:pt idx="33">
                  <c:v>38.283030633083733</c:v>
                </c:pt>
                <c:pt idx="34">
                  <c:v>44.982119438084034</c:v>
                </c:pt>
                <c:pt idx="35">
                  <c:v>13.444204963178414</c:v>
                </c:pt>
                <c:pt idx="36">
                  <c:v>16.484335664335664</c:v>
                </c:pt>
                <c:pt idx="37">
                  <c:v>20.282530107061081</c:v>
                </c:pt>
                <c:pt idx="38">
                  <c:v>26.225644903768799</c:v>
                </c:pt>
                <c:pt idx="39">
                  <c:v>13.585177795655671</c:v>
                </c:pt>
                <c:pt idx="40">
                  <c:v>17.74406361779813</c:v>
                </c:pt>
                <c:pt idx="41">
                  <c:v>22.274509066155083</c:v>
                </c:pt>
                <c:pt idx="42">
                  <c:v>22.688576025744165</c:v>
                </c:pt>
                <c:pt idx="43">
                  <c:v>34.273410483321989</c:v>
                </c:pt>
                <c:pt idx="44">
                  <c:v>12.230604616622315</c:v>
                </c:pt>
                <c:pt idx="45">
                  <c:v>16.70412154217464</c:v>
                </c:pt>
                <c:pt idx="46">
                  <c:v>12.325589702333064</c:v>
                </c:pt>
                <c:pt idx="47">
                  <c:v>15.336385914969984</c:v>
                </c:pt>
                <c:pt idx="48">
                  <c:v>18.797418899684388</c:v>
                </c:pt>
                <c:pt idx="49">
                  <c:v>22.750507333374586</c:v>
                </c:pt>
                <c:pt idx="50">
                  <c:v>27.826067454669225</c:v>
                </c:pt>
                <c:pt idx="51">
                  <c:v>37.957462714276872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52-45EC-9D59-96B52B65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Regression'!$HE$47:$HE$98</c:f>
              <c:numCache>
                <c:formatCode>_-* #,##0.0_-;\-* #,##0.0_-;_-* "-"??_-;_-@_-</c:formatCode>
                <c:ptCount val="52"/>
                <c:pt idx="0">
                  <c:v>50</c:v>
                </c:pt>
                <c:pt idx="1">
                  <c:v>80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3</c:v>
                </c:pt>
                <c:pt idx="17">
                  <c:v>8</c:v>
                </c:pt>
                <c:pt idx="18">
                  <c:v>20</c:v>
                </c:pt>
                <c:pt idx="19">
                  <c:v>3</c:v>
                </c:pt>
                <c:pt idx="20">
                  <c:v>8</c:v>
                </c:pt>
                <c:pt idx="21">
                  <c:v>20</c:v>
                </c:pt>
                <c:pt idx="22">
                  <c:v>3</c:v>
                </c:pt>
                <c:pt idx="23">
                  <c:v>8</c:v>
                </c:pt>
                <c:pt idx="24">
                  <c:v>20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8</c:v>
                </c:pt>
                <c:pt idx="35">
                  <c:v>20</c:v>
                </c:pt>
                <c:pt idx="36">
                  <c:v>30</c:v>
                </c:pt>
                <c:pt idx="37">
                  <c:v>50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50</c:v>
                </c:pt>
                <c:pt idx="42">
                  <c:v>80</c:v>
                </c:pt>
                <c:pt idx="43">
                  <c:v>8</c:v>
                </c:pt>
                <c:pt idx="44">
                  <c:v>20</c:v>
                </c:pt>
                <c:pt idx="45">
                  <c:v>30</c:v>
                </c:pt>
                <c:pt idx="46">
                  <c:v>3</c:v>
                </c:pt>
                <c:pt idx="47">
                  <c:v>8</c:v>
                </c:pt>
                <c:pt idx="48">
                  <c:v>3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</c:numCache>
            </c:numRef>
          </c:xVal>
          <c:yVal>
            <c:numRef>
              <c:f>'Powerball Regression'!$HD$47:$HD$98</c:f>
              <c:numCache>
                <c:formatCode>_-* #,##0.0_-;\-* #,##0.0_-;_-* "-"??_-;_-@_-</c:formatCode>
                <c:ptCount val="52"/>
                <c:pt idx="0">
                  <c:v>69.318618911523259</c:v>
                </c:pt>
                <c:pt idx="1">
                  <c:v>107.88941027667983</c:v>
                </c:pt>
                <c:pt idx="2">
                  <c:v>20.009448707813924</c:v>
                </c:pt>
                <c:pt idx="3">
                  <c:v>25.6119068409851</c:v>
                </c:pt>
                <c:pt idx="4">
                  <c:v>44.346019337184551</c:v>
                </c:pt>
                <c:pt idx="5">
                  <c:v>19.730848282152632</c:v>
                </c:pt>
                <c:pt idx="6">
                  <c:v>26.811783764062021</c:v>
                </c:pt>
                <c:pt idx="7">
                  <c:v>18.946345758589239</c:v>
                </c:pt>
                <c:pt idx="8">
                  <c:v>26.767640012161749</c:v>
                </c:pt>
                <c:pt idx="9">
                  <c:v>40.517600243235023</c:v>
                </c:pt>
                <c:pt idx="10">
                  <c:v>59.511774764366059</c:v>
                </c:pt>
                <c:pt idx="11">
                  <c:v>82.205458680449993</c:v>
                </c:pt>
                <c:pt idx="12">
                  <c:v>19.672046457889937</c:v>
                </c:pt>
                <c:pt idx="13">
                  <c:v>27.468281909394953</c:v>
                </c:pt>
                <c:pt idx="14">
                  <c:v>42.908867619337187</c:v>
                </c:pt>
                <c:pt idx="15">
                  <c:v>61.499423776223779</c:v>
                </c:pt>
                <c:pt idx="16">
                  <c:v>19.054887686226817</c:v>
                </c:pt>
                <c:pt idx="17">
                  <c:v>24.929902341137119</c:v>
                </c:pt>
                <c:pt idx="18">
                  <c:v>39.323627363940403</c:v>
                </c:pt>
                <c:pt idx="19">
                  <c:v>17.49003441775616</c:v>
                </c:pt>
                <c:pt idx="20">
                  <c:v>23.485624323502588</c:v>
                </c:pt>
                <c:pt idx="21">
                  <c:v>40.190379811492861</c:v>
                </c:pt>
                <c:pt idx="22">
                  <c:v>17.815226512617816</c:v>
                </c:pt>
                <c:pt idx="23">
                  <c:v>25.066381757373062</c:v>
                </c:pt>
                <c:pt idx="24">
                  <c:v>40.397165825478872</c:v>
                </c:pt>
                <c:pt idx="25">
                  <c:v>19.022130495591366</c:v>
                </c:pt>
                <c:pt idx="26">
                  <c:v>25.387217756156883</c:v>
                </c:pt>
                <c:pt idx="27">
                  <c:v>17.082868713894804</c:v>
                </c:pt>
                <c:pt idx="28">
                  <c:v>24.054723502584363</c:v>
                </c:pt>
                <c:pt idx="29">
                  <c:v>39.055239160839157</c:v>
                </c:pt>
                <c:pt idx="30">
                  <c:v>22.19027935542718</c:v>
                </c:pt>
                <c:pt idx="31">
                  <c:v>36.953457707509884</c:v>
                </c:pt>
                <c:pt idx="32">
                  <c:v>48.994890605047111</c:v>
                </c:pt>
                <c:pt idx="33">
                  <c:v>78.306876740650651</c:v>
                </c:pt>
                <c:pt idx="34">
                  <c:v>22.972673761021586</c:v>
                </c:pt>
                <c:pt idx="35">
                  <c:v>37.058402918820313</c:v>
                </c:pt>
                <c:pt idx="36">
                  <c:v>45.393461356035267</c:v>
                </c:pt>
                <c:pt idx="37">
                  <c:v>69.99746646397081</c:v>
                </c:pt>
                <c:pt idx="38">
                  <c:v>23.50473821830343</c:v>
                </c:pt>
                <c:pt idx="39">
                  <c:v>37.212500334448158</c:v>
                </c:pt>
                <c:pt idx="40">
                  <c:v>41.866552508361195</c:v>
                </c:pt>
                <c:pt idx="41">
                  <c:v>63.615309698996647</c:v>
                </c:pt>
                <c:pt idx="42">
                  <c:v>118.500310611128</c:v>
                </c:pt>
                <c:pt idx="43">
                  <c:v>24.573953906962604</c:v>
                </c:pt>
                <c:pt idx="44">
                  <c:v>37.110605290361804</c:v>
                </c:pt>
                <c:pt idx="45">
                  <c:v>47.890415810276679</c:v>
                </c:pt>
                <c:pt idx="46">
                  <c:v>18.569740589844933</c:v>
                </c:pt>
                <c:pt idx="47">
                  <c:v>25.429040072970505</c:v>
                </c:pt>
                <c:pt idx="48">
                  <c:v>17.730661964122834</c:v>
                </c:pt>
                <c:pt idx="49">
                  <c:v>23.443848707813927</c:v>
                </c:pt>
                <c:pt idx="50">
                  <c:v>36.861438491942835</c:v>
                </c:pt>
                <c:pt idx="51">
                  <c:v>55.754455457585884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F8-42F9-88E5-F3C30C900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Regression'!$HE$47:$HE$98</c:f>
              <c:numCache>
                <c:formatCode>_-* #,##0.0_-;\-* #,##0.0_-;_-* "-"??_-;_-@_-</c:formatCode>
                <c:ptCount val="52"/>
                <c:pt idx="0">
                  <c:v>50</c:v>
                </c:pt>
                <c:pt idx="1">
                  <c:v>80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3</c:v>
                </c:pt>
                <c:pt idx="17">
                  <c:v>8</c:v>
                </c:pt>
                <c:pt idx="18">
                  <c:v>20</c:v>
                </c:pt>
                <c:pt idx="19">
                  <c:v>3</c:v>
                </c:pt>
                <c:pt idx="20">
                  <c:v>8</c:v>
                </c:pt>
                <c:pt idx="21">
                  <c:v>20</c:v>
                </c:pt>
                <c:pt idx="22">
                  <c:v>3</c:v>
                </c:pt>
                <c:pt idx="23">
                  <c:v>8</c:v>
                </c:pt>
                <c:pt idx="24">
                  <c:v>20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8</c:v>
                </c:pt>
                <c:pt idx="35">
                  <c:v>20</c:v>
                </c:pt>
                <c:pt idx="36">
                  <c:v>30</c:v>
                </c:pt>
                <c:pt idx="37">
                  <c:v>50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50</c:v>
                </c:pt>
                <c:pt idx="42">
                  <c:v>80</c:v>
                </c:pt>
                <c:pt idx="43">
                  <c:v>8</c:v>
                </c:pt>
                <c:pt idx="44">
                  <c:v>20</c:v>
                </c:pt>
                <c:pt idx="45">
                  <c:v>30</c:v>
                </c:pt>
                <c:pt idx="46">
                  <c:v>3</c:v>
                </c:pt>
                <c:pt idx="47">
                  <c:v>8</c:v>
                </c:pt>
                <c:pt idx="48">
                  <c:v>3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</c:numCache>
            </c:numRef>
          </c:xVal>
          <c:yVal>
            <c:numRef>
              <c:f>'Powerball Regression'!$HD$47:$HD$98</c:f>
              <c:numCache>
                <c:formatCode>_-* #,##0.0_-;\-* #,##0.0_-;_-* "-"??_-;_-@_-</c:formatCode>
                <c:ptCount val="52"/>
                <c:pt idx="0">
                  <c:v>69.318618911523259</c:v>
                </c:pt>
                <c:pt idx="1">
                  <c:v>107.88941027667983</c:v>
                </c:pt>
                <c:pt idx="2">
                  <c:v>20.009448707813924</c:v>
                </c:pt>
                <c:pt idx="3">
                  <c:v>25.6119068409851</c:v>
                </c:pt>
                <c:pt idx="4">
                  <c:v>44.346019337184551</c:v>
                </c:pt>
                <c:pt idx="5">
                  <c:v>19.730848282152632</c:v>
                </c:pt>
                <c:pt idx="6">
                  <c:v>26.811783764062021</c:v>
                </c:pt>
                <c:pt idx="7">
                  <c:v>18.946345758589239</c:v>
                </c:pt>
                <c:pt idx="8">
                  <c:v>26.767640012161749</c:v>
                </c:pt>
                <c:pt idx="9">
                  <c:v>40.517600243235023</c:v>
                </c:pt>
                <c:pt idx="10">
                  <c:v>59.511774764366059</c:v>
                </c:pt>
                <c:pt idx="11">
                  <c:v>82.205458680449993</c:v>
                </c:pt>
                <c:pt idx="12">
                  <c:v>19.672046457889937</c:v>
                </c:pt>
                <c:pt idx="13">
                  <c:v>27.468281909394953</c:v>
                </c:pt>
                <c:pt idx="14">
                  <c:v>42.908867619337187</c:v>
                </c:pt>
                <c:pt idx="15">
                  <c:v>61.499423776223779</c:v>
                </c:pt>
                <c:pt idx="16">
                  <c:v>19.054887686226817</c:v>
                </c:pt>
                <c:pt idx="17">
                  <c:v>24.929902341137119</c:v>
                </c:pt>
                <c:pt idx="18">
                  <c:v>39.323627363940403</c:v>
                </c:pt>
                <c:pt idx="19">
                  <c:v>17.49003441775616</c:v>
                </c:pt>
                <c:pt idx="20">
                  <c:v>23.485624323502588</c:v>
                </c:pt>
                <c:pt idx="21">
                  <c:v>40.190379811492861</c:v>
                </c:pt>
                <c:pt idx="22">
                  <c:v>17.815226512617816</c:v>
                </c:pt>
                <c:pt idx="23">
                  <c:v>25.066381757373062</c:v>
                </c:pt>
                <c:pt idx="24">
                  <c:v>40.397165825478872</c:v>
                </c:pt>
                <c:pt idx="25">
                  <c:v>19.022130495591366</c:v>
                </c:pt>
                <c:pt idx="26">
                  <c:v>25.387217756156883</c:v>
                </c:pt>
                <c:pt idx="27">
                  <c:v>17.082868713894804</c:v>
                </c:pt>
                <c:pt idx="28">
                  <c:v>24.054723502584363</c:v>
                </c:pt>
                <c:pt idx="29">
                  <c:v>39.055239160839157</c:v>
                </c:pt>
                <c:pt idx="30">
                  <c:v>22.19027935542718</c:v>
                </c:pt>
                <c:pt idx="31">
                  <c:v>36.953457707509884</c:v>
                </c:pt>
                <c:pt idx="32">
                  <c:v>48.994890605047111</c:v>
                </c:pt>
                <c:pt idx="33">
                  <c:v>78.306876740650651</c:v>
                </c:pt>
                <c:pt idx="34">
                  <c:v>22.972673761021586</c:v>
                </c:pt>
                <c:pt idx="35">
                  <c:v>37.058402918820313</c:v>
                </c:pt>
                <c:pt idx="36">
                  <c:v>45.393461356035267</c:v>
                </c:pt>
                <c:pt idx="37">
                  <c:v>69.99746646397081</c:v>
                </c:pt>
                <c:pt idx="38">
                  <c:v>23.50473821830343</c:v>
                </c:pt>
                <c:pt idx="39">
                  <c:v>37.212500334448158</c:v>
                </c:pt>
                <c:pt idx="40">
                  <c:v>41.866552508361195</c:v>
                </c:pt>
                <c:pt idx="41">
                  <c:v>63.615309698996647</c:v>
                </c:pt>
                <c:pt idx="42">
                  <c:v>118.500310611128</c:v>
                </c:pt>
                <c:pt idx="43">
                  <c:v>24.573953906962604</c:v>
                </c:pt>
                <c:pt idx="44">
                  <c:v>37.110605290361804</c:v>
                </c:pt>
                <c:pt idx="45">
                  <c:v>47.890415810276679</c:v>
                </c:pt>
                <c:pt idx="46">
                  <c:v>18.569740589844933</c:v>
                </c:pt>
                <c:pt idx="47">
                  <c:v>25.429040072970505</c:v>
                </c:pt>
                <c:pt idx="48">
                  <c:v>17.730661964122834</c:v>
                </c:pt>
                <c:pt idx="49">
                  <c:v>23.443848707813927</c:v>
                </c:pt>
                <c:pt idx="50">
                  <c:v>36.861438491942835</c:v>
                </c:pt>
                <c:pt idx="51">
                  <c:v>55.754455457585884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8F-4ACD-B388-623F1E42F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533611111111113"/>
                  <c:y val="-0.26882152777777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Regression'!$HT$47:$HT$99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3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3</c:v>
                </c:pt>
                <c:pt idx="18">
                  <c:v>8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22">
                  <c:v>80</c:v>
                </c:pt>
                <c:pt idx="23">
                  <c:v>3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60</c:v>
                </c:pt>
                <c:pt idx="28">
                  <c:v>3</c:v>
                </c:pt>
                <c:pt idx="29">
                  <c:v>8</c:v>
                </c:pt>
                <c:pt idx="30">
                  <c:v>20</c:v>
                </c:pt>
                <c:pt idx="31">
                  <c:v>40</c:v>
                </c:pt>
                <c:pt idx="32">
                  <c:v>60</c:v>
                </c:pt>
                <c:pt idx="33">
                  <c:v>80</c:v>
                </c:pt>
                <c:pt idx="34">
                  <c:v>120</c:v>
                </c:pt>
                <c:pt idx="35">
                  <c:v>3</c:v>
                </c:pt>
                <c:pt idx="36">
                  <c:v>8</c:v>
                </c:pt>
                <c:pt idx="37">
                  <c:v>20</c:v>
                </c:pt>
                <c:pt idx="38">
                  <c:v>3</c:v>
                </c:pt>
                <c:pt idx="39">
                  <c:v>8</c:v>
                </c:pt>
                <c:pt idx="40">
                  <c:v>20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80</c:v>
                </c:pt>
                <c:pt idx="47">
                  <c:v>4</c:v>
                </c:pt>
                <c:pt idx="48">
                  <c:v>4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'Powerball Regression'!$HS$47:$HS$99</c:f>
              <c:numCache>
                <c:formatCode>_-* #,##0.0_-;\-* #,##0.0_-;_-* "-"??_-;_-@_-</c:formatCode>
                <c:ptCount val="53"/>
                <c:pt idx="0">
                  <c:v>77.623219458802055</c:v>
                </c:pt>
                <c:pt idx="1">
                  <c:v>18.162558102766802</c:v>
                </c:pt>
                <c:pt idx="2">
                  <c:v>25.998846336272418</c:v>
                </c:pt>
                <c:pt idx="3">
                  <c:v>41.039352751596226</c:v>
                </c:pt>
                <c:pt idx="4">
                  <c:v>57.263651200972937</c:v>
                </c:pt>
                <c:pt idx="5">
                  <c:v>80.09238577075098</c:v>
                </c:pt>
                <c:pt idx="6">
                  <c:v>125.40573986013986</c:v>
                </c:pt>
                <c:pt idx="7">
                  <c:v>20.220383581635755</c:v>
                </c:pt>
                <c:pt idx="8">
                  <c:v>29.212562359379749</c:v>
                </c:pt>
                <c:pt idx="9">
                  <c:v>43.186218060200659</c:v>
                </c:pt>
                <c:pt idx="10">
                  <c:v>19.506276923076921</c:v>
                </c:pt>
                <c:pt idx="11">
                  <c:v>25.355454910307085</c:v>
                </c:pt>
                <c:pt idx="12">
                  <c:v>19.222718151413801</c:v>
                </c:pt>
                <c:pt idx="13">
                  <c:v>26.314208574034662</c:v>
                </c:pt>
                <c:pt idx="14">
                  <c:v>42.338397567649736</c:v>
                </c:pt>
                <c:pt idx="15">
                  <c:v>59.016362663423536</c:v>
                </c:pt>
                <c:pt idx="16">
                  <c:v>83.423387290969913</c:v>
                </c:pt>
                <c:pt idx="17">
                  <c:v>18.862208574034657</c:v>
                </c:pt>
                <c:pt idx="18">
                  <c:v>25.128435147461236</c:v>
                </c:pt>
                <c:pt idx="19">
                  <c:v>41.533547217999399</c:v>
                </c:pt>
                <c:pt idx="20">
                  <c:v>57.357794101550631</c:v>
                </c:pt>
                <c:pt idx="21">
                  <c:v>81.402100334448164</c:v>
                </c:pt>
                <c:pt idx="22">
                  <c:v>109.81424530252357</c:v>
                </c:pt>
                <c:pt idx="23">
                  <c:v>18.912447065977499</c:v>
                </c:pt>
                <c:pt idx="24">
                  <c:v>26.709691456369718</c:v>
                </c:pt>
                <c:pt idx="25">
                  <c:v>40.654796959562177</c:v>
                </c:pt>
                <c:pt idx="26">
                  <c:v>45.526023472179993</c:v>
                </c:pt>
                <c:pt idx="27">
                  <c:v>76.041502462754636</c:v>
                </c:pt>
                <c:pt idx="28">
                  <c:v>18.115088355123142</c:v>
                </c:pt>
                <c:pt idx="29">
                  <c:v>23.312285071450287</c:v>
                </c:pt>
                <c:pt idx="30">
                  <c:v>34.469990878686531</c:v>
                </c:pt>
                <c:pt idx="31">
                  <c:v>56.254159197324419</c:v>
                </c:pt>
                <c:pt idx="32">
                  <c:v>79.133284037701429</c:v>
                </c:pt>
                <c:pt idx="33">
                  <c:v>115.9472403770143</c:v>
                </c:pt>
                <c:pt idx="34">
                  <c:v>244.63164487686225</c:v>
                </c:pt>
                <c:pt idx="35">
                  <c:v>19.764375068409851</c:v>
                </c:pt>
                <c:pt idx="36">
                  <c:v>26.335124840377009</c:v>
                </c:pt>
                <c:pt idx="37">
                  <c:v>40.906184493767107</c:v>
                </c:pt>
                <c:pt idx="38">
                  <c:v>19.376209911827303</c:v>
                </c:pt>
                <c:pt idx="39">
                  <c:v>27.161959987838248</c:v>
                </c:pt>
                <c:pt idx="40">
                  <c:v>42.925571784736995</c:v>
                </c:pt>
                <c:pt idx="41">
                  <c:v>20.606947765278193</c:v>
                </c:pt>
                <c:pt idx="42">
                  <c:v>24.23271170568562</c:v>
                </c:pt>
                <c:pt idx="43">
                  <c:v>39.401901124961988</c:v>
                </c:pt>
                <c:pt idx="44">
                  <c:v>58.067244025539672</c:v>
                </c:pt>
                <c:pt idx="45">
                  <c:v>83.810205168744289</c:v>
                </c:pt>
                <c:pt idx="46">
                  <c:v>116.72520401337792</c:v>
                </c:pt>
                <c:pt idx="47">
                  <c:v>21.016983155974454</c:v>
                </c:pt>
                <c:pt idx="48">
                  <c:v>21.125759318941927</c:v>
                </c:pt>
                <c:pt idx="49">
                  <c:v>27.291882760717545</c:v>
                </c:pt>
                <c:pt idx="50">
                  <c:v>41.963661416844026</c:v>
                </c:pt>
                <c:pt idx="51">
                  <c:v>57.463937245363326</c:v>
                </c:pt>
                <c:pt idx="52">
                  <c:v>77.836461903314074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6E-4923-BFD2-0F544AF06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69842094017094"/>
                  <c:y val="-0.10951041666666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Regression'!$HT$47:$HT$99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3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3</c:v>
                </c:pt>
                <c:pt idx="18">
                  <c:v>8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22">
                  <c:v>80</c:v>
                </c:pt>
                <c:pt idx="23">
                  <c:v>3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60</c:v>
                </c:pt>
                <c:pt idx="28">
                  <c:v>3</c:v>
                </c:pt>
                <c:pt idx="29">
                  <c:v>8</c:v>
                </c:pt>
                <c:pt idx="30">
                  <c:v>20</c:v>
                </c:pt>
                <c:pt idx="31">
                  <c:v>40</c:v>
                </c:pt>
                <c:pt idx="32">
                  <c:v>60</c:v>
                </c:pt>
                <c:pt idx="33">
                  <c:v>80</c:v>
                </c:pt>
                <c:pt idx="34">
                  <c:v>120</c:v>
                </c:pt>
                <c:pt idx="35">
                  <c:v>3</c:v>
                </c:pt>
                <c:pt idx="36">
                  <c:v>8</c:v>
                </c:pt>
                <c:pt idx="37">
                  <c:v>20</c:v>
                </c:pt>
                <c:pt idx="38">
                  <c:v>3</c:v>
                </c:pt>
                <c:pt idx="39">
                  <c:v>8</c:v>
                </c:pt>
                <c:pt idx="40">
                  <c:v>20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80</c:v>
                </c:pt>
                <c:pt idx="47">
                  <c:v>4</c:v>
                </c:pt>
                <c:pt idx="48">
                  <c:v>4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'Powerball Regression'!$HS$47:$HS$99</c:f>
              <c:numCache>
                <c:formatCode>_-* #,##0.0_-;\-* #,##0.0_-;_-* "-"??_-;_-@_-</c:formatCode>
                <c:ptCount val="53"/>
                <c:pt idx="0">
                  <c:v>77.623219458802055</c:v>
                </c:pt>
                <c:pt idx="1">
                  <c:v>18.162558102766802</c:v>
                </c:pt>
                <c:pt idx="2">
                  <c:v>25.998846336272418</c:v>
                </c:pt>
                <c:pt idx="3">
                  <c:v>41.039352751596226</c:v>
                </c:pt>
                <c:pt idx="4">
                  <c:v>57.263651200972937</c:v>
                </c:pt>
                <c:pt idx="5">
                  <c:v>80.09238577075098</c:v>
                </c:pt>
                <c:pt idx="6">
                  <c:v>125.40573986013986</c:v>
                </c:pt>
                <c:pt idx="7">
                  <c:v>20.220383581635755</c:v>
                </c:pt>
                <c:pt idx="8">
                  <c:v>29.212562359379749</c:v>
                </c:pt>
                <c:pt idx="9">
                  <c:v>43.186218060200659</c:v>
                </c:pt>
                <c:pt idx="10">
                  <c:v>19.506276923076921</c:v>
                </c:pt>
                <c:pt idx="11">
                  <c:v>25.355454910307085</c:v>
                </c:pt>
                <c:pt idx="12">
                  <c:v>19.222718151413801</c:v>
                </c:pt>
                <c:pt idx="13">
                  <c:v>26.314208574034662</c:v>
                </c:pt>
                <c:pt idx="14">
                  <c:v>42.338397567649736</c:v>
                </c:pt>
                <c:pt idx="15">
                  <c:v>59.016362663423536</c:v>
                </c:pt>
                <c:pt idx="16">
                  <c:v>83.423387290969913</c:v>
                </c:pt>
                <c:pt idx="17">
                  <c:v>18.862208574034657</c:v>
                </c:pt>
                <c:pt idx="18">
                  <c:v>25.128435147461236</c:v>
                </c:pt>
                <c:pt idx="19">
                  <c:v>41.533547217999399</c:v>
                </c:pt>
                <c:pt idx="20">
                  <c:v>57.357794101550631</c:v>
                </c:pt>
                <c:pt idx="21">
                  <c:v>81.402100334448164</c:v>
                </c:pt>
                <c:pt idx="22">
                  <c:v>109.81424530252357</c:v>
                </c:pt>
                <c:pt idx="23">
                  <c:v>18.912447065977499</c:v>
                </c:pt>
                <c:pt idx="24">
                  <c:v>26.709691456369718</c:v>
                </c:pt>
                <c:pt idx="25">
                  <c:v>40.654796959562177</c:v>
                </c:pt>
                <c:pt idx="26">
                  <c:v>45.526023472179993</c:v>
                </c:pt>
                <c:pt idx="27">
                  <c:v>76.041502462754636</c:v>
                </c:pt>
                <c:pt idx="28">
                  <c:v>18.115088355123142</c:v>
                </c:pt>
                <c:pt idx="29">
                  <c:v>23.312285071450287</c:v>
                </c:pt>
                <c:pt idx="30">
                  <c:v>34.469990878686531</c:v>
                </c:pt>
                <c:pt idx="31">
                  <c:v>56.254159197324419</c:v>
                </c:pt>
                <c:pt idx="32">
                  <c:v>79.133284037701429</c:v>
                </c:pt>
                <c:pt idx="33">
                  <c:v>115.9472403770143</c:v>
                </c:pt>
                <c:pt idx="34">
                  <c:v>244.63164487686225</c:v>
                </c:pt>
                <c:pt idx="35">
                  <c:v>19.764375068409851</c:v>
                </c:pt>
                <c:pt idx="36">
                  <c:v>26.335124840377009</c:v>
                </c:pt>
                <c:pt idx="37">
                  <c:v>40.906184493767107</c:v>
                </c:pt>
                <c:pt idx="38">
                  <c:v>19.376209911827303</c:v>
                </c:pt>
                <c:pt idx="39">
                  <c:v>27.161959987838248</c:v>
                </c:pt>
                <c:pt idx="40">
                  <c:v>42.925571784736995</c:v>
                </c:pt>
                <c:pt idx="41">
                  <c:v>20.606947765278193</c:v>
                </c:pt>
                <c:pt idx="42">
                  <c:v>24.23271170568562</c:v>
                </c:pt>
                <c:pt idx="43">
                  <c:v>39.401901124961988</c:v>
                </c:pt>
                <c:pt idx="44">
                  <c:v>58.067244025539672</c:v>
                </c:pt>
                <c:pt idx="45">
                  <c:v>83.810205168744289</c:v>
                </c:pt>
                <c:pt idx="46">
                  <c:v>116.72520401337792</c:v>
                </c:pt>
                <c:pt idx="47">
                  <c:v>21.016983155974454</c:v>
                </c:pt>
                <c:pt idx="48">
                  <c:v>21.125759318941927</c:v>
                </c:pt>
                <c:pt idx="49">
                  <c:v>27.291882760717545</c:v>
                </c:pt>
                <c:pt idx="50">
                  <c:v>41.963661416844026</c:v>
                </c:pt>
                <c:pt idx="51">
                  <c:v>57.463937245363326</c:v>
                </c:pt>
                <c:pt idx="52">
                  <c:v>77.836461903314074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13-4F54-92B9-06F7E5FA4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24850427350427"/>
                  <c:y val="-0.136664583333333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Regression'!$IP$67:$IP$119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160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100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100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Regression'!$IO$67:$IO$119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183.08447309212528</c:v>
                </c:pt>
                <c:pt idx="16">
                  <c:v>284.83741380358765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137.55484439039225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169.14758330609132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33-42B9-973A-989CDE84E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461666666666667"/>
                  <c:y val="-6.62791666666666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Regression'!$IP$67:$IP$119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160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100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100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Regression'!$IO$67:$IO$119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183.08447309212528</c:v>
                </c:pt>
                <c:pt idx="16">
                  <c:v>284.83741380358765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137.55484439039225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169.14758330609132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B7-4D1C-AC66-2503C4E53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1233803418803419"/>
                  <c:y val="-5.2590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Regression'!$IP$67:$IP$119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160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100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100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Regression'!$IO$67:$IO$119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183.08447309212528</c:v>
                </c:pt>
                <c:pt idx="16">
                  <c:v>284.83741380358765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137.55484439039225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169.14758330609132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C8-486C-AA4C-00CD2899A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Regression'!$GI$47:$GI$98</c:f>
              <c:numCache>
                <c:formatCode>_-* #,##0.0_-;\-* #,##0.0_-;_-* "-"??_-;_-@_-</c:formatCode>
                <c:ptCount val="52"/>
                <c:pt idx="0">
                  <c:v>60</c:v>
                </c:pt>
                <c:pt idx="1">
                  <c:v>80</c:v>
                </c:pt>
                <c:pt idx="2">
                  <c:v>110</c:v>
                </c:pt>
                <c:pt idx="3">
                  <c:v>3</c:v>
                </c:pt>
                <c:pt idx="4">
                  <c:v>8</c:v>
                </c:pt>
                <c:pt idx="5">
                  <c:v>12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100</c:v>
                </c:pt>
                <c:pt idx="11">
                  <c:v>150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8</c:v>
                </c:pt>
                <c:pt idx="17">
                  <c:v>12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3</c:v>
                </c:pt>
                <c:pt idx="22">
                  <c:v>8</c:v>
                </c:pt>
                <c:pt idx="23">
                  <c:v>12</c:v>
                </c:pt>
                <c:pt idx="24">
                  <c:v>15</c:v>
                </c:pt>
                <c:pt idx="25">
                  <c:v>20</c:v>
                </c:pt>
                <c:pt idx="26">
                  <c:v>3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40</c:v>
                </c:pt>
                <c:pt idx="31">
                  <c:v>60</c:v>
                </c:pt>
                <c:pt idx="32">
                  <c:v>3</c:v>
                </c:pt>
                <c:pt idx="33">
                  <c:v>8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60</c:v>
                </c:pt>
                <c:pt idx="38">
                  <c:v>80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15</c:v>
                </c:pt>
                <c:pt idx="48">
                  <c:v>3</c:v>
                </c:pt>
                <c:pt idx="49">
                  <c:v>8</c:v>
                </c:pt>
                <c:pt idx="50">
                  <c:v>15</c:v>
                </c:pt>
                <c:pt idx="51">
                  <c:v>30</c:v>
                </c:pt>
              </c:numCache>
            </c:numRef>
          </c:xVal>
          <c:yVal>
            <c:numRef>
              <c:f>'Powerball Regression'!$GH$47:$GH$98</c:f>
              <c:numCache>
                <c:formatCode>_-* #,##0.0_-;\-* #,##0.0_-;_-* "-"??_-;_-@_-</c:formatCode>
                <c:ptCount val="52"/>
                <c:pt idx="0">
                  <c:v>52.868604987932429</c:v>
                </c:pt>
                <c:pt idx="1">
                  <c:v>73.766786311034096</c:v>
                </c:pt>
                <c:pt idx="2">
                  <c:v>149.65972894362272</c:v>
                </c:pt>
                <c:pt idx="3">
                  <c:v>14.254130329847143</c:v>
                </c:pt>
                <c:pt idx="4">
                  <c:v>17.621573612228481</c:v>
                </c:pt>
                <c:pt idx="5">
                  <c:v>22.977947397735008</c:v>
                </c:pt>
                <c:pt idx="6">
                  <c:v>29.967446995482394</c:v>
                </c:pt>
                <c:pt idx="7">
                  <c:v>39.864962683334355</c:v>
                </c:pt>
                <c:pt idx="8">
                  <c:v>55.027958165728073</c:v>
                </c:pt>
                <c:pt idx="9">
                  <c:v>82.565532768116853</c:v>
                </c:pt>
                <c:pt idx="10">
                  <c:v>124.36185927346989</c:v>
                </c:pt>
                <c:pt idx="11">
                  <c:v>202.66496689151555</c:v>
                </c:pt>
                <c:pt idx="12">
                  <c:v>15.306639767312332</c:v>
                </c:pt>
                <c:pt idx="13">
                  <c:v>18.203091032860947</c:v>
                </c:pt>
                <c:pt idx="14">
                  <c:v>21.62795791818801</c:v>
                </c:pt>
                <c:pt idx="15">
                  <c:v>14.675381397363697</c:v>
                </c:pt>
                <c:pt idx="16">
                  <c:v>19.900891144253976</c:v>
                </c:pt>
                <c:pt idx="17">
                  <c:v>22.777251067516556</c:v>
                </c:pt>
                <c:pt idx="18">
                  <c:v>30.483818305588219</c:v>
                </c:pt>
                <c:pt idx="19">
                  <c:v>40.529243888854509</c:v>
                </c:pt>
                <c:pt idx="20">
                  <c:v>48.609266415000924</c:v>
                </c:pt>
                <c:pt idx="21">
                  <c:v>15.126397920663408</c:v>
                </c:pt>
                <c:pt idx="22">
                  <c:v>20.501358252367101</c:v>
                </c:pt>
                <c:pt idx="23">
                  <c:v>25.306949439940592</c:v>
                </c:pt>
                <c:pt idx="24">
                  <c:v>25.742781855312831</c:v>
                </c:pt>
                <c:pt idx="25">
                  <c:v>25.073378303112815</c:v>
                </c:pt>
                <c:pt idx="26">
                  <c:v>14.302579986385295</c:v>
                </c:pt>
                <c:pt idx="27">
                  <c:v>20.379060090352123</c:v>
                </c:pt>
                <c:pt idx="28">
                  <c:v>25.817218392227243</c:v>
                </c:pt>
                <c:pt idx="29">
                  <c:v>34.282351135590076</c:v>
                </c:pt>
                <c:pt idx="30">
                  <c:v>45.674629370629361</c:v>
                </c:pt>
                <c:pt idx="31">
                  <c:v>67.313625100563158</c:v>
                </c:pt>
                <c:pt idx="32">
                  <c:v>14.466345689708522</c:v>
                </c:pt>
                <c:pt idx="33">
                  <c:v>21.31719914867741</c:v>
                </c:pt>
                <c:pt idx="34">
                  <c:v>28.132182912739434</c:v>
                </c:pt>
                <c:pt idx="35">
                  <c:v>36.338271571906361</c:v>
                </c:pt>
                <c:pt idx="36">
                  <c:v>47.382249437519008</c:v>
                </c:pt>
                <c:pt idx="37">
                  <c:v>63.68030355731225</c:v>
                </c:pt>
                <c:pt idx="38">
                  <c:v>82.611427667984188</c:v>
                </c:pt>
                <c:pt idx="39">
                  <c:v>15.454267436910914</c:v>
                </c:pt>
                <c:pt idx="40">
                  <c:v>21.964242505320762</c:v>
                </c:pt>
                <c:pt idx="41">
                  <c:v>28.686509212526602</c:v>
                </c:pt>
                <c:pt idx="42">
                  <c:v>40.886779446640311</c:v>
                </c:pt>
                <c:pt idx="43">
                  <c:v>17.546634478564911</c:v>
                </c:pt>
                <c:pt idx="44">
                  <c:v>22.952706354515055</c:v>
                </c:pt>
                <c:pt idx="45">
                  <c:v>17.170624749163878</c:v>
                </c:pt>
                <c:pt idx="46">
                  <c:v>24.236348555792038</c:v>
                </c:pt>
                <c:pt idx="47">
                  <c:v>37.016112131346915</c:v>
                </c:pt>
                <c:pt idx="48">
                  <c:v>18.06607941623594</c:v>
                </c:pt>
                <c:pt idx="49">
                  <c:v>24.991572879294623</c:v>
                </c:pt>
                <c:pt idx="50">
                  <c:v>31.885473031316504</c:v>
                </c:pt>
                <c:pt idx="51">
                  <c:v>48.173921070234115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88-4FEE-BAD2-CC354175B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Regression'!$GI$47:$GI$98</c:f>
              <c:numCache>
                <c:formatCode>_-* #,##0.0_-;\-* #,##0.0_-;_-* "-"??_-;_-@_-</c:formatCode>
                <c:ptCount val="52"/>
                <c:pt idx="0">
                  <c:v>60</c:v>
                </c:pt>
                <c:pt idx="1">
                  <c:v>80</c:v>
                </c:pt>
                <c:pt idx="2">
                  <c:v>110</c:v>
                </c:pt>
                <c:pt idx="3">
                  <c:v>3</c:v>
                </c:pt>
                <c:pt idx="4">
                  <c:v>8</c:v>
                </c:pt>
                <c:pt idx="5">
                  <c:v>12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100</c:v>
                </c:pt>
                <c:pt idx="11">
                  <c:v>150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8</c:v>
                </c:pt>
                <c:pt idx="17">
                  <c:v>12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3</c:v>
                </c:pt>
                <c:pt idx="22">
                  <c:v>8</c:v>
                </c:pt>
                <c:pt idx="23">
                  <c:v>12</c:v>
                </c:pt>
                <c:pt idx="24">
                  <c:v>15</c:v>
                </c:pt>
                <c:pt idx="25">
                  <c:v>20</c:v>
                </c:pt>
                <c:pt idx="26">
                  <c:v>3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40</c:v>
                </c:pt>
                <c:pt idx="31">
                  <c:v>60</c:v>
                </c:pt>
                <c:pt idx="32">
                  <c:v>3</c:v>
                </c:pt>
                <c:pt idx="33">
                  <c:v>8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60</c:v>
                </c:pt>
                <c:pt idx="38">
                  <c:v>80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15</c:v>
                </c:pt>
                <c:pt idx="48">
                  <c:v>3</c:v>
                </c:pt>
                <c:pt idx="49">
                  <c:v>8</c:v>
                </c:pt>
                <c:pt idx="50">
                  <c:v>15</c:v>
                </c:pt>
                <c:pt idx="51">
                  <c:v>30</c:v>
                </c:pt>
              </c:numCache>
            </c:numRef>
          </c:xVal>
          <c:yVal>
            <c:numRef>
              <c:f>'Powerball Regression'!$GH$47:$GH$98</c:f>
              <c:numCache>
                <c:formatCode>_-* #,##0.0_-;\-* #,##0.0_-;_-* "-"??_-;_-@_-</c:formatCode>
                <c:ptCount val="52"/>
                <c:pt idx="0">
                  <c:v>52.868604987932429</c:v>
                </c:pt>
                <c:pt idx="1">
                  <c:v>73.766786311034096</c:v>
                </c:pt>
                <c:pt idx="2">
                  <c:v>149.65972894362272</c:v>
                </c:pt>
                <c:pt idx="3">
                  <c:v>14.254130329847143</c:v>
                </c:pt>
                <c:pt idx="4">
                  <c:v>17.621573612228481</c:v>
                </c:pt>
                <c:pt idx="5">
                  <c:v>22.977947397735008</c:v>
                </c:pt>
                <c:pt idx="6">
                  <c:v>29.967446995482394</c:v>
                </c:pt>
                <c:pt idx="7">
                  <c:v>39.864962683334355</c:v>
                </c:pt>
                <c:pt idx="8">
                  <c:v>55.027958165728073</c:v>
                </c:pt>
                <c:pt idx="9">
                  <c:v>82.565532768116853</c:v>
                </c:pt>
                <c:pt idx="10">
                  <c:v>124.36185927346989</c:v>
                </c:pt>
                <c:pt idx="11">
                  <c:v>202.66496689151555</c:v>
                </c:pt>
                <c:pt idx="12">
                  <c:v>15.306639767312332</c:v>
                </c:pt>
                <c:pt idx="13">
                  <c:v>18.203091032860947</c:v>
                </c:pt>
                <c:pt idx="14">
                  <c:v>21.62795791818801</c:v>
                </c:pt>
                <c:pt idx="15">
                  <c:v>14.675381397363697</c:v>
                </c:pt>
                <c:pt idx="16">
                  <c:v>19.900891144253976</c:v>
                </c:pt>
                <c:pt idx="17">
                  <c:v>22.777251067516556</c:v>
                </c:pt>
                <c:pt idx="18">
                  <c:v>30.483818305588219</c:v>
                </c:pt>
                <c:pt idx="19">
                  <c:v>40.529243888854509</c:v>
                </c:pt>
                <c:pt idx="20">
                  <c:v>48.609266415000924</c:v>
                </c:pt>
                <c:pt idx="21">
                  <c:v>15.126397920663408</c:v>
                </c:pt>
                <c:pt idx="22">
                  <c:v>20.501358252367101</c:v>
                </c:pt>
                <c:pt idx="23">
                  <c:v>25.306949439940592</c:v>
                </c:pt>
                <c:pt idx="24">
                  <c:v>25.742781855312831</c:v>
                </c:pt>
                <c:pt idx="25">
                  <c:v>25.073378303112815</c:v>
                </c:pt>
                <c:pt idx="26">
                  <c:v>14.302579986385295</c:v>
                </c:pt>
                <c:pt idx="27">
                  <c:v>20.379060090352123</c:v>
                </c:pt>
                <c:pt idx="28">
                  <c:v>25.817218392227243</c:v>
                </c:pt>
                <c:pt idx="29">
                  <c:v>34.282351135590076</c:v>
                </c:pt>
                <c:pt idx="30">
                  <c:v>45.674629370629361</c:v>
                </c:pt>
                <c:pt idx="31">
                  <c:v>67.313625100563158</c:v>
                </c:pt>
                <c:pt idx="32">
                  <c:v>14.466345689708522</c:v>
                </c:pt>
                <c:pt idx="33">
                  <c:v>21.31719914867741</c:v>
                </c:pt>
                <c:pt idx="34">
                  <c:v>28.132182912739434</c:v>
                </c:pt>
                <c:pt idx="35">
                  <c:v>36.338271571906361</c:v>
                </c:pt>
                <c:pt idx="36">
                  <c:v>47.382249437519008</c:v>
                </c:pt>
                <c:pt idx="37">
                  <c:v>63.68030355731225</c:v>
                </c:pt>
                <c:pt idx="38">
                  <c:v>82.611427667984188</c:v>
                </c:pt>
                <c:pt idx="39">
                  <c:v>15.454267436910914</c:v>
                </c:pt>
                <c:pt idx="40">
                  <c:v>21.964242505320762</c:v>
                </c:pt>
                <c:pt idx="41">
                  <c:v>28.686509212526602</c:v>
                </c:pt>
                <c:pt idx="42">
                  <c:v>40.886779446640311</c:v>
                </c:pt>
                <c:pt idx="43">
                  <c:v>17.546634478564911</c:v>
                </c:pt>
                <c:pt idx="44">
                  <c:v>22.952706354515055</c:v>
                </c:pt>
                <c:pt idx="45">
                  <c:v>17.170624749163878</c:v>
                </c:pt>
                <c:pt idx="46">
                  <c:v>24.236348555792038</c:v>
                </c:pt>
                <c:pt idx="47">
                  <c:v>37.016112131346915</c:v>
                </c:pt>
                <c:pt idx="48">
                  <c:v>18.06607941623594</c:v>
                </c:pt>
                <c:pt idx="49">
                  <c:v>24.991572879294623</c:v>
                </c:pt>
                <c:pt idx="50">
                  <c:v>31.885473031316504</c:v>
                </c:pt>
                <c:pt idx="51">
                  <c:v>48.173921070234115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5B-4150-AD53-4EFDC86D5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Regression'!$NJ$47:$NJ$99</c:f>
              <c:numCache>
                <c:formatCode>_-* #,##0.0_-;\-* #,##0.0_-;_-* "-"??_-;_-@_-</c:formatCode>
                <c:ptCount val="53"/>
                <c:pt idx="0">
                  <c:v>6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50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15</c:v>
                </c:pt>
                <c:pt idx="9">
                  <c:v>30</c:v>
                </c:pt>
                <c:pt idx="10">
                  <c:v>3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15</c:v>
                </c:pt>
                <c:pt idx="22">
                  <c:v>30</c:v>
                </c:pt>
                <c:pt idx="23">
                  <c:v>50</c:v>
                </c:pt>
                <c:pt idx="24">
                  <c:v>3</c:v>
                </c:pt>
                <c:pt idx="25">
                  <c:v>6</c:v>
                </c:pt>
                <c:pt idx="26">
                  <c:v>10</c:v>
                </c:pt>
                <c:pt idx="27">
                  <c:v>15</c:v>
                </c:pt>
                <c:pt idx="28">
                  <c:v>3</c:v>
                </c:pt>
                <c:pt idx="29">
                  <c:v>6</c:v>
                </c:pt>
                <c:pt idx="30">
                  <c:v>3</c:v>
                </c:pt>
                <c:pt idx="31">
                  <c:v>6</c:v>
                </c:pt>
                <c:pt idx="32">
                  <c:v>10</c:v>
                </c:pt>
                <c:pt idx="33">
                  <c:v>3</c:v>
                </c:pt>
                <c:pt idx="34">
                  <c:v>6</c:v>
                </c:pt>
                <c:pt idx="35">
                  <c:v>10</c:v>
                </c:pt>
              </c:numCache>
            </c:numRef>
          </c:xVal>
          <c:yVal>
            <c:numRef>
              <c:f>'Powerball Regression'!$NI$47:$NI$99</c:f>
              <c:numCache>
                <c:formatCode>_-* #,##0.0_-;\-* #,##0.0_-;_-* "-"??_-;_-@_-</c:formatCode>
                <c:ptCount val="53"/>
                <c:pt idx="0">
                  <c:v>17.646640000000001</c:v>
                </c:pt>
                <c:pt idx="1">
                  <c:v>23.499739999999999</c:v>
                </c:pt>
                <c:pt idx="2">
                  <c:v>26.247979999999998</c:v>
                </c:pt>
                <c:pt idx="3">
                  <c:v>42.723999999999997</c:v>
                </c:pt>
                <c:pt idx="4">
                  <c:v>67.043239999999997</c:v>
                </c:pt>
                <c:pt idx="5">
                  <c:v>13.68488</c:v>
                </c:pt>
                <c:pt idx="6">
                  <c:v>16.170660000000002</c:v>
                </c:pt>
                <c:pt idx="7">
                  <c:v>23.254439999999999</c:v>
                </c:pt>
                <c:pt idx="8">
                  <c:v>30.271339999999999</c:v>
                </c:pt>
                <c:pt idx="9">
                  <c:v>43.455060000000003</c:v>
                </c:pt>
                <c:pt idx="10">
                  <c:v>12.797510000000001</c:v>
                </c:pt>
                <c:pt idx="11">
                  <c:v>17.675350000000002</c:v>
                </c:pt>
                <c:pt idx="12">
                  <c:v>14.26502</c:v>
                </c:pt>
                <c:pt idx="13">
                  <c:v>15.74925</c:v>
                </c:pt>
                <c:pt idx="14">
                  <c:v>13.65188</c:v>
                </c:pt>
                <c:pt idx="15">
                  <c:v>12.28942</c:v>
                </c:pt>
                <c:pt idx="16">
                  <c:v>17.31664</c:v>
                </c:pt>
                <c:pt idx="17">
                  <c:v>13.75286</c:v>
                </c:pt>
                <c:pt idx="18">
                  <c:v>13.145</c:v>
                </c:pt>
                <c:pt idx="19">
                  <c:v>16.1205</c:v>
                </c:pt>
                <c:pt idx="20">
                  <c:v>18.67052</c:v>
                </c:pt>
                <c:pt idx="21">
                  <c:v>25.652989999999999</c:v>
                </c:pt>
                <c:pt idx="22">
                  <c:v>42.817610000000002</c:v>
                </c:pt>
                <c:pt idx="23">
                  <c:v>69.624499999999998</c:v>
                </c:pt>
                <c:pt idx="24">
                  <c:v>14.26689</c:v>
                </c:pt>
                <c:pt idx="25">
                  <c:v>17.496269999999999</c:v>
                </c:pt>
                <c:pt idx="26">
                  <c:v>25.258199999999999</c:v>
                </c:pt>
                <c:pt idx="27">
                  <c:v>28.366800000000001</c:v>
                </c:pt>
                <c:pt idx="28">
                  <c:v>12.711600000000001</c:v>
                </c:pt>
                <c:pt idx="29">
                  <c:v>16.118189999999998</c:v>
                </c:pt>
                <c:pt idx="30">
                  <c:v>13.037419999999999</c:v>
                </c:pt>
                <c:pt idx="31">
                  <c:v>17.39518</c:v>
                </c:pt>
                <c:pt idx="32">
                  <c:v>25.136980000000001</c:v>
                </c:pt>
                <c:pt idx="33">
                  <c:v>13.05095</c:v>
                </c:pt>
                <c:pt idx="34">
                  <c:v>17.104120000000002</c:v>
                </c:pt>
                <c:pt idx="35">
                  <c:v>19.45515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BE-4A85-B866-FF687F26A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Regression'!$NJ$47:$NJ$99</c:f>
              <c:numCache>
                <c:formatCode>_-* #,##0.0_-;\-* #,##0.0_-;_-* "-"??_-;_-@_-</c:formatCode>
                <c:ptCount val="53"/>
                <c:pt idx="0">
                  <c:v>6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50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15</c:v>
                </c:pt>
                <c:pt idx="9">
                  <c:v>30</c:v>
                </c:pt>
                <c:pt idx="10">
                  <c:v>3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15</c:v>
                </c:pt>
                <c:pt idx="22">
                  <c:v>30</c:v>
                </c:pt>
                <c:pt idx="23">
                  <c:v>50</c:v>
                </c:pt>
                <c:pt idx="24">
                  <c:v>3</c:v>
                </c:pt>
                <c:pt idx="25">
                  <c:v>6</c:v>
                </c:pt>
                <c:pt idx="26">
                  <c:v>10</c:v>
                </c:pt>
                <c:pt idx="27">
                  <c:v>15</c:v>
                </c:pt>
                <c:pt idx="28">
                  <c:v>3</c:v>
                </c:pt>
                <c:pt idx="29">
                  <c:v>6</c:v>
                </c:pt>
                <c:pt idx="30">
                  <c:v>3</c:v>
                </c:pt>
                <c:pt idx="31">
                  <c:v>6</c:v>
                </c:pt>
                <c:pt idx="32">
                  <c:v>10</c:v>
                </c:pt>
                <c:pt idx="33">
                  <c:v>3</c:v>
                </c:pt>
                <c:pt idx="34">
                  <c:v>6</c:v>
                </c:pt>
                <c:pt idx="35">
                  <c:v>10</c:v>
                </c:pt>
              </c:numCache>
            </c:numRef>
          </c:xVal>
          <c:yVal>
            <c:numRef>
              <c:f>'Powerball Regression'!$NI$47:$NI$99</c:f>
              <c:numCache>
                <c:formatCode>_-* #,##0.0_-;\-* #,##0.0_-;_-* "-"??_-;_-@_-</c:formatCode>
                <c:ptCount val="53"/>
                <c:pt idx="0">
                  <c:v>17.646640000000001</c:v>
                </c:pt>
                <c:pt idx="1">
                  <c:v>23.499739999999999</c:v>
                </c:pt>
                <c:pt idx="2">
                  <c:v>26.247979999999998</c:v>
                </c:pt>
                <c:pt idx="3">
                  <c:v>42.723999999999997</c:v>
                </c:pt>
                <c:pt idx="4">
                  <c:v>67.043239999999997</c:v>
                </c:pt>
                <c:pt idx="5">
                  <c:v>13.68488</c:v>
                </c:pt>
                <c:pt idx="6">
                  <c:v>16.170660000000002</c:v>
                </c:pt>
                <c:pt idx="7">
                  <c:v>23.254439999999999</c:v>
                </c:pt>
                <c:pt idx="8">
                  <c:v>30.271339999999999</c:v>
                </c:pt>
                <c:pt idx="9">
                  <c:v>43.455060000000003</c:v>
                </c:pt>
                <c:pt idx="10">
                  <c:v>12.797510000000001</c:v>
                </c:pt>
                <c:pt idx="11">
                  <c:v>17.675350000000002</c:v>
                </c:pt>
                <c:pt idx="12">
                  <c:v>14.26502</c:v>
                </c:pt>
                <c:pt idx="13">
                  <c:v>15.74925</c:v>
                </c:pt>
                <c:pt idx="14">
                  <c:v>13.65188</c:v>
                </c:pt>
                <c:pt idx="15">
                  <c:v>12.28942</c:v>
                </c:pt>
                <c:pt idx="16">
                  <c:v>17.31664</c:v>
                </c:pt>
                <c:pt idx="17">
                  <c:v>13.75286</c:v>
                </c:pt>
                <c:pt idx="18">
                  <c:v>13.145</c:v>
                </c:pt>
                <c:pt idx="19">
                  <c:v>16.1205</c:v>
                </c:pt>
                <c:pt idx="20">
                  <c:v>18.67052</c:v>
                </c:pt>
                <c:pt idx="21">
                  <c:v>25.652989999999999</c:v>
                </c:pt>
                <c:pt idx="22">
                  <c:v>42.817610000000002</c:v>
                </c:pt>
                <c:pt idx="23">
                  <c:v>69.624499999999998</c:v>
                </c:pt>
                <c:pt idx="24">
                  <c:v>14.26689</c:v>
                </c:pt>
                <c:pt idx="25">
                  <c:v>17.496269999999999</c:v>
                </c:pt>
                <c:pt idx="26">
                  <c:v>25.258199999999999</c:v>
                </c:pt>
                <c:pt idx="27">
                  <c:v>28.366800000000001</c:v>
                </c:pt>
                <c:pt idx="28">
                  <c:v>12.711600000000001</c:v>
                </c:pt>
                <c:pt idx="29">
                  <c:v>16.118189999999998</c:v>
                </c:pt>
                <c:pt idx="30">
                  <c:v>13.037419999999999</c:v>
                </c:pt>
                <c:pt idx="31">
                  <c:v>17.39518</c:v>
                </c:pt>
                <c:pt idx="32">
                  <c:v>25.136980000000001</c:v>
                </c:pt>
                <c:pt idx="33">
                  <c:v>13.05095</c:v>
                </c:pt>
                <c:pt idx="34">
                  <c:v>17.104120000000002</c:v>
                </c:pt>
                <c:pt idx="35">
                  <c:v>19.45515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FC-436C-8B32-67EEDB5C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Regression'!$NY$47:$NY$99</c:f>
              <c:numCache>
                <c:formatCode>_-* #,##0.0_-;\-* #,##0.0_-;_-* "-"??_-;_-@_-</c:formatCode>
                <c:ptCount val="53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12</c:v>
                </c:pt>
                <c:pt idx="12">
                  <c:v>20</c:v>
                </c:pt>
                <c:pt idx="13">
                  <c:v>30</c:v>
                </c:pt>
                <c:pt idx="14">
                  <c:v>40</c:v>
                </c:pt>
                <c:pt idx="15">
                  <c:v>50</c:v>
                </c:pt>
                <c:pt idx="16">
                  <c:v>80</c:v>
                </c:pt>
                <c:pt idx="17">
                  <c:v>100</c:v>
                </c:pt>
                <c:pt idx="18">
                  <c:v>3</c:v>
                </c:pt>
                <c:pt idx="19">
                  <c:v>8</c:v>
                </c:pt>
                <c:pt idx="20">
                  <c:v>12</c:v>
                </c:pt>
                <c:pt idx="21">
                  <c:v>20</c:v>
                </c:pt>
                <c:pt idx="22">
                  <c:v>30</c:v>
                </c:pt>
                <c:pt idx="23">
                  <c:v>3</c:v>
                </c:pt>
                <c:pt idx="24">
                  <c:v>8</c:v>
                </c:pt>
                <c:pt idx="25">
                  <c:v>12</c:v>
                </c:pt>
                <c:pt idx="26">
                  <c:v>20</c:v>
                </c:pt>
                <c:pt idx="27">
                  <c:v>30</c:v>
                </c:pt>
                <c:pt idx="28">
                  <c:v>40</c:v>
                </c:pt>
                <c:pt idx="29">
                  <c:v>60</c:v>
                </c:pt>
                <c:pt idx="30">
                  <c:v>3</c:v>
                </c:pt>
                <c:pt idx="31">
                  <c:v>3</c:v>
                </c:pt>
                <c:pt idx="32">
                  <c:v>8</c:v>
                </c:pt>
                <c:pt idx="33">
                  <c:v>12</c:v>
                </c:pt>
                <c:pt idx="34">
                  <c:v>20</c:v>
                </c:pt>
                <c:pt idx="35">
                  <c:v>25</c:v>
                </c:pt>
              </c:numCache>
            </c:numRef>
          </c:xVal>
          <c:yVal>
            <c:numRef>
              <c:f>'Powerball Regression'!$NX$47:$NX$99</c:f>
              <c:numCache>
                <c:formatCode>_-* #,##0.0_-;\-* #,##0.0_-;_-* "-"??_-;_-@_-</c:formatCode>
                <c:ptCount val="53"/>
                <c:pt idx="0">
                  <c:v>18.243324000000001</c:v>
                </c:pt>
                <c:pt idx="1">
                  <c:v>11.782121999999999</c:v>
                </c:pt>
                <c:pt idx="2">
                  <c:v>16.804853999999999</c:v>
                </c:pt>
                <c:pt idx="3">
                  <c:v>17.618040000000001</c:v>
                </c:pt>
                <c:pt idx="4">
                  <c:v>26.383103999999999</c:v>
                </c:pt>
                <c:pt idx="5">
                  <c:v>36.245220000000003</c:v>
                </c:pt>
                <c:pt idx="6">
                  <c:v>46.268706000000002</c:v>
                </c:pt>
                <c:pt idx="7">
                  <c:v>56.733600000000003</c:v>
                </c:pt>
                <c:pt idx="8">
                  <c:v>11.832018</c:v>
                </c:pt>
                <c:pt idx="9">
                  <c:v>11.01375</c:v>
                </c:pt>
                <c:pt idx="10">
                  <c:v>16.538214</c:v>
                </c:pt>
                <c:pt idx="11">
                  <c:v>20.156862</c:v>
                </c:pt>
                <c:pt idx="12">
                  <c:v>27.395676000000002</c:v>
                </c:pt>
                <c:pt idx="13">
                  <c:v>32.154144000000002</c:v>
                </c:pt>
                <c:pt idx="14">
                  <c:v>38.903700000000001</c:v>
                </c:pt>
                <c:pt idx="15">
                  <c:v>47.926296000000001</c:v>
                </c:pt>
                <c:pt idx="16">
                  <c:v>90.542231999999998</c:v>
                </c:pt>
                <c:pt idx="17">
                  <c:v>168.61891199999999</c:v>
                </c:pt>
                <c:pt idx="18">
                  <c:v>14.740043999999999</c:v>
                </c:pt>
                <c:pt idx="19">
                  <c:v>17.328102000000001</c:v>
                </c:pt>
                <c:pt idx="20">
                  <c:v>21.834251999999999</c:v>
                </c:pt>
                <c:pt idx="21">
                  <c:v>28.53378</c:v>
                </c:pt>
                <c:pt idx="22">
                  <c:v>37.562184000000002</c:v>
                </c:pt>
                <c:pt idx="23">
                  <c:v>12.930785999999999</c:v>
                </c:pt>
                <c:pt idx="24">
                  <c:v>18.459935999999999</c:v>
                </c:pt>
                <c:pt idx="25">
                  <c:v>24.480720000000002</c:v>
                </c:pt>
                <c:pt idx="26">
                  <c:v>29.189556</c:v>
                </c:pt>
                <c:pt idx="27">
                  <c:v>34.647557999999997</c:v>
                </c:pt>
                <c:pt idx="28">
                  <c:v>42.118955999999997</c:v>
                </c:pt>
                <c:pt idx="29">
                  <c:v>69.371610000000004</c:v>
                </c:pt>
                <c:pt idx="30">
                  <c:v>13.565772000000001</c:v>
                </c:pt>
                <c:pt idx="31">
                  <c:v>13.172082</c:v>
                </c:pt>
                <c:pt idx="32">
                  <c:v>19.567152</c:v>
                </c:pt>
                <c:pt idx="33">
                  <c:v>24.038585999999999</c:v>
                </c:pt>
                <c:pt idx="34">
                  <c:v>31.84929</c:v>
                </c:pt>
                <c:pt idx="35">
                  <c:v>32.226612000000003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E-413B-B2D3-1D2F2FA46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Regression'!$NY$47:$NY$99</c:f>
              <c:numCache>
                <c:formatCode>_-* #,##0.0_-;\-* #,##0.0_-;_-* "-"??_-;_-@_-</c:formatCode>
                <c:ptCount val="53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12</c:v>
                </c:pt>
                <c:pt idx="12">
                  <c:v>20</c:v>
                </c:pt>
                <c:pt idx="13">
                  <c:v>30</c:v>
                </c:pt>
                <c:pt idx="14">
                  <c:v>40</c:v>
                </c:pt>
                <c:pt idx="15">
                  <c:v>50</c:v>
                </c:pt>
                <c:pt idx="16">
                  <c:v>80</c:v>
                </c:pt>
                <c:pt idx="17">
                  <c:v>100</c:v>
                </c:pt>
                <c:pt idx="18">
                  <c:v>3</c:v>
                </c:pt>
                <c:pt idx="19">
                  <c:v>8</c:v>
                </c:pt>
                <c:pt idx="20">
                  <c:v>12</c:v>
                </c:pt>
                <c:pt idx="21">
                  <c:v>20</c:v>
                </c:pt>
                <c:pt idx="22">
                  <c:v>30</c:v>
                </c:pt>
                <c:pt idx="23">
                  <c:v>3</c:v>
                </c:pt>
                <c:pt idx="24">
                  <c:v>8</c:v>
                </c:pt>
                <c:pt idx="25">
                  <c:v>12</c:v>
                </c:pt>
                <c:pt idx="26">
                  <c:v>20</c:v>
                </c:pt>
                <c:pt idx="27">
                  <c:v>30</c:v>
                </c:pt>
                <c:pt idx="28">
                  <c:v>40</c:v>
                </c:pt>
                <c:pt idx="29">
                  <c:v>60</c:v>
                </c:pt>
                <c:pt idx="30">
                  <c:v>3</c:v>
                </c:pt>
                <c:pt idx="31">
                  <c:v>3</c:v>
                </c:pt>
                <c:pt idx="32">
                  <c:v>8</c:v>
                </c:pt>
                <c:pt idx="33">
                  <c:v>12</c:v>
                </c:pt>
                <c:pt idx="34">
                  <c:v>20</c:v>
                </c:pt>
                <c:pt idx="35">
                  <c:v>25</c:v>
                </c:pt>
              </c:numCache>
            </c:numRef>
          </c:xVal>
          <c:yVal>
            <c:numRef>
              <c:f>'Powerball Regression'!$NX$47:$NX$99</c:f>
              <c:numCache>
                <c:formatCode>_-* #,##0.0_-;\-* #,##0.0_-;_-* "-"??_-;_-@_-</c:formatCode>
                <c:ptCount val="53"/>
                <c:pt idx="0">
                  <c:v>18.243324000000001</c:v>
                </c:pt>
                <c:pt idx="1">
                  <c:v>11.782121999999999</c:v>
                </c:pt>
                <c:pt idx="2">
                  <c:v>16.804853999999999</c:v>
                </c:pt>
                <c:pt idx="3">
                  <c:v>17.618040000000001</c:v>
                </c:pt>
                <c:pt idx="4">
                  <c:v>26.383103999999999</c:v>
                </c:pt>
                <c:pt idx="5">
                  <c:v>36.245220000000003</c:v>
                </c:pt>
                <c:pt idx="6">
                  <c:v>46.268706000000002</c:v>
                </c:pt>
                <c:pt idx="7">
                  <c:v>56.733600000000003</c:v>
                </c:pt>
                <c:pt idx="8">
                  <c:v>11.832018</c:v>
                </c:pt>
                <c:pt idx="9">
                  <c:v>11.01375</c:v>
                </c:pt>
                <c:pt idx="10">
                  <c:v>16.538214</c:v>
                </c:pt>
                <c:pt idx="11">
                  <c:v>20.156862</c:v>
                </c:pt>
                <c:pt idx="12">
                  <c:v>27.395676000000002</c:v>
                </c:pt>
                <c:pt idx="13">
                  <c:v>32.154144000000002</c:v>
                </c:pt>
                <c:pt idx="14">
                  <c:v>38.903700000000001</c:v>
                </c:pt>
                <c:pt idx="15">
                  <c:v>47.926296000000001</c:v>
                </c:pt>
                <c:pt idx="16">
                  <c:v>90.542231999999998</c:v>
                </c:pt>
                <c:pt idx="17">
                  <c:v>168.61891199999999</c:v>
                </c:pt>
                <c:pt idx="18">
                  <c:v>14.740043999999999</c:v>
                </c:pt>
                <c:pt idx="19">
                  <c:v>17.328102000000001</c:v>
                </c:pt>
                <c:pt idx="20">
                  <c:v>21.834251999999999</c:v>
                </c:pt>
                <c:pt idx="21">
                  <c:v>28.53378</c:v>
                </c:pt>
                <c:pt idx="22">
                  <c:v>37.562184000000002</c:v>
                </c:pt>
                <c:pt idx="23">
                  <c:v>12.930785999999999</c:v>
                </c:pt>
                <c:pt idx="24">
                  <c:v>18.459935999999999</c:v>
                </c:pt>
                <c:pt idx="25">
                  <c:v>24.480720000000002</c:v>
                </c:pt>
                <c:pt idx="26">
                  <c:v>29.189556</c:v>
                </c:pt>
                <c:pt idx="27">
                  <c:v>34.647557999999997</c:v>
                </c:pt>
                <c:pt idx="28">
                  <c:v>42.118955999999997</c:v>
                </c:pt>
                <c:pt idx="29">
                  <c:v>69.371610000000004</c:v>
                </c:pt>
                <c:pt idx="30">
                  <c:v>13.565772000000001</c:v>
                </c:pt>
                <c:pt idx="31">
                  <c:v>13.172082</c:v>
                </c:pt>
                <c:pt idx="32">
                  <c:v>19.567152</c:v>
                </c:pt>
                <c:pt idx="33">
                  <c:v>24.038585999999999</c:v>
                </c:pt>
                <c:pt idx="34">
                  <c:v>31.84929</c:v>
                </c:pt>
                <c:pt idx="35">
                  <c:v>32.226612000000003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7-4385-A4C0-37A406CE8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952264957264957"/>
                  <c:y val="-8.22034722222222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Regression'!$IW$89:$IW$141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#N/A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#N/A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Regression'!$IV$89:$IV$141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#N/A</c:v>
                </c:pt>
                <c:pt idx="16">
                  <c:v>#N/A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#N/A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#N/A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1D-434F-AB07-427524EC9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8077222222222223"/>
                  <c:y val="-7.78173611111111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Regression'!$IW$89:$IW$141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#N/A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#N/A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Regression'!$IV$89:$IV$141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#N/A</c:v>
                </c:pt>
                <c:pt idx="16">
                  <c:v>#N/A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#N/A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#N/A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1-4F9F-B566-B0A9D43FD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810482905982906"/>
                  <c:y val="-2.99270833333333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Regression'!$IW$89:$IW$141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#N/A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#N/A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Regression'!$IV$89:$IV$141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#N/A</c:v>
                </c:pt>
                <c:pt idx="16">
                  <c:v>#N/A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#N/A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#N/A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82-4F94-958E-89129A825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018311965811969"/>
                  <c:y val="-0.114389930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Regression'!$FS$49:$FS$101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#N/A</c:v>
                </c:pt>
                <c:pt idx="7">
                  <c:v>3</c:v>
                </c:pt>
                <c:pt idx="8">
                  <c:v>8</c:v>
                </c:pt>
                <c:pt idx="9">
                  <c:v>12</c:v>
                </c:pt>
                <c:pt idx="10">
                  <c:v>20</c:v>
                </c:pt>
                <c:pt idx="11">
                  <c:v>30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20</c:v>
                </c:pt>
                <c:pt idx="16">
                  <c:v>30</c:v>
                </c:pt>
                <c:pt idx="17">
                  <c:v>40</c:v>
                </c:pt>
                <c:pt idx="18">
                  <c:v>60</c:v>
                </c:pt>
                <c:pt idx="19">
                  <c:v>3</c:v>
                </c:pt>
                <c:pt idx="20">
                  <c:v>3</c:v>
                </c:pt>
                <c:pt idx="21">
                  <c:v>8</c:v>
                </c:pt>
                <c:pt idx="22">
                  <c:v>12</c:v>
                </c:pt>
                <c:pt idx="23">
                  <c:v>20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80</c:v>
                </c:pt>
                <c:pt idx="28">
                  <c:v>#N/A</c:v>
                </c:pt>
                <c:pt idx="29">
                  <c:v>3</c:v>
                </c:pt>
                <c:pt idx="30">
                  <c:v>8</c:v>
                </c:pt>
                <c:pt idx="31">
                  <c:v>12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3</c:v>
                </c:pt>
                <c:pt idx="36">
                  <c:v>8</c:v>
                </c:pt>
                <c:pt idx="37">
                  <c:v>12</c:v>
                </c:pt>
                <c:pt idx="38">
                  <c:v>20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30</c:v>
                </c:pt>
                <c:pt idx="44">
                  <c:v>3</c:v>
                </c:pt>
                <c:pt idx="45">
                  <c:v>8</c:v>
                </c:pt>
                <c:pt idx="46">
                  <c:v>3</c:v>
                </c:pt>
                <c:pt idx="47">
                  <c:v>8</c:v>
                </c:pt>
                <c:pt idx="48">
                  <c:v>12</c:v>
                </c:pt>
                <c:pt idx="49">
                  <c:v>20</c:v>
                </c:pt>
                <c:pt idx="50">
                  <c:v>30</c:v>
                </c:pt>
                <c:pt idx="51">
                  <c:v>40</c:v>
                </c:pt>
                <c:pt idx="52">
                  <c:v>#N/A</c:v>
                </c:pt>
              </c:numCache>
            </c:numRef>
          </c:xVal>
          <c:yVal>
            <c:numRef>
              <c:f>'Powerball Regression'!$FR$49:$FR$101</c:f>
              <c:numCache>
                <c:formatCode>_-* #,##0.0_-;\-* #,##0.0_-;_-* "-"??_-;_-@_-</c:formatCode>
                <c:ptCount val="53"/>
                <c:pt idx="0">
                  <c:v>20.852316083916079</c:v>
                </c:pt>
                <c:pt idx="1">
                  <c:v>26.842498410680225</c:v>
                </c:pt>
                <c:pt idx="2">
                  <c:v>32.449661792752693</c:v>
                </c:pt>
                <c:pt idx="3">
                  <c:v>38.67065225683406</c:v>
                </c:pt>
                <c:pt idx="4">
                  <c:v>47.637119898283515</c:v>
                </c:pt>
                <c:pt idx="5">
                  <c:v>89.658851621106137</c:v>
                </c:pt>
                <c:pt idx="6">
                  <c:v>#N/A</c:v>
                </c:pt>
                <c:pt idx="7">
                  <c:v>14.031852256834073</c:v>
                </c:pt>
                <c:pt idx="8">
                  <c:v>16.733295359186265</c:v>
                </c:pt>
                <c:pt idx="9">
                  <c:v>21.606582835346465</c:v>
                </c:pt>
                <c:pt idx="10">
                  <c:v>27.308763127781301</c:v>
                </c:pt>
                <c:pt idx="11">
                  <c:v>36.523512523839784</c:v>
                </c:pt>
                <c:pt idx="12">
                  <c:v>12.986396185632547</c:v>
                </c:pt>
                <c:pt idx="13">
                  <c:v>17.248674888747615</c:v>
                </c:pt>
                <c:pt idx="14">
                  <c:v>22.858246916719636</c:v>
                </c:pt>
                <c:pt idx="15">
                  <c:v>29.451650349650347</c:v>
                </c:pt>
                <c:pt idx="16">
                  <c:v>34.304900190718364</c:v>
                </c:pt>
                <c:pt idx="17">
                  <c:v>42.745877177368079</c:v>
                </c:pt>
                <c:pt idx="18">
                  <c:v>70.047528035600749</c:v>
                </c:pt>
                <c:pt idx="19">
                  <c:v>13.689841958041953</c:v>
                </c:pt>
                <c:pt idx="20">
                  <c:v>13.612641449459627</c:v>
                </c:pt>
                <c:pt idx="21">
                  <c:v>19.569770120788299</c:v>
                </c:pt>
                <c:pt idx="22">
                  <c:v>24.628368722186906</c:v>
                </c:pt>
                <c:pt idx="23">
                  <c:v>30.784708455181175</c:v>
                </c:pt>
                <c:pt idx="24">
                  <c:v>32.972327018436104</c:v>
                </c:pt>
                <c:pt idx="25">
                  <c:v>36.354827972027962</c:v>
                </c:pt>
                <c:pt idx="26">
                  <c:v>63.766761602034322</c:v>
                </c:pt>
                <c:pt idx="27">
                  <c:v>112.3132386522568</c:v>
                </c:pt>
                <c:pt idx="28">
                  <c:v>#N/A</c:v>
                </c:pt>
                <c:pt idx="29">
                  <c:v>13.937889720898571</c:v>
                </c:pt>
                <c:pt idx="30">
                  <c:v>18.140342842997711</c:v>
                </c:pt>
                <c:pt idx="31">
                  <c:v>25.118955133362217</c:v>
                </c:pt>
                <c:pt idx="32">
                  <c:v>31.354336778265978</c:v>
                </c:pt>
                <c:pt idx="33">
                  <c:v>38.283030633083733</c:v>
                </c:pt>
                <c:pt idx="34">
                  <c:v>44.982119438084034</c:v>
                </c:pt>
                <c:pt idx="35">
                  <c:v>13.444204963178414</c:v>
                </c:pt>
                <c:pt idx="36">
                  <c:v>16.484335664335664</c:v>
                </c:pt>
                <c:pt idx="37">
                  <c:v>20.282530107061081</c:v>
                </c:pt>
                <c:pt idx="38">
                  <c:v>26.225644903768799</c:v>
                </c:pt>
                <c:pt idx="39">
                  <c:v>13.585177795655671</c:v>
                </c:pt>
                <c:pt idx="40">
                  <c:v>17.74406361779813</c:v>
                </c:pt>
                <c:pt idx="41">
                  <c:v>22.274509066155083</c:v>
                </c:pt>
                <c:pt idx="42">
                  <c:v>22.688576025744165</c:v>
                </c:pt>
                <c:pt idx="43">
                  <c:v>34.273410483321989</c:v>
                </c:pt>
                <c:pt idx="44">
                  <c:v>12.230604616622315</c:v>
                </c:pt>
                <c:pt idx="45">
                  <c:v>16.70412154217464</c:v>
                </c:pt>
                <c:pt idx="46">
                  <c:v>12.325589702333064</c:v>
                </c:pt>
                <c:pt idx="47">
                  <c:v>15.336385914969984</c:v>
                </c:pt>
                <c:pt idx="48">
                  <c:v>18.797418899684388</c:v>
                </c:pt>
                <c:pt idx="49">
                  <c:v>22.750507333374586</c:v>
                </c:pt>
                <c:pt idx="50">
                  <c:v>27.826067454669225</c:v>
                </c:pt>
                <c:pt idx="51">
                  <c:v>37.957462714276872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7A-4BD4-8D1B-344B4D958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7542735042734"/>
                  <c:y val="-5.38149305555555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Regression'!$FS$49:$FS$101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#N/A</c:v>
                </c:pt>
                <c:pt idx="7">
                  <c:v>3</c:v>
                </c:pt>
                <c:pt idx="8">
                  <c:v>8</c:v>
                </c:pt>
                <c:pt idx="9">
                  <c:v>12</c:v>
                </c:pt>
                <c:pt idx="10">
                  <c:v>20</c:v>
                </c:pt>
                <c:pt idx="11">
                  <c:v>30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20</c:v>
                </c:pt>
                <c:pt idx="16">
                  <c:v>30</c:v>
                </c:pt>
                <c:pt idx="17">
                  <c:v>40</c:v>
                </c:pt>
                <c:pt idx="18">
                  <c:v>60</c:v>
                </c:pt>
                <c:pt idx="19">
                  <c:v>3</c:v>
                </c:pt>
                <c:pt idx="20">
                  <c:v>3</c:v>
                </c:pt>
                <c:pt idx="21">
                  <c:v>8</c:v>
                </c:pt>
                <c:pt idx="22">
                  <c:v>12</c:v>
                </c:pt>
                <c:pt idx="23">
                  <c:v>20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80</c:v>
                </c:pt>
                <c:pt idx="28">
                  <c:v>#N/A</c:v>
                </c:pt>
                <c:pt idx="29">
                  <c:v>3</c:v>
                </c:pt>
                <c:pt idx="30">
                  <c:v>8</c:v>
                </c:pt>
                <c:pt idx="31">
                  <c:v>12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3</c:v>
                </c:pt>
                <c:pt idx="36">
                  <c:v>8</c:v>
                </c:pt>
                <c:pt idx="37">
                  <c:v>12</c:v>
                </c:pt>
                <c:pt idx="38">
                  <c:v>20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30</c:v>
                </c:pt>
                <c:pt idx="44">
                  <c:v>3</c:v>
                </c:pt>
                <c:pt idx="45">
                  <c:v>8</c:v>
                </c:pt>
                <c:pt idx="46">
                  <c:v>3</c:v>
                </c:pt>
                <c:pt idx="47">
                  <c:v>8</c:v>
                </c:pt>
                <c:pt idx="48">
                  <c:v>12</c:v>
                </c:pt>
                <c:pt idx="49">
                  <c:v>20</c:v>
                </c:pt>
                <c:pt idx="50">
                  <c:v>30</c:v>
                </c:pt>
                <c:pt idx="51">
                  <c:v>40</c:v>
                </c:pt>
                <c:pt idx="52">
                  <c:v>#N/A</c:v>
                </c:pt>
              </c:numCache>
            </c:numRef>
          </c:xVal>
          <c:yVal>
            <c:numRef>
              <c:f>'Powerball Regression'!$FR$49:$FR$101</c:f>
              <c:numCache>
                <c:formatCode>_-* #,##0.0_-;\-* #,##0.0_-;_-* "-"??_-;_-@_-</c:formatCode>
                <c:ptCount val="53"/>
                <c:pt idx="0">
                  <c:v>20.852316083916079</c:v>
                </c:pt>
                <c:pt idx="1">
                  <c:v>26.842498410680225</c:v>
                </c:pt>
                <c:pt idx="2">
                  <c:v>32.449661792752693</c:v>
                </c:pt>
                <c:pt idx="3">
                  <c:v>38.67065225683406</c:v>
                </c:pt>
                <c:pt idx="4">
                  <c:v>47.637119898283515</c:v>
                </c:pt>
                <c:pt idx="5">
                  <c:v>89.658851621106137</c:v>
                </c:pt>
                <c:pt idx="6">
                  <c:v>#N/A</c:v>
                </c:pt>
                <c:pt idx="7">
                  <c:v>14.031852256834073</c:v>
                </c:pt>
                <c:pt idx="8">
                  <c:v>16.733295359186265</c:v>
                </c:pt>
                <c:pt idx="9">
                  <c:v>21.606582835346465</c:v>
                </c:pt>
                <c:pt idx="10">
                  <c:v>27.308763127781301</c:v>
                </c:pt>
                <c:pt idx="11">
                  <c:v>36.523512523839784</c:v>
                </c:pt>
                <c:pt idx="12">
                  <c:v>12.986396185632547</c:v>
                </c:pt>
                <c:pt idx="13">
                  <c:v>17.248674888747615</c:v>
                </c:pt>
                <c:pt idx="14">
                  <c:v>22.858246916719636</c:v>
                </c:pt>
                <c:pt idx="15">
                  <c:v>29.451650349650347</c:v>
                </c:pt>
                <c:pt idx="16">
                  <c:v>34.304900190718364</c:v>
                </c:pt>
                <c:pt idx="17">
                  <c:v>42.745877177368079</c:v>
                </c:pt>
                <c:pt idx="18">
                  <c:v>70.047528035600749</c:v>
                </c:pt>
                <c:pt idx="19">
                  <c:v>13.689841958041953</c:v>
                </c:pt>
                <c:pt idx="20">
                  <c:v>13.612641449459627</c:v>
                </c:pt>
                <c:pt idx="21">
                  <c:v>19.569770120788299</c:v>
                </c:pt>
                <c:pt idx="22">
                  <c:v>24.628368722186906</c:v>
                </c:pt>
                <c:pt idx="23">
                  <c:v>30.784708455181175</c:v>
                </c:pt>
                <c:pt idx="24">
                  <c:v>32.972327018436104</c:v>
                </c:pt>
                <c:pt idx="25">
                  <c:v>36.354827972027962</c:v>
                </c:pt>
                <c:pt idx="26">
                  <c:v>63.766761602034322</c:v>
                </c:pt>
                <c:pt idx="27">
                  <c:v>112.3132386522568</c:v>
                </c:pt>
                <c:pt idx="28">
                  <c:v>#N/A</c:v>
                </c:pt>
                <c:pt idx="29">
                  <c:v>13.937889720898571</c:v>
                </c:pt>
                <c:pt idx="30">
                  <c:v>18.140342842997711</c:v>
                </c:pt>
                <c:pt idx="31">
                  <c:v>25.118955133362217</c:v>
                </c:pt>
                <c:pt idx="32">
                  <c:v>31.354336778265978</c:v>
                </c:pt>
                <c:pt idx="33">
                  <c:v>38.283030633083733</c:v>
                </c:pt>
                <c:pt idx="34">
                  <c:v>44.982119438084034</c:v>
                </c:pt>
                <c:pt idx="35">
                  <c:v>13.444204963178414</c:v>
                </c:pt>
                <c:pt idx="36">
                  <c:v>16.484335664335664</c:v>
                </c:pt>
                <c:pt idx="37">
                  <c:v>20.282530107061081</c:v>
                </c:pt>
                <c:pt idx="38">
                  <c:v>26.225644903768799</c:v>
                </c:pt>
                <c:pt idx="39">
                  <c:v>13.585177795655671</c:v>
                </c:pt>
                <c:pt idx="40">
                  <c:v>17.74406361779813</c:v>
                </c:pt>
                <c:pt idx="41">
                  <c:v>22.274509066155083</c:v>
                </c:pt>
                <c:pt idx="42">
                  <c:v>22.688576025744165</c:v>
                </c:pt>
                <c:pt idx="43">
                  <c:v>34.273410483321989</c:v>
                </c:pt>
                <c:pt idx="44">
                  <c:v>12.230604616622315</c:v>
                </c:pt>
                <c:pt idx="45">
                  <c:v>16.70412154217464</c:v>
                </c:pt>
                <c:pt idx="46">
                  <c:v>12.325589702333064</c:v>
                </c:pt>
                <c:pt idx="47">
                  <c:v>15.336385914969984</c:v>
                </c:pt>
                <c:pt idx="48">
                  <c:v>18.797418899684388</c:v>
                </c:pt>
                <c:pt idx="49">
                  <c:v>22.750507333374586</c:v>
                </c:pt>
                <c:pt idx="50">
                  <c:v>27.826067454669225</c:v>
                </c:pt>
                <c:pt idx="51">
                  <c:v>37.957462714276872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5-455B-9F3F-0BD364371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Regression'!$GP$49:$GP$101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80</c:v>
                </c:pt>
                <c:pt idx="2">
                  <c:v>#N/A</c:v>
                </c:pt>
                <c:pt idx="3">
                  <c:v>3</c:v>
                </c:pt>
                <c:pt idx="4">
                  <c:v>8</c:v>
                </c:pt>
                <c:pt idx="5">
                  <c:v>12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#N/A</c:v>
                </c:pt>
                <c:pt idx="11">
                  <c:v>#N/A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8</c:v>
                </c:pt>
                <c:pt idx="17">
                  <c:v>12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3</c:v>
                </c:pt>
                <c:pt idx="22">
                  <c:v>8</c:v>
                </c:pt>
                <c:pt idx="23">
                  <c:v>12</c:v>
                </c:pt>
                <c:pt idx="24">
                  <c:v>15</c:v>
                </c:pt>
                <c:pt idx="25">
                  <c:v>20</c:v>
                </c:pt>
                <c:pt idx="26">
                  <c:v>3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40</c:v>
                </c:pt>
                <c:pt idx="31">
                  <c:v>60</c:v>
                </c:pt>
                <c:pt idx="32">
                  <c:v>3</c:v>
                </c:pt>
                <c:pt idx="33">
                  <c:v>8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60</c:v>
                </c:pt>
                <c:pt idx="38">
                  <c:v>80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15</c:v>
                </c:pt>
                <c:pt idx="48">
                  <c:v>3</c:v>
                </c:pt>
                <c:pt idx="49">
                  <c:v>8</c:v>
                </c:pt>
                <c:pt idx="50">
                  <c:v>15</c:v>
                </c:pt>
                <c:pt idx="51">
                  <c:v>30</c:v>
                </c:pt>
                <c:pt idx="52">
                  <c:v>#N/A</c:v>
                </c:pt>
              </c:numCache>
            </c:numRef>
          </c:xVal>
          <c:yVal>
            <c:numRef>
              <c:f>'Powerball Regression'!$GO$49:$GO$101</c:f>
              <c:numCache>
                <c:formatCode>_-* #,##0.0_-;\-* #,##0.0_-;_-* "-"??_-;_-@_-</c:formatCode>
                <c:ptCount val="53"/>
                <c:pt idx="0">
                  <c:v>52.868604987932429</c:v>
                </c:pt>
                <c:pt idx="1">
                  <c:v>73.766786311034096</c:v>
                </c:pt>
                <c:pt idx="2">
                  <c:v>#N/A</c:v>
                </c:pt>
                <c:pt idx="3">
                  <c:v>14.254130329847143</c:v>
                </c:pt>
                <c:pt idx="4">
                  <c:v>17.621573612228481</c:v>
                </c:pt>
                <c:pt idx="5">
                  <c:v>22.977947397735008</c:v>
                </c:pt>
                <c:pt idx="6">
                  <c:v>29.967446995482394</c:v>
                </c:pt>
                <c:pt idx="7">
                  <c:v>39.864962683334355</c:v>
                </c:pt>
                <c:pt idx="8">
                  <c:v>55.027958165728073</c:v>
                </c:pt>
                <c:pt idx="9">
                  <c:v>82.565532768116853</c:v>
                </c:pt>
                <c:pt idx="10">
                  <c:v>#N/A</c:v>
                </c:pt>
                <c:pt idx="11">
                  <c:v>#N/A</c:v>
                </c:pt>
                <c:pt idx="12">
                  <c:v>15.306639767312332</c:v>
                </c:pt>
                <c:pt idx="13">
                  <c:v>18.203091032860947</c:v>
                </c:pt>
                <c:pt idx="14">
                  <c:v>21.62795791818801</c:v>
                </c:pt>
                <c:pt idx="15">
                  <c:v>14.675381397363697</c:v>
                </c:pt>
                <c:pt idx="16">
                  <c:v>19.900891144253976</c:v>
                </c:pt>
                <c:pt idx="17">
                  <c:v>22.777251067516556</c:v>
                </c:pt>
                <c:pt idx="18">
                  <c:v>30.483818305588219</c:v>
                </c:pt>
                <c:pt idx="19">
                  <c:v>40.529243888854509</c:v>
                </c:pt>
                <c:pt idx="20">
                  <c:v>48.609266415000924</c:v>
                </c:pt>
                <c:pt idx="21">
                  <c:v>15.126397920663408</c:v>
                </c:pt>
                <c:pt idx="22">
                  <c:v>20.501358252367101</c:v>
                </c:pt>
                <c:pt idx="23">
                  <c:v>25.306949439940592</c:v>
                </c:pt>
                <c:pt idx="24">
                  <c:v>25.742781855312831</c:v>
                </c:pt>
                <c:pt idx="25">
                  <c:v>25.073378303112815</c:v>
                </c:pt>
                <c:pt idx="26">
                  <c:v>14.302579986385295</c:v>
                </c:pt>
                <c:pt idx="27">
                  <c:v>20.379060090352123</c:v>
                </c:pt>
                <c:pt idx="28">
                  <c:v>25.817218392227243</c:v>
                </c:pt>
                <c:pt idx="29">
                  <c:v>34.282351135590076</c:v>
                </c:pt>
                <c:pt idx="30">
                  <c:v>45.674629370629361</c:v>
                </c:pt>
                <c:pt idx="31">
                  <c:v>67.313625100563158</c:v>
                </c:pt>
                <c:pt idx="32">
                  <c:v>14.466345689708522</c:v>
                </c:pt>
                <c:pt idx="33">
                  <c:v>21.31719914867741</c:v>
                </c:pt>
                <c:pt idx="34">
                  <c:v>28.132182912739434</c:v>
                </c:pt>
                <c:pt idx="35">
                  <c:v>36.338271571906361</c:v>
                </c:pt>
                <c:pt idx="36">
                  <c:v>47.382249437519008</c:v>
                </c:pt>
                <c:pt idx="37">
                  <c:v>63.68030355731225</c:v>
                </c:pt>
                <c:pt idx="38">
                  <c:v>82.611427667984188</c:v>
                </c:pt>
                <c:pt idx="39">
                  <c:v>15.454267436910914</c:v>
                </c:pt>
                <c:pt idx="40">
                  <c:v>21.964242505320762</c:v>
                </c:pt>
                <c:pt idx="41">
                  <c:v>28.686509212526602</c:v>
                </c:pt>
                <c:pt idx="42">
                  <c:v>40.886779446640311</c:v>
                </c:pt>
                <c:pt idx="43">
                  <c:v>17.546634478564911</c:v>
                </c:pt>
                <c:pt idx="44">
                  <c:v>22.952706354515055</c:v>
                </c:pt>
                <c:pt idx="45">
                  <c:v>17.170624749163878</c:v>
                </c:pt>
                <c:pt idx="46">
                  <c:v>24.236348555792038</c:v>
                </c:pt>
                <c:pt idx="47">
                  <c:v>37.016112131346915</c:v>
                </c:pt>
                <c:pt idx="48">
                  <c:v>18.06607941623594</c:v>
                </c:pt>
                <c:pt idx="49">
                  <c:v>24.991572879294623</c:v>
                </c:pt>
                <c:pt idx="50">
                  <c:v>31.885473031316504</c:v>
                </c:pt>
                <c:pt idx="51">
                  <c:v>48.173921070234115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C0-4012-8163-7FB5A4B4D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Regression'!$GP$49:$GP$101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80</c:v>
                </c:pt>
                <c:pt idx="2">
                  <c:v>#N/A</c:v>
                </c:pt>
                <c:pt idx="3">
                  <c:v>3</c:v>
                </c:pt>
                <c:pt idx="4">
                  <c:v>8</c:v>
                </c:pt>
                <c:pt idx="5">
                  <c:v>12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#N/A</c:v>
                </c:pt>
                <c:pt idx="11">
                  <c:v>#N/A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8</c:v>
                </c:pt>
                <c:pt idx="17">
                  <c:v>12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3</c:v>
                </c:pt>
                <c:pt idx="22">
                  <c:v>8</c:v>
                </c:pt>
                <c:pt idx="23">
                  <c:v>12</c:v>
                </c:pt>
                <c:pt idx="24">
                  <c:v>15</c:v>
                </c:pt>
                <c:pt idx="25">
                  <c:v>20</c:v>
                </c:pt>
                <c:pt idx="26">
                  <c:v>3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40</c:v>
                </c:pt>
                <c:pt idx="31">
                  <c:v>60</c:v>
                </c:pt>
                <c:pt idx="32">
                  <c:v>3</c:v>
                </c:pt>
                <c:pt idx="33">
                  <c:v>8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60</c:v>
                </c:pt>
                <c:pt idx="38">
                  <c:v>80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15</c:v>
                </c:pt>
                <c:pt idx="48">
                  <c:v>3</c:v>
                </c:pt>
                <c:pt idx="49">
                  <c:v>8</c:v>
                </c:pt>
                <c:pt idx="50">
                  <c:v>15</c:v>
                </c:pt>
                <c:pt idx="51">
                  <c:v>30</c:v>
                </c:pt>
                <c:pt idx="52">
                  <c:v>#N/A</c:v>
                </c:pt>
              </c:numCache>
            </c:numRef>
          </c:xVal>
          <c:yVal>
            <c:numRef>
              <c:f>'Powerball Regression'!$GO$49:$GO$101</c:f>
              <c:numCache>
                <c:formatCode>_-* #,##0.0_-;\-* #,##0.0_-;_-* "-"??_-;_-@_-</c:formatCode>
                <c:ptCount val="53"/>
                <c:pt idx="0">
                  <c:v>52.868604987932429</c:v>
                </c:pt>
                <c:pt idx="1">
                  <c:v>73.766786311034096</c:v>
                </c:pt>
                <c:pt idx="2">
                  <c:v>#N/A</c:v>
                </c:pt>
                <c:pt idx="3">
                  <c:v>14.254130329847143</c:v>
                </c:pt>
                <c:pt idx="4">
                  <c:v>17.621573612228481</c:v>
                </c:pt>
                <c:pt idx="5">
                  <c:v>22.977947397735008</c:v>
                </c:pt>
                <c:pt idx="6">
                  <c:v>29.967446995482394</c:v>
                </c:pt>
                <c:pt idx="7">
                  <c:v>39.864962683334355</c:v>
                </c:pt>
                <c:pt idx="8">
                  <c:v>55.027958165728073</c:v>
                </c:pt>
                <c:pt idx="9">
                  <c:v>82.565532768116853</c:v>
                </c:pt>
                <c:pt idx="10">
                  <c:v>#N/A</c:v>
                </c:pt>
                <c:pt idx="11">
                  <c:v>#N/A</c:v>
                </c:pt>
                <c:pt idx="12">
                  <c:v>15.306639767312332</c:v>
                </c:pt>
                <c:pt idx="13">
                  <c:v>18.203091032860947</c:v>
                </c:pt>
                <c:pt idx="14">
                  <c:v>21.62795791818801</c:v>
                </c:pt>
                <c:pt idx="15">
                  <c:v>14.675381397363697</c:v>
                </c:pt>
                <c:pt idx="16">
                  <c:v>19.900891144253976</c:v>
                </c:pt>
                <c:pt idx="17">
                  <c:v>22.777251067516556</c:v>
                </c:pt>
                <c:pt idx="18">
                  <c:v>30.483818305588219</c:v>
                </c:pt>
                <c:pt idx="19">
                  <c:v>40.529243888854509</c:v>
                </c:pt>
                <c:pt idx="20">
                  <c:v>48.609266415000924</c:v>
                </c:pt>
                <c:pt idx="21">
                  <c:v>15.126397920663408</c:v>
                </c:pt>
                <c:pt idx="22">
                  <c:v>20.501358252367101</c:v>
                </c:pt>
                <c:pt idx="23">
                  <c:v>25.306949439940592</c:v>
                </c:pt>
                <c:pt idx="24">
                  <c:v>25.742781855312831</c:v>
                </c:pt>
                <c:pt idx="25">
                  <c:v>25.073378303112815</c:v>
                </c:pt>
                <c:pt idx="26">
                  <c:v>14.302579986385295</c:v>
                </c:pt>
                <c:pt idx="27">
                  <c:v>20.379060090352123</c:v>
                </c:pt>
                <c:pt idx="28">
                  <c:v>25.817218392227243</c:v>
                </c:pt>
                <c:pt idx="29">
                  <c:v>34.282351135590076</c:v>
                </c:pt>
                <c:pt idx="30">
                  <c:v>45.674629370629361</c:v>
                </c:pt>
                <c:pt idx="31">
                  <c:v>67.313625100563158</c:v>
                </c:pt>
                <c:pt idx="32">
                  <c:v>14.466345689708522</c:v>
                </c:pt>
                <c:pt idx="33">
                  <c:v>21.31719914867741</c:v>
                </c:pt>
                <c:pt idx="34">
                  <c:v>28.132182912739434</c:v>
                </c:pt>
                <c:pt idx="35">
                  <c:v>36.338271571906361</c:v>
                </c:pt>
                <c:pt idx="36">
                  <c:v>47.382249437519008</c:v>
                </c:pt>
                <c:pt idx="37">
                  <c:v>63.68030355731225</c:v>
                </c:pt>
                <c:pt idx="38">
                  <c:v>82.611427667984188</c:v>
                </c:pt>
                <c:pt idx="39">
                  <c:v>15.454267436910914</c:v>
                </c:pt>
                <c:pt idx="40">
                  <c:v>21.964242505320762</c:v>
                </c:pt>
                <c:pt idx="41">
                  <c:v>28.686509212526602</c:v>
                </c:pt>
                <c:pt idx="42">
                  <c:v>40.886779446640311</c:v>
                </c:pt>
                <c:pt idx="43">
                  <c:v>17.546634478564911</c:v>
                </c:pt>
                <c:pt idx="44">
                  <c:v>22.952706354515055</c:v>
                </c:pt>
                <c:pt idx="45">
                  <c:v>17.170624749163878</c:v>
                </c:pt>
                <c:pt idx="46">
                  <c:v>24.236348555792038</c:v>
                </c:pt>
                <c:pt idx="47">
                  <c:v>37.016112131346915</c:v>
                </c:pt>
                <c:pt idx="48">
                  <c:v>18.06607941623594</c:v>
                </c:pt>
                <c:pt idx="49">
                  <c:v>24.991572879294623</c:v>
                </c:pt>
                <c:pt idx="50">
                  <c:v>31.885473031316504</c:v>
                </c:pt>
                <c:pt idx="51">
                  <c:v>48.173921070234115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DF-451F-89A4-DB737B82A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Regression'!$IA$49:$IA$101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3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3</c:v>
                </c:pt>
                <c:pt idx="18">
                  <c:v>8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22">
                  <c:v>80</c:v>
                </c:pt>
                <c:pt idx="23">
                  <c:v>3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60</c:v>
                </c:pt>
                <c:pt idx="28">
                  <c:v>3</c:v>
                </c:pt>
                <c:pt idx="29">
                  <c:v>8</c:v>
                </c:pt>
                <c:pt idx="30">
                  <c:v>20</c:v>
                </c:pt>
                <c:pt idx="31">
                  <c:v>40</c:v>
                </c:pt>
                <c:pt idx="32">
                  <c:v>60</c:v>
                </c:pt>
                <c:pt idx="33">
                  <c:v>80</c:v>
                </c:pt>
                <c:pt idx="34">
                  <c:v>#N/A</c:v>
                </c:pt>
                <c:pt idx="35">
                  <c:v>3</c:v>
                </c:pt>
                <c:pt idx="36">
                  <c:v>8</c:v>
                </c:pt>
                <c:pt idx="37">
                  <c:v>20</c:v>
                </c:pt>
                <c:pt idx="38">
                  <c:v>3</c:v>
                </c:pt>
                <c:pt idx="39">
                  <c:v>8</c:v>
                </c:pt>
                <c:pt idx="40">
                  <c:v>20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80</c:v>
                </c:pt>
                <c:pt idx="47">
                  <c:v>4</c:v>
                </c:pt>
                <c:pt idx="48">
                  <c:v>4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'Powerball Regression'!$HZ$49:$HZ$101</c:f>
              <c:numCache>
                <c:formatCode>_-* #,##0.0_-;\-* #,##0.0_-;_-* "-"??_-;_-@_-</c:formatCode>
                <c:ptCount val="53"/>
                <c:pt idx="0">
                  <c:v>77.623219458802055</c:v>
                </c:pt>
                <c:pt idx="1">
                  <c:v>18.162558102766802</c:v>
                </c:pt>
                <c:pt idx="2">
                  <c:v>25.998846336272418</c:v>
                </c:pt>
                <c:pt idx="3">
                  <c:v>41.039352751596226</c:v>
                </c:pt>
                <c:pt idx="4">
                  <c:v>57.263651200972937</c:v>
                </c:pt>
                <c:pt idx="5">
                  <c:v>80.09238577075098</c:v>
                </c:pt>
                <c:pt idx="6">
                  <c:v>125.40573986013986</c:v>
                </c:pt>
                <c:pt idx="7">
                  <c:v>20.220383581635755</c:v>
                </c:pt>
                <c:pt idx="8">
                  <c:v>29.212562359379749</c:v>
                </c:pt>
                <c:pt idx="9">
                  <c:v>43.186218060200659</c:v>
                </c:pt>
                <c:pt idx="10">
                  <c:v>19.506276923076921</c:v>
                </c:pt>
                <c:pt idx="11">
                  <c:v>25.355454910307085</c:v>
                </c:pt>
                <c:pt idx="12">
                  <c:v>19.222718151413801</c:v>
                </c:pt>
                <c:pt idx="13">
                  <c:v>26.314208574034662</c:v>
                </c:pt>
                <c:pt idx="14">
                  <c:v>42.338397567649736</c:v>
                </c:pt>
                <c:pt idx="15">
                  <c:v>59.016362663423536</c:v>
                </c:pt>
                <c:pt idx="16">
                  <c:v>83.423387290969913</c:v>
                </c:pt>
                <c:pt idx="17">
                  <c:v>18.862208574034657</c:v>
                </c:pt>
                <c:pt idx="18">
                  <c:v>25.128435147461236</c:v>
                </c:pt>
                <c:pt idx="19">
                  <c:v>41.533547217999399</c:v>
                </c:pt>
                <c:pt idx="20">
                  <c:v>57.357794101550631</c:v>
                </c:pt>
                <c:pt idx="21">
                  <c:v>81.402100334448164</c:v>
                </c:pt>
                <c:pt idx="22">
                  <c:v>109.81424530252357</c:v>
                </c:pt>
                <c:pt idx="23">
                  <c:v>18.912447065977499</c:v>
                </c:pt>
                <c:pt idx="24">
                  <c:v>26.709691456369718</c:v>
                </c:pt>
                <c:pt idx="25">
                  <c:v>40.654796959562177</c:v>
                </c:pt>
                <c:pt idx="26">
                  <c:v>45.526023472179993</c:v>
                </c:pt>
                <c:pt idx="27">
                  <c:v>76.041502462754636</c:v>
                </c:pt>
                <c:pt idx="28">
                  <c:v>18.115088355123142</c:v>
                </c:pt>
                <c:pt idx="29">
                  <c:v>23.312285071450287</c:v>
                </c:pt>
                <c:pt idx="30">
                  <c:v>34.469990878686531</c:v>
                </c:pt>
                <c:pt idx="31">
                  <c:v>56.254159197324419</c:v>
                </c:pt>
                <c:pt idx="32">
                  <c:v>79.133284037701429</c:v>
                </c:pt>
                <c:pt idx="33">
                  <c:v>115.9472403770143</c:v>
                </c:pt>
                <c:pt idx="34">
                  <c:v>#N/A</c:v>
                </c:pt>
                <c:pt idx="35">
                  <c:v>19.764375068409851</c:v>
                </c:pt>
                <c:pt idx="36">
                  <c:v>26.335124840377009</c:v>
                </c:pt>
                <c:pt idx="37">
                  <c:v>40.906184493767107</c:v>
                </c:pt>
                <c:pt idx="38">
                  <c:v>19.376209911827303</c:v>
                </c:pt>
                <c:pt idx="39">
                  <c:v>27.161959987838248</c:v>
                </c:pt>
                <c:pt idx="40">
                  <c:v>42.925571784736995</c:v>
                </c:pt>
                <c:pt idx="41">
                  <c:v>20.606947765278193</c:v>
                </c:pt>
                <c:pt idx="42">
                  <c:v>24.23271170568562</c:v>
                </c:pt>
                <c:pt idx="43">
                  <c:v>39.401901124961988</c:v>
                </c:pt>
                <c:pt idx="44">
                  <c:v>58.067244025539672</c:v>
                </c:pt>
                <c:pt idx="45">
                  <c:v>83.810205168744289</c:v>
                </c:pt>
                <c:pt idx="46">
                  <c:v>116.72520401337792</c:v>
                </c:pt>
                <c:pt idx="47">
                  <c:v>21.016983155974454</c:v>
                </c:pt>
                <c:pt idx="48">
                  <c:v>21.125759318941927</c:v>
                </c:pt>
                <c:pt idx="49">
                  <c:v>27.291882760717545</c:v>
                </c:pt>
                <c:pt idx="50">
                  <c:v>41.963661416844026</c:v>
                </c:pt>
                <c:pt idx="51">
                  <c:v>57.463937245363326</c:v>
                </c:pt>
                <c:pt idx="52">
                  <c:v>77.836461903314074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F-4E9B-BD95-D78F6ABDE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Regression'!$IA$49:$IA$101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3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3</c:v>
                </c:pt>
                <c:pt idx="18">
                  <c:v>8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22">
                  <c:v>80</c:v>
                </c:pt>
                <c:pt idx="23">
                  <c:v>3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60</c:v>
                </c:pt>
                <c:pt idx="28">
                  <c:v>3</c:v>
                </c:pt>
                <c:pt idx="29">
                  <c:v>8</c:v>
                </c:pt>
                <c:pt idx="30">
                  <c:v>20</c:v>
                </c:pt>
                <c:pt idx="31">
                  <c:v>40</c:v>
                </c:pt>
                <c:pt idx="32">
                  <c:v>60</c:v>
                </c:pt>
                <c:pt idx="33">
                  <c:v>80</c:v>
                </c:pt>
                <c:pt idx="34">
                  <c:v>#N/A</c:v>
                </c:pt>
                <c:pt idx="35">
                  <c:v>3</c:v>
                </c:pt>
                <c:pt idx="36">
                  <c:v>8</c:v>
                </c:pt>
                <c:pt idx="37">
                  <c:v>20</c:v>
                </c:pt>
                <c:pt idx="38">
                  <c:v>3</c:v>
                </c:pt>
                <c:pt idx="39">
                  <c:v>8</c:v>
                </c:pt>
                <c:pt idx="40">
                  <c:v>20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80</c:v>
                </c:pt>
                <c:pt idx="47">
                  <c:v>4</c:v>
                </c:pt>
                <c:pt idx="48">
                  <c:v>4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'Powerball Regression'!$HZ$49:$HZ$101</c:f>
              <c:numCache>
                <c:formatCode>_-* #,##0.0_-;\-* #,##0.0_-;_-* "-"??_-;_-@_-</c:formatCode>
                <c:ptCount val="53"/>
                <c:pt idx="0">
                  <c:v>77.623219458802055</c:v>
                </c:pt>
                <c:pt idx="1">
                  <c:v>18.162558102766802</c:v>
                </c:pt>
                <c:pt idx="2">
                  <c:v>25.998846336272418</c:v>
                </c:pt>
                <c:pt idx="3">
                  <c:v>41.039352751596226</c:v>
                </c:pt>
                <c:pt idx="4">
                  <c:v>57.263651200972937</c:v>
                </c:pt>
                <c:pt idx="5">
                  <c:v>80.09238577075098</c:v>
                </c:pt>
                <c:pt idx="6">
                  <c:v>125.40573986013986</c:v>
                </c:pt>
                <c:pt idx="7">
                  <c:v>20.220383581635755</c:v>
                </c:pt>
                <c:pt idx="8">
                  <c:v>29.212562359379749</c:v>
                </c:pt>
                <c:pt idx="9">
                  <c:v>43.186218060200659</c:v>
                </c:pt>
                <c:pt idx="10">
                  <c:v>19.506276923076921</c:v>
                </c:pt>
                <c:pt idx="11">
                  <c:v>25.355454910307085</c:v>
                </c:pt>
                <c:pt idx="12">
                  <c:v>19.222718151413801</c:v>
                </c:pt>
                <c:pt idx="13">
                  <c:v>26.314208574034662</c:v>
                </c:pt>
                <c:pt idx="14">
                  <c:v>42.338397567649736</c:v>
                </c:pt>
                <c:pt idx="15">
                  <c:v>59.016362663423536</c:v>
                </c:pt>
                <c:pt idx="16">
                  <c:v>83.423387290969913</c:v>
                </c:pt>
                <c:pt idx="17">
                  <c:v>18.862208574034657</c:v>
                </c:pt>
                <c:pt idx="18">
                  <c:v>25.128435147461236</c:v>
                </c:pt>
                <c:pt idx="19">
                  <c:v>41.533547217999399</c:v>
                </c:pt>
                <c:pt idx="20">
                  <c:v>57.357794101550631</c:v>
                </c:pt>
                <c:pt idx="21">
                  <c:v>81.402100334448164</c:v>
                </c:pt>
                <c:pt idx="22">
                  <c:v>109.81424530252357</c:v>
                </c:pt>
                <c:pt idx="23">
                  <c:v>18.912447065977499</c:v>
                </c:pt>
                <c:pt idx="24">
                  <c:v>26.709691456369718</c:v>
                </c:pt>
                <c:pt idx="25">
                  <c:v>40.654796959562177</c:v>
                </c:pt>
                <c:pt idx="26">
                  <c:v>45.526023472179993</c:v>
                </c:pt>
                <c:pt idx="27">
                  <c:v>76.041502462754636</c:v>
                </c:pt>
                <c:pt idx="28">
                  <c:v>18.115088355123142</c:v>
                </c:pt>
                <c:pt idx="29">
                  <c:v>23.312285071450287</c:v>
                </c:pt>
                <c:pt idx="30">
                  <c:v>34.469990878686531</c:v>
                </c:pt>
                <c:pt idx="31">
                  <c:v>56.254159197324419</c:v>
                </c:pt>
                <c:pt idx="32">
                  <c:v>79.133284037701429</c:v>
                </c:pt>
                <c:pt idx="33">
                  <c:v>115.9472403770143</c:v>
                </c:pt>
                <c:pt idx="34">
                  <c:v>#N/A</c:v>
                </c:pt>
                <c:pt idx="35">
                  <c:v>19.764375068409851</c:v>
                </c:pt>
                <c:pt idx="36">
                  <c:v>26.335124840377009</c:v>
                </c:pt>
                <c:pt idx="37">
                  <c:v>40.906184493767107</c:v>
                </c:pt>
                <c:pt idx="38">
                  <c:v>19.376209911827303</c:v>
                </c:pt>
                <c:pt idx="39">
                  <c:v>27.161959987838248</c:v>
                </c:pt>
                <c:pt idx="40">
                  <c:v>42.925571784736995</c:v>
                </c:pt>
                <c:pt idx="41">
                  <c:v>20.606947765278193</c:v>
                </c:pt>
                <c:pt idx="42">
                  <c:v>24.23271170568562</c:v>
                </c:pt>
                <c:pt idx="43">
                  <c:v>39.401901124961988</c:v>
                </c:pt>
                <c:pt idx="44">
                  <c:v>58.067244025539672</c:v>
                </c:pt>
                <c:pt idx="45">
                  <c:v>83.810205168744289</c:v>
                </c:pt>
                <c:pt idx="46">
                  <c:v>116.72520401337792</c:v>
                </c:pt>
                <c:pt idx="47">
                  <c:v>21.016983155974454</c:v>
                </c:pt>
                <c:pt idx="48">
                  <c:v>21.125759318941927</c:v>
                </c:pt>
                <c:pt idx="49">
                  <c:v>27.291882760717545</c:v>
                </c:pt>
                <c:pt idx="50">
                  <c:v>41.963661416844026</c:v>
                </c:pt>
                <c:pt idx="51">
                  <c:v>57.463937245363326</c:v>
                </c:pt>
                <c:pt idx="52">
                  <c:v>77.836461903314074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AB-475E-B9F8-E0E109E56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Regression'!$AL$47:$AL$98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12</c:v>
                </c:pt>
                <c:pt idx="10">
                  <c:v>20</c:v>
                </c:pt>
                <c:pt idx="11">
                  <c:v>40</c:v>
                </c:pt>
                <c:pt idx="12">
                  <c:v>4</c:v>
                </c:pt>
                <c:pt idx="13">
                  <c:v>12</c:v>
                </c:pt>
                <c:pt idx="14">
                  <c:v>20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60</c:v>
                </c:pt>
                <c:pt idx="20">
                  <c:v>100</c:v>
                </c:pt>
                <c:pt idx="21">
                  <c:v>150</c:v>
                </c:pt>
                <c:pt idx="22">
                  <c:v>4</c:v>
                </c:pt>
                <c:pt idx="23">
                  <c:v>12</c:v>
                </c:pt>
                <c:pt idx="24">
                  <c:v>20</c:v>
                </c:pt>
                <c:pt idx="25">
                  <c:v>40</c:v>
                </c:pt>
                <c:pt idx="26">
                  <c:v>4</c:v>
                </c:pt>
              </c:numCache>
            </c:numRef>
          </c:xVal>
          <c:yVal>
            <c:numRef>
              <c:f>'Powerball Regression'!$AK$47:$AK$98</c:f>
              <c:numCache>
                <c:formatCode>_-* #,##0.0_-;\-* #,##0.0_-;_-* "-"??_-;_-@_-</c:formatCode>
                <c:ptCount val="52"/>
                <c:pt idx="0">
                  <c:v>34.197531001416586</c:v>
                </c:pt>
                <c:pt idx="1">
                  <c:v>45.025587337910004</c:v>
                </c:pt>
                <c:pt idx="2">
                  <c:v>67.199002942137952</c:v>
                </c:pt>
                <c:pt idx="3">
                  <c:v>155.08314144055797</c:v>
                </c:pt>
                <c:pt idx="4">
                  <c:v>224.51918818786098</c:v>
                </c:pt>
                <c:pt idx="5">
                  <c:v>305.33054625694672</c:v>
                </c:pt>
                <c:pt idx="6">
                  <c:v>22.03278903781192</c:v>
                </c:pt>
                <c:pt idx="7">
                  <c:v>21.26904805491991</c:v>
                </c:pt>
                <c:pt idx="8">
                  <c:v>20.955573934837091</c:v>
                </c:pt>
                <c:pt idx="9">
                  <c:v>33.186050670153648</c:v>
                </c:pt>
                <c:pt idx="10">
                  <c:v>40.790859104282447</c:v>
                </c:pt>
                <c:pt idx="11">
                  <c:v>52.908046965239187</c:v>
                </c:pt>
                <c:pt idx="12">
                  <c:v>19.7636487959028</c:v>
                </c:pt>
                <c:pt idx="13">
                  <c:v>28.780959790781303</c:v>
                </c:pt>
                <c:pt idx="14">
                  <c:v>33.664848752315571</c:v>
                </c:pt>
                <c:pt idx="15">
                  <c:v>19.70956619810396</c:v>
                </c:pt>
                <c:pt idx="16">
                  <c:v>30.895473575242455</c:v>
                </c:pt>
                <c:pt idx="17">
                  <c:v>37.208673640623303</c:v>
                </c:pt>
                <c:pt idx="18">
                  <c:v>54.983203443391083</c:v>
                </c:pt>
                <c:pt idx="19">
                  <c:v>77.952955649994564</c:v>
                </c:pt>
                <c:pt idx="20">
                  <c:v>140.29007573281032</c:v>
                </c:pt>
                <c:pt idx="21">
                  <c:v>194.70491718426504</c:v>
                </c:pt>
                <c:pt idx="22">
                  <c:v>21.15536057535142</c:v>
                </c:pt>
                <c:pt idx="23">
                  <c:v>32.64936362645745</c:v>
                </c:pt>
                <c:pt idx="24">
                  <c:v>41.109275798191128</c:v>
                </c:pt>
                <c:pt idx="25">
                  <c:v>55.0771206276561</c:v>
                </c:pt>
                <c:pt idx="26">
                  <c:v>19.509070393374742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0E-407E-8FA1-EFA4B41E0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Regression'!$AL$47:$AL$98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12</c:v>
                </c:pt>
                <c:pt idx="10">
                  <c:v>20</c:v>
                </c:pt>
                <c:pt idx="11">
                  <c:v>40</c:v>
                </c:pt>
                <c:pt idx="12">
                  <c:v>4</c:v>
                </c:pt>
                <c:pt idx="13">
                  <c:v>12</c:v>
                </c:pt>
                <c:pt idx="14">
                  <c:v>20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60</c:v>
                </c:pt>
                <c:pt idx="20">
                  <c:v>100</c:v>
                </c:pt>
                <c:pt idx="21">
                  <c:v>150</c:v>
                </c:pt>
                <c:pt idx="22">
                  <c:v>4</c:v>
                </c:pt>
                <c:pt idx="23">
                  <c:v>12</c:v>
                </c:pt>
                <c:pt idx="24">
                  <c:v>20</c:v>
                </c:pt>
                <c:pt idx="25">
                  <c:v>40</c:v>
                </c:pt>
                <c:pt idx="26">
                  <c:v>4</c:v>
                </c:pt>
              </c:numCache>
            </c:numRef>
          </c:xVal>
          <c:yVal>
            <c:numRef>
              <c:f>'Powerball Regression'!$AK$47:$AK$98</c:f>
              <c:numCache>
                <c:formatCode>_-* #,##0.0_-;\-* #,##0.0_-;_-* "-"??_-;_-@_-</c:formatCode>
                <c:ptCount val="52"/>
                <c:pt idx="0">
                  <c:v>34.197531001416586</c:v>
                </c:pt>
                <c:pt idx="1">
                  <c:v>45.025587337910004</c:v>
                </c:pt>
                <c:pt idx="2">
                  <c:v>67.199002942137952</c:v>
                </c:pt>
                <c:pt idx="3">
                  <c:v>155.08314144055797</c:v>
                </c:pt>
                <c:pt idx="4">
                  <c:v>224.51918818786098</c:v>
                </c:pt>
                <c:pt idx="5">
                  <c:v>305.33054625694672</c:v>
                </c:pt>
                <c:pt idx="6">
                  <c:v>22.03278903781192</c:v>
                </c:pt>
                <c:pt idx="7">
                  <c:v>21.26904805491991</c:v>
                </c:pt>
                <c:pt idx="8">
                  <c:v>20.955573934837091</c:v>
                </c:pt>
                <c:pt idx="9">
                  <c:v>33.186050670153648</c:v>
                </c:pt>
                <c:pt idx="10">
                  <c:v>40.790859104282447</c:v>
                </c:pt>
                <c:pt idx="11">
                  <c:v>52.908046965239187</c:v>
                </c:pt>
                <c:pt idx="12">
                  <c:v>19.7636487959028</c:v>
                </c:pt>
                <c:pt idx="13">
                  <c:v>28.780959790781303</c:v>
                </c:pt>
                <c:pt idx="14">
                  <c:v>33.664848752315571</c:v>
                </c:pt>
                <c:pt idx="15">
                  <c:v>19.70956619810396</c:v>
                </c:pt>
                <c:pt idx="16">
                  <c:v>30.895473575242455</c:v>
                </c:pt>
                <c:pt idx="17">
                  <c:v>37.208673640623303</c:v>
                </c:pt>
                <c:pt idx="18">
                  <c:v>54.983203443391083</c:v>
                </c:pt>
                <c:pt idx="19">
                  <c:v>77.952955649994564</c:v>
                </c:pt>
                <c:pt idx="20">
                  <c:v>140.29007573281032</c:v>
                </c:pt>
                <c:pt idx="21">
                  <c:v>194.70491718426504</c:v>
                </c:pt>
                <c:pt idx="22">
                  <c:v>21.15536057535142</c:v>
                </c:pt>
                <c:pt idx="23">
                  <c:v>32.64936362645745</c:v>
                </c:pt>
                <c:pt idx="24">
                  <c:v>41.109275798191128</c:v>
                </c:pt>
                <c:pt idx="25">
                  <c:v>55.0771206276561</c:v>
                </c:pt>
                <c:pt idx="26">
                  <c:v>19.509070393374742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38-422D-BDA0-64AF4CB14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Regression'!$AS$49:$AS$100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12</c:v>
                </c:pt>
                <c:pt idx="10">
                  <c:v>20</c:v>
                </c:pt>
                <c:pt idx="11">
                  <c:v>40</c:v>
                </c:pt>
                <c:pt idx="12">
                  <c:v>4</c:v>
                </c:pt>
                <c:pt idx="13">
                  <c:v>12</c:v>
                </c:pt>
                <c:pt idx="14">
                  <c:v>20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60</c:v>
                </c:pt>
                <c:pt idx="20">
                  <c:v>#N/A</c:v>
                </c:pt>
                <c:pt idx="21">
                  <c:v>#N/A</c:v>
                </c:pt>
                <c:pt idx="22">
                  <c:v>4</c:v>
                </c:pt>
                <c:pt idx="23">
                  <c:v>12</c:v>
                </c:pt>
                <c:pt idx="24">
                  <c:v>20</c:v>
                </c:pt>
                <c:pt idx="25">
                  <c:v>40</c:v>
                </c:pt>
                <c:pt idx="26">
                  <c:v>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Regression'!$AR$49:$AR$100</c:f>
              <c:numCache>
                <c:formatCode>_-* #,##0.0_-;\-* #,##0.0_-;_-* "-"??_-;_-@_-</c:formatCode>
                <c:ptCount val="52"/>
                <c:pt idx="0">
                  <c:v>34.197531001416586</c:v>
                </c:pt>
                <c:pt idx="1">
                  <c:v>45.025587337910004</c:v>
                </c:pt>
                <c:pt idx="2">
                  <c:v>67.199002942137952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22.03278903781192</c:v>
                </c:pt>
                <c:pt idx="7">
                  <c:v>21.26904805491991</c:v>
                </c:pt>
                <c:pt idx="8">
                  <c:v>20.955573934837091</c:v>
                </c:pt>
                <c:pt idx="9">
                  <c:v>33.186050670153648</c:v>
                </c:pt>
                <c:pt idx="10">
                  <c:v>40.790859104282447</c:v>
                </c:pt>
                <c:pt idx="11">
                  <c:v>52.908046965239187</c:v>
                </c:pt>
                <c:pt idx="12">
                  <c:v>19.7636487959028</c:v>
                </c:pt>
                <c:pt idx="13">
                  <c:v>28.780959790781303</c:v>
                </c:pt>
                <c:pt idx="14">
                  <c:v>33.664848752315571</c:v>
                </c:pt>
                <c:pt idx="15">
                  <c:v>19.70956619810396</c:v>
                </c:pt>
                <c:pt idx="16">
                  <c:v>30.895473575242455</c:v>
                </c:pt>
                <c:pt idx="17">
                  <c:v>37.208673640623303</c:v>
                </c:pt>
                <c:pt idx="18">
                  <c:v>54.983203443391083</c:v>
                </c:pt>
                <c:pt idx="19">
                  <c:v>77.952955649994564</c:v>
                </c:pt>
                <c:pt idx="20">
                  <c:v>#N/A</c:v>
                </c:pt>
                <c:pt idx="21">
                  <c:v>#N/A</c:v>
                </c:pt>
                <c:pt idx="22">
                  <c:v>21.15536057535142</c:v>
                </c:pt>
                <c:pt idx="23">
                  <c:v>32.64936362645745</c:v>
                </c:pt>
                <c:pt idx="24">
                  <c:v>41.109275798191128</c:v>
                </c:pt>
                <c:pt idx="25">
                  <c:v>55.0771206276561</c:v>
                </c:pt>
                <c:pt idx="26">
                  <c:v>19.509070393374742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E0-4D76-ADA6-D77F40FBF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Regression'!$AS$49:$AS$100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12</c:v>
                </c:pt>
                <c:pt idx="10">
                  <c:v>20</c:v>
                </c:pt>
                <c:pt idx="11">
                  <c:v>40</c:v>
                </c:pt>
                <c:pt idx="12">
                  <c:v>4</c:v>
                </c:pt>
                <c:pt idx="13">
                  <c:v>12</c:v>
                </c:pt>
                <c:pt idx="14">
                  <c:v>20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60</c:v>
                </c:pt>
                <c:pt idx="20">
                  <c:v>#N/A</c:v>
                </c:pt>
                <c:pt idx="21">
                  <c:v>#N/A</c:v>
                </c:pt>
                <c:pt idx="22">
                  <c:v>4</c:v>
                </c:pt>
                <c:pt idx="23">
                  <c:v>12</c:v>
                </c:pt>
                <c:pt idx="24">
                  <c:v>20</c:v>
                </c:pt>
                <c:pt idx="25">
                  <c:v>40</c:v>
                </c:pt>
                <c:pt idx="26">
                  <c:v>4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Regression'!$AR$49:$AR$100</c:f>
              <c:numCache>
                <c:formatCode>_-* #,##0.0_-;\-* #,##0.0_-;_-* "-"??_-;_-@_-</c:formatCode>
                <c:ptCount val="52"/>
                <c:pt idx="0">
                  <c:v>34.197531001416586</c:v>
                </c:pt>
                <c:pt idx="1">
                  <c:v>45.025587337910004</c:v>
                </c:pt>
                <c:pt idx="2">
                  <c:v>67.199002942137952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22.03278903781192</c:v>
                </c:pt>
                <c:pt idx="7">
                  <c:v>21.26904805491991</c:v>
                </c:pt>
                <c:pt idx="8">
                  <c:v>20.955573934837091</c:v>
                </c:pt>
                <c:pt idx="9">
                  <c:v>33.186050670153648</c:v>
                </c:pt>
                <c:pt idx="10">
                  <c:v>40.790859104282447</c:v>
                </c:pt>
                <c:pt idx="11">
                  <c:v>52.908046965239187</c:v>
                </c:pt>
                <c:pt idx="12">
                  <c:v>19.7636487959028</c:v>
                </c:pt>
                <c:pt idx="13">
                  <c:v>28.780959790781303</c:v>
                </c:pt>
                <c:pt idx="14">
                  <c:v>33.664848752315571</c:v>
                </c:pt>
                <c:pt idx="15">
                  <c:v>19.70956619810396</c:v>
                </c:pt>
                <c:pt idx="16">
                  <c:v>30.895473575242455</c:v>
                </c:pt>
                <c:pt idx="17">
                  <c:v>37.208673640623303</c:v>
                </c:pt>
                <c:pt idx="18">
                  <c:v>54.983203443391083</c:v>
                </c:pt>
                <c:pt idx="19">
                  <c:v>77.952955649994564</c:v>
                </c:pt>
                <c:pt idx="20">
                  <c:v>#N/A</c:v>
                </c:pt>
                <c:pt idx="21">
                  <c:v>#N/A</c:v>
                </c:pt>
                <c:pt idx="22">
                  <c:v>21.15536057535142</c:v>
                </c:pt>
                <c:pt idx="23">
                  <c:v>32.64936362645745</c:v>
                </c:pt>
                <c:pt idx="24">
                  <c:v>41.109275798191128</c:v>
                </c:pt>
                <c:pt idx="25">
                  <c:v>55.0771206276561</c:v>
                </c:pt>
                <c:pt idx="26">
                  <c:v>19.509070393374742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1C-4B80-B75D-9E310A3D5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Regression'!$BL$47:$BL$98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12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100</c:v>
                </c:pt>
                <c:pt idx="6">
                  <c:v>4</c:v>
                </c:pt>
                <c:pt idx="7">
                  <c:v>12</c:v>
                </c:pt>
                <c:pt idx="8">
                  <c:v>20</c:v>
                </c:pt>
                <c:pt idx="9">
                  <c:v>40</c:v>
                </c:pt>
                <c:pt idx="10">
                  <c:v>4</c:v>
                </c:pt>
                <c:pt idx="11">
                  <c:v>12</c:v>
                </c:pt>
                <c:pt idx="12">
                  <c:v>20</c:v>
                </c:pt>
                <c:pt idx="13">
                  <c:v>40</c:v>
                </c:pt>
                <c:pt idx="14">
                  <c:v>60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8</c:v>
                </c:pt>
                <c:pt idx="20">
                  <c:v>8</c:v>
                </c:pt>
                <c:pt idx="21">
                  <c:v>20</c:v>
                </c:pt>
                <c:pt idx="22">
                  <c:v>8</c:v>
                </c:pt>
                <c:pt idx="23">
                  <c:v>20</c:v>
                </c:pt>
                <c:pt idx="24">
                  <c:v>30</c:v>
                </c:pt>
                <c:pt idx="25">
                  <c:v>8</c:v>
                </c:pt>
                <c:pt idx="26">
                  <c:v>20</c:v>
                </c:pt>
                <c:pt idx="27">
                  <c:v>30</c:v>
                </c:pt>
                <c:pt idx="28">
                  <c:v>50</c:v>
                </c:pt>
                <c:pt idx="29">
                  <c:v>100</c:v>
                </c:pt>
                <c:pt idx="30">
                  <c:v>150</c:v>
                </c:pt>
                <c:pt idx="31">
                  <c:v>200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12</c:v>
                </c:pt>
                <c:pt idx="36">
                  <c:v>20</c:v>
                </c:pt>
                <c:pt idx="37">
                  <c:v>40</c:v>
                </c:pt>
                <c:pt idx="38">
                  <c:v>4</c:v>
                </c:pt>
                <c:pt idx="39">
                  <c:v>12</c:v>
                </c:pt>
                <c:pt idx="40">
                  <c:v>20</c:v>
                </c:pt>
                <c:pt idx="41">
                  <c:v>4</c:v>
                </c:pt>
                <c:pt idx="42">
                  <c:v>12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100</c:v>
                </c:pt>
                <c:pt idx="47">
                  <c:v>150</c:v>
                </c:pt>
                <c:pt idx="48">
                  <c:v>4</c:v>
                </c:pt>
                <c:pt idx="49">
                  <c:v>12</c:v>
                </c:pt>
                <c:pt idx="50">
                  <c:v>20</c:v>
                </c:pt>
                <c:pt idx="51">
                  <c:v>40</c:v>
                </c:pt>
              </c:numCache>
            </c:numRef>
          </c:xVal>
          <c:yVal>
            <c:numRef>
              <c:f>'Powerball Regression'!$BK$47:$BK$98</c:f>
              <c:numCache>
                <c:formatCode>_-* #,##0.0_-;\-* #,##0.0_-;_-* "-"??_-;_-@_-</c:formatCode>
                <c:ptCount val="52"/>
                <c:pt idx="0">
                  <c:v>19.52442312302496</c:v>
                </c:pt>
                <c:pt idx="1">
                  <c:v>31.154789255748071</c:v>
                </c:pt>
                <c:pt idx="2">
                  <c:v>40.570238531110391</c:v>
                </c:pt>
                <c:pt idx="3">
                  <c:v>60.8369621880789</c:v>
                </c:pt>
                <c:pt idx="4">
                  <c:v>84.639629072681714</c:v>
                </c:pt>
                <c:pt idx="5">
                  <c:v>156.82348817696416</c:v>
                </c:pt>
                <c:pt idx="6">
                  <c:v>20.677774436090228</c:v>
                </c:pt>
                <c:pt idx="7">
                  <c:v>30.840203334423013</c:v>
                </c:pt>
                <c:pt idx="8">
                  <c:v>42.995307072027899</c:v>
                </c:pt>
                <c:pt idx="9">
                  <c:v>59.703342595619482</c:v>
                </c:pt>
                <c:pt idx="10">
                  <c:v>20.222166067342272</c:v>
                </c:pt>
                <c:pt idx="11">
                  <c:v>32.237415277323748</c:v>
                </c:pt>
                <c:pt idx="12">
                  <c:v>41.746812901819773</c:v>
                </c:pt>
                <c:pt idx="13">
                  <c:v>56.641298899422473</c:v>
                </c:pt>
                <c:pt idx="14">
                  <c:v>85.3851064618067</c:v>
                </c:pt>
                <c:pt idx="15">
                  <c:v>19.942564454614796</c:v>
                </c:pt>
                <c:pt idx="16">
                  <c:v>28.337262286150157</c:v>
                </c:pt>
                <c:pt idx="17">
                  <c:v>41.102714394682366</c:v>
                </c:pt>
                <c:pt idx="18">
                  <c:v>58.296434782608699</c:v>
                </c:pt>
                <c:pt idx="19">
                  <c:v>24.487517271439469</c:v>
                </c:pt>
                <c:pt idx="20">
                  <c:v>25.126546256946718</c:v>
                </c:pt>
                <c:pt idx="21">
                  <c:v>37.695077694235586</c:v>
                </c:pt>
                <c:pt idx="22">
                  <c:v>23.402584504740112</c:v>
                </c:pt>
                <c:pt idx="23">
                  <c:v>34.302016781083154</c:v>
                </c:pt>
                <c:pt idx="24">
                  <c:v>41.358095020159098</c:v>
                </c:pt>
                <c:pt idx="25">
                  <c:v>23.530717990628748</c:v>
                </c:pt>
                <c:pt idx="26">
                  <c:v>34.197531001416586</c:v>
                </c:pt>
                <c:pt idx="27">
                  <c:v>45.025587337910004</c:v>
                </c:pt>
                <c:pt idx="28">
                  <c:v>67.199002942137952</c:v>
                </c:pt>
                <c:pt idx="29">
                  <c:v>155.08314144055797</c:v>
                </c:pt>
                <c:pt idx="30">
                  <c:v>224.51918818786098</c:v>
                </c:pt>
                <c:pt idx="31">
                  <c:v>305.33054625694672</c:v>
                </c:pt>
                <c:pt idx="32">
                  <c:v>22.03278903781192</c:v>
                </c:pt>
                <c:pt idx="33">
                  <c:v>21.26904805491991</c:v>
                </c:pt>
                <c:pt idx="34">
                  <c:v>20.955573934837091</c:v>
                </c:pt>
                <c:pt idx="35">
                  <c:v>33.186050670153648</c:v>
                </c:pt>
                <c:pt idx="36">
                  <c:v>40.790859104282447</c:v>
                </c:pt>
                <c:pt idx="37">
                  <c:v>52.908046965239187</c:v>
                </c:pt>
                <c:pt idx="38">
                  <c:v>19.7636487959028</c:v>
                </c:pt>
                <c:pt idx="39">
                  <c:v>28.780959790781303</c:v>
                </c:pt>
                <c:pt idx="40">
                  <c:v>33.664848752315571</c:v>
                </c:pt>
                <c:pt idx="41">
                  <c:v>19.70956619810396</c:v>
                </c:pt>
                <c:pt idx="42">
                  <c:v>30.895473575242455</c:v>
                </c:pt>
                <c:pt idx="43">
                  <c:v>37.208673640623303</c:v>
                </c:pt>
                <c:pt idx="44">
                  <c:v>54.983203443391083</c:v>
                </c:pt>
                <c:pt idx="45">
                  <c:v>77.952955649994564</c:v>
                </c:pt>
                <c:pt idx="46">
                  <c:v>140.29007573281032</c:v>
                </c:pt>
                <c:pt idx="47">
                  <c:v>194.70491718426504</c:v>
                </c:pt>
                <c:pt idx="48">
                  <c:v>21.15536057535142</c:v>
                </c:pt>
                <c:pt idx="49">
                  <c:v>32.64936362645745</c:v>
                </c:pt>
                <c:pt idx="50">
                  <c:v>41.109275798191128</c:v>
                </c:pt>
                <c:pt idx="51">
                  <c:v>55.0771206276561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88-4FC2-AD4C-3105BE4F8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Regression'!$BL$47:$BL$98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12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100</c:v>
                </c:pt>
                <c:pt idx="6">
                  <c:v>4</c:v>
                </c:pt>
                <c:pt idx="7">
                  <c:v>12</c:v>
                </c:pt>
                <c:pt idx="8">
                  <c:v>20</c:v>
                </c:pt>
                <c:pt idx="9">
                  <c:v>40</c:v>
                </c:pt>
                <c:pt idx="10">
                  <c:v>4</c:v>
                </c:pt>
                <c:pt idx="11">
                  <c:v>12</c:v>
                </c:pt>
                <c:pt idx="12">
                  <c:v>20</c:v>
                </c:pt>
                <c:pt idx="13">
                  <c:v>40</c:v>
                </c:pt>
                <c:pt idx="14">
                  <c:v>60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8</c:v>
                </c:pt>
                <c:pt idx="20">
                  <c:v>8</c:v>
                </c:pt>
                <c:pt idx="21">
                  <c:v>20</c:v>
                </c:pt>
                <c:pt idx="22">
                  <c:v>8</c:v>
                </c:pt>
                <c:pt idx="23">
                  <c:v>20</c:v>
                </c:pt>
                <c:pt idx="24">
                  <c:v>30</c:v>
                </c:pt>
                <c:pt idx="25">
                  <c:v>8</c:v>
                </c:pt>
                <c:pt idx="26">
                  <c:v>20</c:v>
                </c:pt>
                <c:pt idx="27">
                  <c:v>30</c:v>
                </c:pt>
                <c:pt idx="28">
                  <c:v>50</c:v>
                </c:pt>
                <c:pt idx="29">
                  <c:v>100</c:v>
                </c:pt>
                <c:pt idx="30">
                  <c:v>150</c:v>
                </c:pt>
                <c:pt idx="31">
                  <c:v>200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12</c:v>
                </c:pt>
                <c:pt idx="36">
                  <c:v>20</c:v>
                </c:pt>
                <c:pt idx="37">
                  <c:v>40</c:v>
                </c:pt>
                <c:pt idx="38">
                  <c:v>4</c:v>
                </c:pt>
                <c:pt idx="39">
                  <c:v>12</c:v>
                </c:pt>
                <c:pt idx="40">
                  <c:v>20</c:v>
                </c:pt>
                <c:pt idx="41">
                  <c:v>4</c:v>
                </c:pt>
                <c:pt idx="42">
                  <c:v>12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100</c:v>
                </c:pt>
                <c:pt idx="47">
                  <c:v>150</c:v>
                </c:pt>
                <c:pt idx="48">
                  <c:v>4</c:v>
                </c:pt>
                <c:pt idx="49">
                  <c:v>12</c:v>
                </c:pt>
                <c:pt idx="50">
                  <c:v>20</c:v>
                </c:pt>
                <c:pt idx="51">
                  <c:v>40</c:v>
                </c:pt>
              </c:numCache>
            </c:numRef>
          </c:xVal>
          <c:yVal>
            <c:numRef>
              <c:f>'Powerball Regression'!$BK$47:$BK$98</c:f>
              <c:numCache>
                <c:formatCode>_-* #,##0.0_-;\-* #,##0.0_-;_-* "-"??_-;_-@_-</c:formatCode>
                <c:ptCount val="52"/>
                <c:pt idx="0">
                  <c:v>19.52442312302496</c:v>
                </c:pt>
                <c:pt idx="1">
                  <c:v>31.154789255748071</c:v>
                </c:pt>
                <c:pt idx="2">
                  <c:v>40.570238531110391</c:v>
                </c:pt>
                <c:pt idx="3">
                  <c:v>60.8369621880789</c:v>
                </c:pt>
                <c:pt idx="4">
                  <c:v>84.639629072681714</c:v>
                </c:pt>
                <c:pt idx="5">
                  <c:v>156.82348817696416</c:v>
                </c:pt>
                <c:pt idx="6">
                  <c:v>20.677774436090228</c:v>
                </c:pt>
                <c:pt idx="7">
                  <c:v>30.840203334423013</c:v>
                </c:pt>
                <c:pt idx="8">
                  <c:v>42.995307072027899</c:v>
                </c:pt>
                <c:pt idx="9">
                  <c:v>59.703342595619482</c:v>
                </c:pt>
                <c:pt idx="10">
                  <c:v>20.222166067342272</c:v>
                </c:pt>
                <c:pt idx="11">
                  <c:v>32.237415277323748</c:v>
                </c:pt>
                <c:pt idx="12">
                  <c:v>41.746812901819773</c:v>
                </c:pt>
                <c:pt idx="13">
                  <c:v>56.641298899422473</c:v>
                </c:pt>
                <c:pt idx="14">
                  <c:v>85.3851064618067</c:v>
                </c:pt>
                <c:pt idx="15">
                  <c:v>19.942564454614796</c:v>
                </c:pt>
                <c:pt idx="16">
                  <c:v>28.337262286150157</c:v>
                </c:pt>
                <c:pt idx="17">
                  <c:v>41.102714394682366</c:v>
                </c:pt>
                <c:pt idx="18">
                  <c:v>58.296434782608699</c:v>
                </c:pt>
                <c:pt idx="19">
                  <c:v>24.487517271439469</c:v>
                </c:pt>
                <c:pt idx="20">
                  <c:v>25.126546256946718</c:v>
                </c:pt>
                <c:pt idx="21">
                  <c:v>37.695077694235586</c:v>
                </c:pt>
                <c:pt idx="22">
                  <c:v>23.402584504740112</c:v>
                </c:pt>
                <c:pt idx="23">
                  <c:v>34.302016781083154</c:v>
                </c:pt>
                <c:pt idx="24">
                  <c:v>41.358095020159098</c:v>
                </c:pt>
                <c:pt idx="25">
                  <c:v>23.530717990628748</c:v>
                </c:pt>
                <c:pt idx="26">
                  <c:v>34.197531001416586</c:v>
                </c:pt>
                <c:pt idx="27">
                  <c:v>45.025587337910004</c:v>
                </c:pt>
                <c:pt idx="28">
                  <c:v>67.199002942137952</c:v>
                </c:pt>
                <c:pt idx="29">
                  <c:v>155.08314144055797</c:v>
                </c:pt>
                <c:pt idx="30">
                  <c:v>224.51918818786098</c:v>
                </c:pt>
                <c:pt idx="31">
                  <c:v>305.33054625694672</c:v>
                </c:pt>
                <c:pt idx="32">
                  <c:v>22.03278903781192</c:v>
                </c:pt>
                <c:pt idx="33">
                  <c:v>21.26904805491991</c:v>
                </c:pt>
                <c:pt idx="34">
                  <c:v>20.955573934837091</c:v>
                </c:pt>
                <c:pt idx="35">
                  <c:v>33.186050670153648</c:v>
                </c:pt>
                <c:pt idx="36">
                  <c:v>40.790859104282447</c:v>
                </c:pt>
                <c:pt idx="37">
                  <c:v>52.908046965239187</c:v>
                </c:pt>
                <c:pt idx="38">
                  <c:v>19.7636487959028</c:v>
                </c:pt>
                <c:pt idx="39">
                  <c:v>28.780959790781303</c:v>
                </c:pt>
                <c:pt idx="40">
                  <c:v>33.664848752315571</c:v>
                </c:pt>
                <c:pt idx="41">
                  <c:v>19.70956619810396</c:v>
                </c:pt>
                <c:pt idx="42">
                  <c:v>30.895473575242455</c:v>
                </c:pt>
                <c:pt idx="43">
                  <c:v>37.208673640623303</c:v>
                </c:pt>
                <c:pt idx="44">
                  <c:v>54.983203443391083</c:v>
                </c:pt>
                <c:pt idx="45">
                  <c:v>77.952955649994564</c:v>
                </c:pt>
                <c:pt idx="46">
                  <c:v>140.29007573281032</c:v>
                </c:pt>
                <c:pt idx="47">
                  <c:v>194.70491718426504</c:v>
                </c:pt>
                <c:pt idx="48">
                  <c:v>21.15536057535142</c:v>
                </c:pt>
                <c:pt idx="49">
                  <c:v>32.64936362645745</c:v>
                </c:pt>
                <c:pt idx="50">
                  <c:v>41.109275798191128</c:v>
                </c:pt>
                <c:pt idx="51">
                  <c:v>55.0771206276561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5-4D18-8429-889274B91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Regression'!$BS$126:$BS$178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12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#N/A</c:v>
                </c:pt>
                <c:pt idx="6">
                  <c:v>4</c:v>
                </c:pt>
                <c:pt idx="7">
                  <c:v>12</c:v>
                </c:pt>
                <c:pt idx="8">
                  <c:v>20</c:v>
                </c:pt>
                <c:pt idx="9">
                  <c:v>40</c:v>
                </c:pt>
                <c:pt idx="10">
                  <c:v>4</c:v>
                </c:pt>
                <c:pt idx="11">
                  <c:v>12</c:v>
                </c:pt>
                <c:pt idx="12">
                  <c:v>20</c:v>
                </c:pt>
                <c:pt idx="13">
                  <c:v>40</c:v>
                </c:pt>
                <c:pt idx="14">
                  <c:v>60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8</c:v>
                </c:pt>
                <c:pt idx="20">
                  <c:v>8</c:v>
                </c:pt>
                <c:pt idx="21">
                  <c:v>20</c:v>
                </c:pt>
                <c:pt idx="22">
                  <c:v>8</c:v>
                </c:pt>
                <c:pt idx="23">
                  <c:v>20</c:v>
                </c:pt>
                <c:pt idx="24">
                  <c:v>30</c:v>
                </c:pt>
                <c:pt idx="25">
                  <c:v>8</c:v>
                </c:pt>
                <c:pt idx="26">
                  <c:v>20</c:v>
                </c:pt>
                <c:pt idx="27">
                  <c:v>30</c:v>
                </c:pt>
                <c:pt idx="28">
                  <c:v>50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12</c:v>
                </c:pt>
                <c:pt idx="36">
                  <c:v>20</c:v>
                </c:pt>
                <c:pt idx="37">
                  <c:v>40</c:v>
                </c:pt>
                <c:pt idx="38">
                  <c:v>4</c:v>
                </c:pt>
                <c:pt idx="39">
                  <c:v>12</c:v>
                </c:pt>
                <c:pt idx="40">
                  <c:v>20</c:v>
                </c:pt>
                <c:pt idx="41">
                  <c:v>4</c:v>
                </c:pt>
                <c:pt idx="42">
                  <c:v>12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#N/A</c:v>
                </c:pt>
                <c:pt idx="47">
                  <c:v>#N/A</c:v>
                </c:pt>
                <c:pt idx="48">
                  <c:v>4</c:v>
                </c:pt>
                <c:pt idx="49">
                  <c:v>12</c:v>
                </c:pt>
                <c:pt idx="50">
                  <c:v>20</c:v>
                </c:pt>
                <c:pt idx="51">
                  <c:v>40</c:v>
                </c:pt>
                <c:pt idx="52">
                  <c:v>4</c:v>
                </c:pt>
              </c:numCache>
            </c:numRef>
          </c:xVal>
          <c:yVal>
            <c:numRef>
              <c:f>'Powerball Regression'!$BR$126:$BR$178</c:f>
              <c:numCache>
                <c:formatCode>_-* #,##0.0_-;\-* #,##0.0_-;_-* "-"??_-;_-@_-</c:formatCode>
                <c:ptCount val="53"/>
                <c:pt idx="0">
                  <c:v>19.52442312302496</c:v>
                </c:pt>
                <c:pt idx="1">
                  <c:v>31.154789255748071</c:v>
                </c:pt>
                <c:pt idx="2">
                  <c:v>40.570238531110391</c:v>
                </c:pt>
                <c:pt idx="3">
                  <c:v>60.8369621880789</c:v>
                </c:pt>
                <c:pt idx="4">
                  <c:v>84.639629072681714</c:v>
                </c:pt>
                <c:pt idx="5">
                  <c:v>#N/A</c:v>
                </c:pt>
                <c:pt idx="6">
                  <c:v>20.677774436090228</c:v>
                </c:pt>
                <c:pt idx="7">
                  <c:v>30.840203334423013</c:v>
                </c:pt>
                <c:pt idx="8">
                  <c:v>42.995307072027899</c:v>
                </c:pt>
                <c:pt idx="9">
                  <c:v>59.703342595619482</c:v>
                </c:pt>
                <c:pt idx="10">
                  <c:v>20.222166067342272</c:v>
                </c:pt>
                <c:pt idx="11">
                  <c:v>32.237415277323748</c:v>
                </c:pt>
                <c:pt idx="12">
                  <c:v>41.746812901819773</c:v>
                </c:pt>
                <c:pt idx="13">
                  <c:v>56.641298899422473</c:v>
                </c:pt>
                <c:pt idx="14">
                  <c:v>85.3851064618067</c:v>
                </c:pt>
                <c:pt idx="15">
                  <c:v>19.942564454614796</c:v>
                </c:pt>
                <c:pt idx="16">
                  <c:v>28.337262286150157</c:v>
                </c:pt>
                <c:pt idx="17">
                  <c:v>41.102714394682366</c:v>
                </c:pt>
                <c:pt idx="18">
                  <c:v>58.296434782608699</c:v>
                </c:pt>
                <c:pt idx="19">
                  <c:v>24.487517271439469</c:v>
                </c:pt>
                <c:pt idx="20">
                  <c:v>25.126546256946718</c:v>
                </c:pt>
                <c:pt idx="21">
                  <c:v>37.695077694235586</c:v>
                </c:pt>
                <c:pt idx="22">
                  <c:v>23.402584504740112</c:v>
                </c:pt>
                <c:pt idx="23">
                  <c:v>34.302016781083154</c:v>
                </c:pt>
                <c:pt idx="24">
                  <c:v>41.358095020159098</c:v>
                </c:pt>
                <c:pt idx="25">
                  <c:v>23.530717990628748</c:v>
                </c:pt>
                <c:pt idx="26">
                  <c:v>34.197531001416586</c:v>
                </c:pt>
                <c:pt idx="27">
                  <c:v>45.025587337910004</c:v>
                </c:pt>
                <c:pt idx="28">
                  <c:v>67.199002942137952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22.03278903781192</c:v>
                </c:pt>
                <c:pt idx="33">
                  <c:v>21.26904805491991</c:v>
                </c:pt>
                <c:pt idx="34">
                  <c:v>20.955573934837091</c:v>
                </c:pt>
                <c:pt idx="35">
                  <c:v>33.186050670153648</c:v>
                </c:pt>
                <c:pt idx="36">
                  <c:v>40.790859104282447</c:v>
                </c:pt>
                <c:pt idx="37">
                  <c:v>52.908046965239187</c:v>
                </c:pt>
                <c:pt idx="38">
                  <c:v>19.7636487959028</c:v>
                </c:pt>
                <c:pt idx="39">
                  <c:v>28.780959790781303</c:v>
                </c:pt>
                <c:pt idx="40">
                  <c:v>33.664848752315571</c:v>
                </c:pt>
                <c:pt idx="41">
                  <c:v>19.70956619810396</c:v>
                </c:pt>
                <c:pt idx="42">
                  <c:v>30.895473575242455</c:v>
                </c:pt>
                <c:pt idx="43">
                  <c:v>37.208673640623303</c:v>
                </c:pt>
                <c:pt idx="44">
                  <c:v>54.983203443391083</c:v>
                </c:pt>
                <c:pt idx="45">
                  <c:v>77.952955649994564</c:v>
                </c:pt>
                <c:pt idx="46">
                  <c:v>#N/A</c:v>
                </c:pt>
                <c:pt idx="47">
                  <c:v>#N/A</c:v>
                </c:pt>
                <c:pt idx="48">
                  <c:v>21.15536057535142</c:v>
                </c:pt>
                <c:pt idx="49">
                  <c:v>32.64936362645745</c:v>
                </c:pt>
                <c:pt idx="50">
                  <c:v>41.109275798191128</c:v>
                </c:pt>
                <c:pt idx="51">
                  <c:v>55.0771206276561</c:v>
                </c:pt>
                <c:pt idx="52">
                  <c:v>19.509070393374742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10-4C4B-97A5-FC8886A1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Regression'!$BS$126:$BS$178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12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#N/A</c:v>
                </c:pt>
                <c:pt idx="6">
                  <c:v>4</c:v>
                </c:pt>
                <c:pt idx="7">
                  <c:v>12</c:v>
                </c:pt>
                <c:pt idx="8">
                  <c:v>20</c:v>
                </c:pt>
                <c:pt idx="9">
                  <c:v>40</c:v>
                </c:pt>
                <c:pt idx="10">
                  <c:v>4</c:v>
                </c:pt>
                <c:pt idx="11">
                  <c:v>12</c:v>
                </c:pt>
                <c:pt idx="12">
                  <c:v>20</c:v>
                </c:pt>
                <c:pt idx="13">
                  <c:v>40</c:v>
                </c:pt>
                <c:pt idx="14">
                  <c:v>60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8</c:v>
                </c:pt>
                <c:pt idx="20">
                  <c:v>8</c:v>
                </c:pt>
                <c:pt idx="21">
                  <c:v>20</c:v>
                </c:pt>
                <c:pt idx="22">
                  <c:v>8</c:v>
                </c:pt>
                <c:pt idx="23">
                  <c:v>20</c:v>
                </c:pt>
                <c:pt idx="24">
                  <c:v>30</c:v>
                </c:pt>
                <c:pt idx="25">
                  <c:v>8</c:v>
                </c:pt>
                <c:pt idx="26">
                  <c:v>20</c:v>
                </c:pt>
                <c:pt idx="27">
                  <c:v>30</c:v>
                </c:pt>
                <c:pt idx="28">
                  <c:v>50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12</c:v>
                </c:pt>
                <c:pt idx="36">
                  <c:v>20</c:v>
                </c:pt>
                <c:pt idx="37">
                  <c:v>40</c:v>
                </c:pt>
                <c:pt idx="38">
                  <c:v>4</c:v>
                </c:pt>
                <c:pt idx="39">
                  <c:v>12</c:v>
                </c:pt>
                <c:pt idx="40">
                  <c:v>20</c:v>
                </c:pt>
                <c:pt idx="41">
                  <c:v>4</c:v>
                </c:pt>
                <c:pt idx="42">
                  <c:v>12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#N/A</c:v>
                </c:pt>
                <c:pt idx="47">
                  <c:v>#N/A</c:v>
                </c:pt>
                <c:pt idx="48">
                  <c:v>4</c:v>
                </c:pt>
                <c:pt idx="49">
                  <c:v>12</c:v>
                </c:pt>
                <c:pt idx="50">
                  <c:v>20</c:v>
                </c:pt>
                <c:pt idx="51">
                  <c:v>40</c:v>
                </c:pt>
                <c:pt idx="52">
                  <c:v>4</c:v>
                </c:pt>
              </c:numCache>
            </c:numRef>
          </c:xVal>
          <c:yVal>
            <c:numRef>
              <c:f>'Powerball Regression'!$BR$126:$BR$178</c:f>
              <c:numCache>
                <c:formatCode>_-* #,##0.0_-;\-* #,##0.0_-;_-* "-"??_-;_-@_-</c:formatCode>
                <c:ptCount val="53"/>
                <c:pt idx="0">
                  <c:v>19.52442312302496</c:v>
                </c:pt>
                <c:pt idx="1">
                  <c:v>31.154789255748071</c:v>
                </c:pt>
                <c:pt idx="2">
                  <c:v>40.570238531110391</c:v>
                </c:pt>
                <c:pt idx="3">
                  <c:v>60.8369621880789</c:v>
                </c:pt>
                <c:pt idx="4">
                  <c:v>84.639629072681714</c:v>
                </c:pt>
                <c:pt idx="5">
                  <c:v>#N/A</c:v>
                </c:pt>
                <c:pt idx="6">
                  <c:v>20.677774436090228</c:v>
                </c:pt>
                <c:pt idx="7">
                  <c:v>30.840203334423013</c:v>
                </c:pt>
                <c:pt idx="8">
                  <c:v>42.995307072027899</c:v>
                </c:pt>
                <c:pt idx="9">
                  <c:v>59.703342595619482</c:v>
                </c:pt>
                <c:pt idx="10">
                  <c:v>20.222166067342272</c:v>
                </c:pt>
                <c:pt idx="11">
                  <c:v>32.237415277323748</c:v>
                </c:pt>
                <c:pt idx="12">
                  <c:v>41.746812901819773</c:v>
                </c:pt>
                <c:pt idx="13">
                  <c:v>56.641298899422473</c:v>
                </c:pt>
                <c:pt idx="14">
                  <c:v>85.3851064618067</c:v>
                </c:pt>
                <c:pt idx="15">
                  <c:v>19.942564454614796</c:v>
                </c:pt>
                <c:pt idx="16">
                  <c:v>28.337262286150157</c:v>
                </c:pt>
                <c:pt idx="17">
                  <c:v>41.102714394682366</c:v>
                </c:pt>
                <c:pt idx="18">
                  <c:v>58.296434782608699</c:v>
                </c:pt>
                <c:pt idx="19">
                  <c:v>24.487517271439469</c:v>
                </c:pt>
                <c:pt idx="20">
                  <c:v>25.126546256946718</c:v>
                </c:pt>
                <c:pt idx="21">
                  <c:v>37.695077694235586</c:v>
                </c:pt>
                <c:pt idx="22">
                  <c:v>23.402584504740112</c:v>
                </c:pt>
                <c:pt idx="23">
                  <c:v>34.302016781083154</c:v>
                </c:pt>
                <c:pt idx="24">
                  <c:v>41.358095020159098</c:v>
                </c:pt>
                <c:pt idx="25">
                  <c:v>23.530717990628748</c:v>
                </c:pt>
                <c:pt idx="26">
                  <c:v>34.197531001416586</c:v>
                </c:pt>
                <c:pt idx="27">
                  <c:v>45.025587337910004</c:v>
                </c:pt>
                <c:pt idx="28">
                  <c:v>67.199002942137952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22.03278903781192</c:v>
                </c:pt>
                <c:pt idx="33">
                  <c:v>21.26904805491991</c:v>
                </c:pt>
                <c:pt idx="34">
                  <c:v>20.955573934837091</c:v>
                </c:pt>
                <c:pt idx="35">
                  <c:v>33.186050670153648</c:v>
                </c:pt>
                <c:pt idx="36">
                  <c:v>40.790859104282447</c:v>
                </c:pt>
                <c:pt idx="37">
                  <c:v>52.908046965239187</c:v>
                </c:pt>
                <c:pt idx="38">
                  <c:v>19.7636487959028</c:v>
                </c:pt>
                <c:pt idx="39">
                  <c:v>28.780959790781303</c:v>
                </c:pt>
                <c:pt idx="40">
                  <c:v>33.664848752315571</c:v>
                </c:pt>
                <c:pt idx="41">
                  <c:v>19.70956619810396</c:v>
                </c:pt>
                <c:pt idx="42">
                  <c:v>30.895473575242455</c:v>
                </c:pt>
                <c:pt idx="43">
                  <c:v>37.208673640623303</c:v>
                </c:pt>
                <c:pt idx="44">
                  <c:v>54.983203443391083</c:v>
                </c:pt>
                <c:pt idx="45">
                  <c:v>77.952955649994564</c:v>
                </c:pt>
                <c:pt idx="46">
                  <c:v>#N/A</c:v>
                </c:pt>
                <c:pt idx="47">
                  <c:v>#N/A</c:v>
                </c:pt>
                <c:pt idx="48">
                  <c:v>21.15536057535142</c:v>
                </c:pt>
                <c:pt idx="49">
                  <c:v>32.64936362645745</c:v>
                </c:pt>
                <c:pt idx="50">
                  <c:v>41.109275798191128</c:v>
                </c:pt>
                <c:pt idx="51">
                  <c:v>55.0771206276561</c:v>
                </c:pt>
                <c:pt idx="52">
                  <c:v>19.509070393374742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6-45FC-83E0-9024CF029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Regression'!$CH$47:$CH$98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40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20</c:v>
                </c:pt>
                <c:pt idx="8">
                  <c:v>3</c:v>
                </c:pt>
                <c:pt idx="9">
                  <c:v>8</c:v>
                </c:pt>
                <c:pt idx="10">
                  <c:v>20</c:v>
                </c:pt>
                <c:pt idx="11">
                  <c:v>3</c:v>
                </c:pt>
                <c:pt idx="12">
                  <c:v>8</c:v>
                </c:pt>
                <c:pt idx="13">
                  <c:v>3</c:v>
                </c:pt>
                <c:pt idx="14">
                  <c:v>8</c:v>
                </c:pt>
                <c:pt idx="15">
                  <c:v>20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Regression'!$CG$47:$CG$98</c:f>
              <c:numCache>
                <c:formatCode>_-* #,##0.0_-;\-* #,##0.0_-;_-* "-"??_-;_-@_-</c:formatCode>
                <c:ptCount val="52"/>
                <c:pt idx="0">
                  <c:v>42.908867619337187</c:v>
                </c:pt>
                <c:pt idx="1">
                  <c:v>61.499423776223779</c:v>
                </c:pt>
                <c:pt idx="2">
                  <c:v>19.054887686226817</c:v>
                </c:pt>
                <c:pt idx="3">
                  <c:v>24.929902341137119</c:v>
                </c:pt>
                <c:pt idx="4">
                  <c:v>39.323627363940403</c:v>
                </c:pt>
                <c:pt idx="5">
                  <c:v>17.49003441775616</c:v>
                </c:pt>
                <c:pt idx="6">
                  <c:v>23.485624323502588</c:v>
                </c:pt>
                <c:pt idx="7">
                  <c:v>40.190379811492861</c:v>
                </c:pt>
                <c:pt idx="8">
                  <c:v>17.815226512617816</c:v>
                </c:pt>
                <c:pt idx="9">
                  <c:v>25.066381757373062</c:v>
                </c:pt>
                <c:pt idx="10">
                  <c:v>40.397165825478872</c:v>
                </c:pt>
                <c:pt idx="11">
                  <c:v>19.022130495591366</c:v>
                </c:pt>
                <c:pt idx="12">
                  <c:v>25.387217756156883</c:v>
                </c:pt>
                <c:pt idx="13">
                  <c:v>17.082868713894804</c:v>
                </c:pt>
                <c:pt idx="14">
                  <c:v>24.054723502584363</c:v>
                </c:pt>
                <c:pt idx="15">
                  <c:v>39.055239160839157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B-474C-A10A-72741B77A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Regression'!$CH$47:$CH$98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40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20</c:v>
                </c:pt>
                <c:pt idx="8">
                  <c:v>3</c:v>
                </c:pt>
                <c:pt idx="9">
                  <c:v>8</c:v>
                </c:pt>
                <c:pt idx="10">
                  <c:v>20</c:v>
                </c:pt>
                <c:pt idx="11">
                  <c:v>3</c:v>
                </c:pt>
                <c:pt idx="12">
                  <c:v>8</c:v>
                </c:pt>
                <c:pt idx="13">
                  <c:v>3</c:v>
                </c:pt>
                <c:pt idx="14">
                  <c:v>8</c:v>
                </c:pt>
                <c:pt idx="15">
                  <c:v>20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Regression'!$CG$47:$CG$98</c:f>
              <c:numCache>
                <c:formatCode>_-* #,##0.0_-;\-* #,##0.0_-;_-* "-"??_-;_-@_-</c:formatCode>
                <c:ptCount val="52"/>
                <c:pt idx="0">
                  <c:v>42.908867619337187</c:v>
                </c:pt>
                <c:pt idx="1">
                  <c:v>61.499423776223779</c:v>
                </c:pt>
                <c:pt idx="2">
                  <c:v>19.054887686226817</c:v>
                </c:pt>
                <c:pt idx="3">
                  <c:v>24.929902341137119</c:v>
                </c:pt>
                <c:pt idx="4">
                  <c:v>39.323627363940403</c:v>
                </c:pt>
                <c:pt idx="5">
                  <c:v>17.49003441775616</c:v>
                </c:pt>
                <c:pt idx="6">
                  <c:v>23.485624323502588</c:v>
                </c:pt>
                <c:pt idx="7">
                  <c:v>40.190379811492861</c:v>
                </c:pt>
                <c:pt idx="8">
                  <c:v>17.815226512617816</c:v>
                </c:pt>
                <c:pt idx="9">
                  <c:v>25.066381757373062</c:v>
                </c:pt>
                <c:pt idx="10">
                  <c:v>40.397165825478872</c:v>
                </c:pt>
                <c:pt idx="11">
                  <c:v>19.022130495591366</c:v>
                </c:pt>
                <c:pt idx="12">
                  <c:v>25.387217756156883</c:v>
                </c:pt>
                <c:pt idx="13">
                  <c:v>17.082868713894804</c:v>
                </c:pt>
                <c:pt idx="14">
                  <c:v>24.054723502584363</c:v>
                </c:pt>
                <c:pt idx="15">
                  <c:v>39.055239160839157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6D-4DD7-AFFB-A7F8E4063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Regression'!$CW$47:$CW$98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80</c:v>
                </c:pt>
                <c:pt idx="13">
                  <c:v>8</c:v>
                </c:pt>
                <c:pt idx="14">
                  <c:v>20</c:v>
                </c:pt>
                <c:pt idx="15">
                  <c:v>30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Regression'!$CV$47:$CV$98</c:f>
              <c:numCache>
                <c:formatCode>_-* #,##0.0_-;\-* #,##0.0_-;_-* "-"??_-;_-@_-</c:formatCode>
                <c:ptCount val="52"/>
                <c:pt idx="0">
                  <c:v>22.19027935542718</c:v>
                </c:pt>
                <c:pt idx="1">
                  <c:v>36.953457707509884</c:v>
                </c:pt>
                <c:pt idx="2">
                  <c:v>48.994890605047111</c:v>
                </c:pt>
                <c:pt idx="3">
                  <c:v>78.306876740650651</c:v>
                </c:pt>
                <c:pt idx="4">
                  <c:v>22.972673761021586</c:v>
                </c:pt>
                <c:pt idx="5">
                  <c:v>37.058402918820313</c:v>
                </c:pt>
                <c:pt idx="6">
                  <c:v>45.393461356035267</c:v>
                </c:pt>
                <c:pt idx="7">
                  <c:v>69.99746646397081</c:v>
                </c:pt>
                <c:pt idx="8">
                  <c:v>23.50473821830343</c:v>
                </c:pt>
                <c:pt idx="9">
                  <c:v>37.212500334448158</c:v>
                </c:pt>
                <c:pt idx="10">
                  <c:v>41.866552508361195</c:v>
                </c:pt>
                <c:pt idx="11">
                  <c:v>63.615309698996647</c:v>
                </c:pt>
                <c:pt idx="12">
                  <c:v>118.500310611128</c:v>
                </c:pt>
                <c:pt idx="13">
                  <c:v>24.573953906962604</c:v>
                </c:pt>
                <c:pt idx="14">
                  <c:v>37.110605290361804</c:v>
                </c:pt>
                <c:pt idx="15">
                  <c:v>47.890415810276679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7B-41D0-9FBB-5004DBAB7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Regression'!$CW$47:$CW$98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80</c:v>
                </c:pt>
                <c:pt idx="13">
                  <c:v>8</c:v>
                </c:pt>
                <c:pt idx="14">
                  <c:v>20</c:v>
                </c:pt>
                <c:pt idx="15">
                  <c:v>30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Regression'!$CV$47:$CV$98</c:f>
              <c:numCache>
                <c:formatCode>_-* #,##0.0_-;\-* #,##0.0_-;_-* "-"??_-;_-@_-</c:formatCode>
                <c:ptCount val="52"/>
                <c:pt idx="0">
                  <c:v>22.19027935542718</c:v>
                </c:pt>
                <c:pt idx="1">
                  <c:v>36.953457707509884</c:v>
                </c:pt>
                <c:pt idx="2">
                  <c:v>48.994890605047111</c:v>
                </c:pt>
                <c:pt idx="3">
                  <c:v>78.306876740650651</c:v>
                </c:pt>
                <c:pt idx="4">
                  <c:v>22.972673761021586</c:v>
                </c:pt>
                <c:pt idx="5">
                  <c:v>37.058402918820313</c:v>
                </c:pt>
                <c:pt idx="6">
                  <c:v>45.393461356035267</c:v>
                </c:pt>
                <c:pt idx="7">
                  <c:v>69.99746646397081</c:v>
                </c:pt>
                <c:pt idx="8">
                  <c:v>23.50473821830343</c:v>
                </c:pt>
                <c:pt idx="9">
                  <c:v>37.212500334448158</c:v>
                </c:pt>
                <c:pt idx="10">
                  <c:v>41.866552508361195</c:v>
                </c:pt>
                <c:pt idx="11">
                  <c:v>63.615309698996647</c:v>
                </c:pt>
                <c:pt idx="12">
                  <c:v>118.500310611128</c:v>
                </c:pt>
                <c:pt idx="13">
                  <c:v>24.573953906962604</c:v>
                </c:pt>
                <c:pt idx="14">
                  <c:v>37.110605290361804</c:v>
                </c:pt>
                <c:pt idx="15">
                  <c:v>47.890415810276679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7F-41BC-AA20-F1418D31D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Normal Sequence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242484567901235"/>
                  <c:y val="-0.28964000000000001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'Powerball Regression'!$CH$47:$CH$98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40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20</c:v>
                </c:pt>
                <c:pt idx="8">
                  <c:v>3</c:v>
                </c:pt>
                <c:pt idx="9">
                  <c:v>8</c:v>
                </c:pt>
                <c:pt idx="10">
                  <c:v>20</c:v>
                </c:pt>
                <c:pt idx="11">
                  <c:v>3</c:v>
                </c:pt>
                <c:pt idx="12">
                  <c:v>8</c:v>
                </c:pt>
                <c:pt idx="13">
                  <c:v>3</c:v>
                </c:pt>
                <c:pt idx="14">
                  <c:v>8</c:v>
                </c:pt>
                <c:pt idx="15">
                  <c:v>20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Regression'!$CG$47:$CG$98</c:f>
              <c:numCache>
                <c:formatCode>_-* #,##0.0_-;\-* #,##0.0_-;_-* "-"??_-;_-@_-</c:formatCode>
                <c:ptCount val="52"/>
                <c:pt idx="0">
                  <c:v>42.908867619337187</c:v>
                </c:pt>
                <c:pt idx="1">
                  <c:v>61.499423776223779</c:v>
                </c:pt>
                <c:pt idx="2">
                  <c:v>19.054887686226817</c:v>
                </c:pt>
                <c:pt idx="3">
                  <c:v>24.929902341137119</c:v>
                </c:pt>
                <c:pt idx="4">
                  <c:v>39.323627363940403</c:v>
                </c:pt>
                <c:pt idx="5">
                  <c:v>17.49003441775616</c:v>
                </c:pt>
                <c:pt idx="6">
                  <c:v>23.485624323502588</c:v>
                </c:pt>
                <c:pt idx="7">
                  <c:v>40.190379811492861</c:v>
                </c:pt>
                <c:pt idx="8">
                  <c:v>17.815226512617816</c:v>
                </c:pt>
                <c:pt idx="9">
                  <c:v>25.066381757373062</c:v>
                </c:pt>
                <c:pt idx="10">
                  <c:v>40.397165825478872</c:v>
                </c:pt>
                <c:pt idx="11">
                  <c:v>19.022130495591366</c:v>
                </c:pt>
                <c:pt idx="12">
                  <c:v>25.387217756156883</c:v>
                </c:pt>
                <c:pt idx="13">
                  <c:v>17.082868713894804</c:v>
                </c:pt>
                <c:pt idx="14">
                  <c:v>24.054723502584363</c:v>
                </c:pt>
                <c:pt idx="15">
                  <c:v>39.055239160839157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D7-4D4E-82A0-7C0EE411F5CC}"/>
            </c:ext>
          </c:extLst>
        </c:ser>
        <c:ser>
          <c:idx val="1"/>
          <c:order val="1"/>
          <c:tx>
            <c:v>Accelerated Sequence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>
                <a:noFill/>
              </a:ln>
            </c:spPr>
          </c:marker>
          <c:trendline>
            <c:spPr>
              <a:ln w="19050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33846959876543209"/>
                  <c:y val="-6.7411111111111116E-2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chemeClr val="tx2">
                      <a:lumMod val="40000"/>
                      <a:lumOff val="60000"/>
                    </a:schemeClr>
                  </a:solidFill>
                </a:ln>
              </c:spPr>
            </c:trendlineLbl>
          </c:trendline>
          <c:xVal>
            <c:numRef>
              <c:f>'Powerball Regression'!$CW$47:$CW$98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80</c:v>
                </c:pt>
                <c:pt idx="13">
                  <c:v>8</c:v>
                </c:pt>
                <c:pt idx="14">
                  <c:v>20</c:v>
                </c:pt>
                <c:pt idx="15">
                  <c:v>30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Regression'!$CV$47:$CV$98</c:f>
              <c:numCache>
                <c:formatCode>_-* #,##0.0_-;\-* #,##0.0_-;_-* "-"??_-;_-@_-</c:formatCode>
                <c:ptCount val="52"/>
                <c:pt idx="0">
                  <c:v>22.19027935542718</c:v>
                </c:pt>
                <c:pt idx="1">
                  <c:v>36.953457707509884</c:v>
                </c:pt>
                <c:pt idx="2">
                  <c:v>48.994890605047111</c:v>
                </c:pt>
                <c:pt idx="3">
                  <c:v>78.306876740650651</c:v>
                </c:pt>
                <c:pt idx="4">
                  <c:v>22.972673761021586</c:v>
                </c:pt>
                <c:pt idx="5">
                  <c:v>37.058402918820313</c:v>
                </c:pt>
                <c:pt idx="6">
                  <c:v>45.393461356035267</c:v>
                </c:pt>
                <c:pt idx="7">
                  <c:v>69.99746646397081</c:v>
                </c:pt>
                <c:pt idx="8">
                  <c:v>23.50473821830343</c:v>
                </c:pt>
                <c:pt idx="9">
                  <c:v>37.212500334448158</c:v>
                </c:pt>
                <c:pt idx="10">
                  <c:v>41.866552508361195</c:v>
                </c:pt>
                <c:pt idx="11">
                  <c:v>63.615309698996647</c:v>
                </c:pt>
                <c:pt idx="12">
                  <c:v>118.500310611128</c:v>
                </c:pt>
                <c:pt idx="13">
                  <c:v>24.573953906962604</c:v>
                </c:pt>
                <c:pt idx="14">
                  <c:v>37.110605290361804</c:v>
                </c:pt>
                <c:pt idx="15">
                  <c:v>47.890415810276679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D7-4D4E-82A0-7C0EE411F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Jackpot ($m)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Entries (m's)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18920512"/>
        <c:crosses val="autoZero"/>
        <c:crossBetween val="midCat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Regression'!$DL$47:$DL$98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20</c:v>
                </c:pt>
                <c:pt idx="12">
                  <c:v>4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Regression'!$DK$47:$DK$98</c:f>
              <c:numCache>
                <c:formatCode>_-* #,##0.0_-;\-* #,##0.0_-;_-* "-"??_-;_-@_-</c:formatCode>
                <c:ptCount val="52"/>
                <c:pt idx="0">
                  <c:v>21.016983155974454</c:v>
                </c:pt>
                <c:pt idx="1">
                  <c:v>21.125759318941927</c:v>
                </c:pt>
                <c:pt idx="2">
                  <c:v>27.291882760717545</c:v>
                </c:pt>
                <c:pt idx="3">
                  <c:v>41.963661416844026</c:v>
                </c:pt>
                <c:pt idx="4">
                  <c:v>57.463937245363326</c:v>
                </c:pt>
                <c:pt idx="5">
                  <c:v>77.836461903314074</c:v>
                </c:pt>
                <c:pt idx="6">
                  <c:v>20.096787838248709</c:v>
                </c:pt>
                <c:pt idx="7">
                  <c:v>27.258635451505018</c:v>
                </c:pt>
                <c:pt idx="8">
                  <c:v>20.96840571602311</c:v>
                </c:pt>
                <c:pt idx="9">
                  <c:v>19.329129096989966</c:v>
                </c:pt>
                <c:pt idx="10">
                  <c:v>24.328928428093644</c:v>
                </c:pt>
                <c:pt idx="11">
                  <c:v>39.456376284584977</c:v>
                </c:pt>
                <c:pt idx="12">
                  <c:v>20.023645363332321</c:v>
                </c:pt>
                <c:pt idx="13">
                  <c:v>25.45458339920949</c:v>
                </c:pt>
                <c:pt idx="14">
                  <c:v>39.743730009121315</c:v>
                </c:pt>
                <c:pt idx="15">
                  <c:v>61.420572818485859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47-4278-AF98-5E84DAF7B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Regression'!$DL$47:$DL$98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20</c:v>
                </c:pt>
                <c:pt idx="12">
                  <c:v>4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Regression'!$DK$47:$DK$98</c:f>
              <c:numCache>
                <c:formatCode>_-* #,##0.0_-;\-* #,##0.0_-;_-* "-"??_-;_-@_-</c:formatCode>
                <c:ptCount val="52"/>
                <c:pt idx="0">
                  <c:v>21.016983155974454</c:v>
                </c:pt>
                <c:pt idx="1">
                  <c:v>21.125759318941927</c:v>
                </c:pt>
                <c:pt idx="2">
                  <c:v>27.291882760717545</c:v>
                </c:pt>
                <c:pt idx="3">
                  <c:v>41.963661416844026</c:v>
                </c:pt>
                <c:pt idx="4">
                  <c:v>57.463937245363326</c:v>
                </c:pt>
                <c:pt idx="5">
                  <c:v>77.836461903314074</c:v>
                </c:pt>
                <c:pt idx="6">
                  <c:v>20.096787838248709</c:v>
                </c:pt>
                <c:pt idx="7">
                  <c:v>27.258635451505018</c:v>
                </c:pt>
                <c:pt idx="8">
                  <c:v>20.96840571602311</c:v>
                </c:pt>
                <c:pt idx="9">
                  <c:v>19.329129096989966</c:v>
                </c:pt>
                <c:pt idx="10">
                  <c:v>24.328928428093644</c:v>
                </c:pt>
                <c:pt idx="11">
                  <c:v>39.456376284584977</c:v>
                </c:pt>
                <c:pt idx="12">
                  <c:v>20.023645363332321</c:v>
                </c:pt>
                <c:pt idx="13">
                  <c:v>25.45458339920949</c:v>
                </c:pt>
                <c:pt idx="14">
                  <c:v>39.743730009121315</c:v>
                </c:pt>
                <c:pt idx="15">
                  <c:v>61.420572818485859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9-4C01-B2E7-1BF803BA1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Regression'!$EA$47:$EA$98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100</c:v>
                </c:pt>
                <c:pt idx="6">
                  <c:v>160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Regression'!$DZ$47:$DZ$98</c:f>
              <c:numCache>
                <c:formatCode>_-* #,##0.0_-;\-* #,##0.0_-;_-* "-"??_-;_-@_-</c:formatCode>
                <c:ptCount val="52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183.08447309212528</c:v>
                </c:pt>
                <c:pt idx="6">
                  <c:v>284.83741380358765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137.55484439039225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78-47FB-9C1C-564D01A91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Regression'!$EA$47:$EA$98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100</c:v>
                </c:pt>
                <c:pt idx="6">
                  <c:v>160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Regression'!$DZ$47:$DZ$98</c:f>
              <c:numCache>
                <c:formatCode>_-* #,##0.0_-;\-* #,##0.0_-;_-* "-"??_-;_-@_-</c:formatCode>
                <c:ptCount val="52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183.08447309212528</c:v>
                </c:pt>
                <c:pt idx="6">
                  <c:v>284.83741380358765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137.55484439039225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93-4FA6-8E40-A0670209C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972628205128206"/>
                  <c:y val="-9.1590277777777781E-3"/>
                </c:manualLayout>
              </c:layout>
              <c:numFmt formatCode="General" sourceLinked="0"/>
              <c:spPr>
                <a:noFill/>
                <a:ln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Regression'!$DL$47:$DL$98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20</c:v>
                </c:pt>
                <c:pt idx="12">
                  <c:v>4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Regression'!$DK$47:$DK$98</c:f>
              <c:numCache>
                <c:formatCode>_-* #,##0.0_-;\-* #,##0.0_-;_-* "-"??_-;_-@_-</c:formatCode>
                <c:ptCount val="52"/>
                <c:pt idx="0">
                  <c:v>21.016983155974454</c:v>
                </c:pt>
                <c:pt idx="1">
                  <c:v>21.125759318941927</c:v>
                </c:pt>
                <c:pt idx="2">
                  <c:v>27.291882760717545</c:v>
                </c:pt>
                <c:pt idx="3">
                  <c:v>41.963661416844026</c:v>
                </c:pt>
                <c:pt idx="4">
                  <c:v>57.463937245363326</c:v>
                </c:pt>
                <c:pt idx="5">
                  <c:v>77.836461903314074</c:v>
                </c:pt>
                <c:pt idx="6">
                  <c:v>20.096787838248709</c:v>
                </c:pt>
                <c:pt idx="7">
                  <c:v>27.258635451505018</c:v>
                </c:pt>
                <c:pt idx="8">
                  <c:v>20.96840571602311</c:v>
                </c:pt>
                <c:pt idx="9">
                  <c:v>19.329129096989966</c:v>
                </c:pt>
                <c:pt idx="10">
                  <c:v>24.328928428093644</c:v>
                </c:pt>
                <c:pt idx="11">
                  <c:v>39.456376284584977</c:v>
                </c:pt>
                <c:pt idx="12">
                  <c:v>20.023645363332321</c:v>
                </c:pt>
                <c:pt idx="13">
                  <c:v>25.45458339920949</c:v>
                </c:pt>
                <c:pt idx="14">
                  <c:v>39.743730009121315</c:v>
                </c:pt>
                <c:pt idx="15">
                  <c:v>61.420572818485859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65-4B01-8D25-56B15423796A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>
                <a:noFill/>
              </a:ln>
            </c:spPr>
          </c:marker>
          <c:trendline>
            <c:spPr>
              <a:ln w="19050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1405790598290598"/>
                  <c:y val="-7.886493055555556E-2"/>
                </c:manualLayout>
              </c:layout>
              <c:numFmt formatCode="#,##0.0000" sourceLinked="0"/>
              <c:spPr>
                <a:ln>
                  <a:solidFill>
                    <a:schemeClr val="tx2">
                      <a:lumMod val="40000"/>
                      <a:lumOff val="6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900">
                      <a:solidFill>
                        <a:schemeClr val="tx2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Regression'!$EH$49:$EH$100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#N/A</c:v>
                </c:pt>
                <c:pt idx="6">
                  <c:v>#N/A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Regression'!$EG$49:$EG$100</c:f>
              <c:numCache>
                <c:formatCode>_-* #,##0.0_-;\-* #,##0.0_-;_-* "-"??_-;_-@_-</c:formatCode>
                <c:ptCount val="52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#N/A</c:v>
                </c:pt>
                <c:pt idx="6">
                  <c:v>#N/A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65-4B01-8D25-56B154237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Regression'!$EH$49:$EH$101</c:f>
              <c:numCache>
                <c:formatCode>_-* #,##0.0_-;\-* #,##0.0_-;_-* "-"??_-;_-@_-</c:formatCode>
                <c:ptCount val="53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#N/A</c:v>
                </c:pt>
                <c:pt idx="6">
                  <c:v>#N/A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</c:numCache>
            </c:numRef>
          </c:xVal>
          <c:yVal>
            <c:numRef>
              <c:f>'Powerball Regression'!$EG$49:$EG$101</c:f>
              <c:numCache>
                <c:formatCode>_-* #,##0.0_-;\-* #,##0.0_-;_-* "-"??_-;_-@_-</c:formatCode>
                <c:ptCount val="53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#N/A</c:v>
                </c:pt>
                <c:pt idx="6">
                  <c:v>#N/A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19-4931-891A-B812BD14D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Regression'!$EH$49:$EH$101</c:f>
              <c:numCache>
                <c:formatCode>_-* #,##0.0_-;\-* #,##0.0_-;_-* "-"??_-;_-@_-</c:formatCode>
                <c:ptCount val="53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#N/A</c:v>
                </c:pt>
                <c:pt idx="6">
                  <c:v>#N/A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</c:numCache>
            </c:numRef>
          </c:xVal>
          <c:yVal>
            <c:numRef>
              <c:f>'Powerball Regression'!$EG$49:$EG$101</c:f>
              <c:numCache>
                <c:formatCode>_-* #,##0.0_-;\-* #,##0.0_-;_-* "-"??_-;_-@_-</c:formatCode>
                <c:ptCount val="53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#N/A</c:v>
                </c:pt>
                <c:pt idx="6">
                  <c:v>#N/A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D6-4001-BA94-F4BC5ECFD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Normal Sequence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1629475308642"/>
                  <c:y val="1.3893333333333334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'Powerball Regression'!$DL$47:$DL$98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20</c:v>
                </c:pt>
                <c:pt idx="12">
                  <c:v>4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Regression'!$DK$47:$DK$98</c:f>
              <c:numCache>
                <c:formatCode>_-* #,##0.0_-;\-* #,##0.0_-;_-* "-"??_-;_-@_-</c:formatCode>
                <c:ptCount val="52"/>
                <c:pt idx="0">
                  <c:v>21.016983155974454</c:v>
                </c:pt>
                <c:pt idx="1">
                  <c:v>21.125759318941927</c:v>
                </c:pt>
                <c:pt idx="2">
                  <c:v>27.291882760717545</c:v>
                </c:pt>
                <c:pt idx="3">
                  <c:v>41.963661416844026</c:v>
                </c:pt>
                <c:pt idx="4">
                  <c:v>57.463937245363326</c:v>
                </c:pt>
                <c:pt idx="5">
                  <c:v>77.836461903314074</c:v>
                </c:pt>
                <c:pt idx="6">
                  <c:v>20.096787838248709</c:v>
                </c:pt>
                <c:pt idx="7">
                  <c:v>27.258635451505018</c:v>
                </c:pt>
                <c:pt idx="8">
                  <c:v>20.96840571602311</c:v>
                </c:pt>
                <c:pt idx="9">
                  <c:v>19.329129096989966</c:v>
                </c:pt>
                <c:pt idx="10">
                  <c:v>24.328928428093644</c:v>
                </c:pt>
                <c:pt idx="11">
                  <c:v>39.456376284584977</c:v>
                </c:pt>
                <c:pt idx="12">
                  <c:v>20.023645363332321</c:v>
                </c:pt>
                <c:pt idx="13">
                  <c:v>25.45458339920949</c:v>
                </c:pt>
                <c:pt idx="14">
                  <c:v>39.743730009121315</c:v>
                </c:pt>
                <c:pt idx="15">
                  <c:v>61.420572818485859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64-4621-96C9-CBDD1C90301D}"/>
            </c:ext>
          </c:extLst>
        </c:ser>
        <c:ser>
          <c:idx val="1"/>
          <c:order val="1"/>
          <c:tx>
            <c:v>Accelerated Sequence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>
                <a:noFill/>
              </a:ln>
            </c:spPr>
          </c:marker>
          <c:trendline>
            <c:spPr>
              <a:ln w="19050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8148950617283952"/>
                  <c:y val="-3.8461666666666665E-2"/>
                </c:manualLayout>
              </c:layout>
              <c:numFmt formatCode="#,##0.0000" sourceLinked="0"/>
              <c:spPr>
                <a:ln>
                  <a:solidFill>
                    <a:schemeClr val="tx2">
                      <a:lumMod val="40000"/>
                      <a:lumOff val="60000"/>
                    </a:schemeClr>
                  </a:solidFill>
                </a:ln>
              </c:spPr>
            </c:trendlineLbl>
          </c:trendline>
          <c:xVal>
            <c:numRef>
              <c:f>'Powerball Regression'!$EH$49:$EH$100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#N/A</c:v>
                </c:pt>
                <c:pt idx="6">
                  <c:v>#N/A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'Powerball Regression'!$EG$49:$EG$100</c:f>
              <c:numCache>
                <c:formatCode>_-* #,##0.0_-;\-* #,##0.0_-;_-* "-"??_-;_-@_-</c:formatCode>
                <c:ptCount val="52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#N/A</c:v>
                </c:pt>
                <c:pt idx="6">
                  <c:v>#N/A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64-4621-96C9-CBDD1C903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Jackpot ($m)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Entries (m's)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18920512"/>
        <c:crosses val="autoZero"/>
        <c:crossBetween val="midCat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843760683760686"/>
                  <c:y val="-0.10429409722222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Regression'!$JL$67:$JL$119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100</c:v>
                </c:pt>
                <c:pt idx="5">
                  <c:v>4</c:v>
                </c:pt>
                <c:pt idx="6">
                  <c:v>12</c:v>
                </c:pt>
                <c:pt idx="7">
                  <c:v>20</c:v>
                </c:pt>
                <c:pt idx="8">
                  <c:v>40</c:v>
                </c:pt>
                <c:pt idx="9">
                  <c:v>4</c:v>
                </c:pt>
                <c:pt idx="10">
                  <c:v>12</c:v>
                </c:pt>
                <c:pt idx="11">
                  <c:v>20</c:v>
                </c:pt>
                <c:pt idx="12">
                  <c:v>40</c:v>
                </c:pt>
                <c:pt idx="13">
                  <c:v>60</c:v>
                </c:pt>
                <c:pt idx="14">
                  <c:v>4</c:v>
                </c:pt>
                <c:pt idx="15">
                  <c:v>12</c:v>
                </c:pt>
                <c:pt idx="16">
                  <c:v>20</c:v>
                </c:pt>
                <c:pt idx="17">
                  <c:v>40</c:v>
                </c:pt>
                <c:pt idx="18">
                  <c:v>8</c:v>
                </c:pt>
                <c:pt idx="19">
                  <c:v>8</c:v>
                </c:pt>
                <c:pt idx="20">
                  <c:v>20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50</c:v>
                </c:pt>
                <c:pt idx="28">
                  <c:v>100</c:v>
                </c:pt>
                <c:pt idx="29">
                  <c:v>150</c:v>
                </c:pt>
                <c:pt idx="30">
                  <c:v>200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4</c:v>
                </c:pt>
                <c:pt idx="38">
                  <c:v>12</c:v>
                </c:pt>
                <c:pt idx="39">
                  <c:v>20</c:v>
                </c:pt>
                <c:pt idx="40">
                  <c:v>4</c:v>
                </c:pt>
                <c:pt idx="41">
                  <c:v>12</c:v>
                </c:pt>
                <c:pt idx="42">
                  <c:v>20</c:v>
                </c:pt>
                <c:pt idx="43">
                  <c:v>40</c:v>
                </c:pt>
                <c:pt idx="44">
                  <c:v>60</c:v>
                </c:pt>
                <c:pt idx="45">
                  <c:v>100</c:v>
                </c:pt>
                <c:pt idx="46">
                  <c:v>150</c:v>
                </c:pt>
                <c:pt idx="47">
                  <c:v>4</c:v>
                </c:pt>
                <c:pt idx="48">
                  <c:v>12</c:v>
                </c:pt>
                <c:pt idx="49">
                  <c:v>20</c:v>
                </c:pt>
                <c:pt idx="50">
                  <c:v>40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Regression'!$JK$67:$JK$119</c:f>
              <c:numCache>
                <c:formatCode>_-* #,##0.0_-;\-* #,##0.0_-;_-* "-"??_-;_-@_-</c:formatCode>
                <c:ptCount val="53"/>
                <c:pt idx="0">
                  <c:v>31.154789255748071</c:v>
                </c:pt>
                <c:pt idx="1">
                  <c:v>40.570238531110391</c:v>
                </c:pt>
                <c:pt idx="2">
                  <c:v>60.8369621880789</c:v>
                </c:pt>
                <c:pt idx="3">
                  <c:v>84.639629072681714</c:v>
                </c:pt>
                <c:pt idx="4">
                  <c:v>156.82348817696416</c:v>
                </c:pt>
                <c:pt idx="5">
                  <c:v>20.677774436090228</c:v>
                </c:pt>
                <c:pt idx="6">
                  <c:v>30.840203334423013</c:v>
                </c:pt>
                <c:pt idx="7">
                  <c:v>42.995307072027899</c:v>
                </c:pt>
                <c:pt idx="8">
                  <c:v>59.703342595619482</c:v>
                </c:pt>
                <c:pt idx="9">
                  <c:v>20.222166067342272</c:v>
                </c:pt>
                <c:pt idx="10">
                  <c:v>32.237415277323748</c:v>
                </c:pt>
                <c:pt idx="11">
                  <c:v>41.746812901819773</c:v>
                </c:pt>
                <c:pt idx="12">
                  <c:v>56.641298899422473</c:v>
                </c:pt>
                <c:pt idx="13">
                  <c:v>85.3851064618067</c:v>
                </c:pt>
                <c:pt idx="14">
                  <c:v>19.942564454614796</c:v>
                </c:pt>
                <c:pt idx="15">
                  <c:v>28.337262286150157</c:v>
                </c:pt>
                <c:pt idx="16">
                  <c:v>41.102714394682366</c:v>
                </c:pt>
                <c:pt idx="17">
                  <c:v>58.296434782608699</c:v>
                </c:pt>
                <c:pt idx="18">
                  <c:v>24.487517271439469</c:v>
                </c:pt>
                <c:pt idx="19">
                  <c:v>25.126546256946718</c:v>
                </c:pt>
                <c:pt idx="20">
                  <c:v>37.695077694235586</c:v>
                </c:pt>
                <c:pt idx="21">
                  <c:v>23.402584504740112</c:v>
                </c:pt>
                <c:pt idx="22">
                  <c:v>34.302016781083154</c:v>
                </c:pt>
                <c:pt idx="23">
                  <c:v>41.358095020159098</c:v>
                </c:pt>
                <c:pt idx="24">
                  <c:v>23.530717990628748</c:v>
                </c:pt>
                <c:pt idx="25">
                  <c:v>34.197531001416586</c:v>
                </c:pt>
                <c:pt idx="26">
                  <c:v>45.025587337910004</c:v>
                </c:pt>
                <c:pt idx="27">
                  <c:v>67.199002942137952</c:v>
                </c:pt>
                <c:pt idx="28">
                  <c:v>155.08314144055797</c:v>
                </c:pt>
                <c:pt idx="29">
                  <c:v>224.51918818786098</c:v>
                </c:pt>
                <c:pt idx="30">
                  <c:v>305.33054625694672</c:v>
                </c:pt>
                <c:pt idx="31">
                  <c:v>22.03278903781192</c:v>
                </c:pt>
                <c:pt idx="32">
                  <c:v>21.26904805491991</c:v>
                </c:pt>
                <c:pt idx="33">
                  <c:v>20.955573934837091</c:v>
                </c:pt>
                <c:pt idx="34">
                  <c:v>33.186050670153648</c:v>
                </c:pt>
                <c:pt idx="35">
                  <c:v>40.790859104282447</c:v>
                </c:pt>
                <c:pt idx="36">
                  <c:v>52.908046965239187</c:v>
                </c:pt>
                <c:pt idx="37">
                  <c:v>19.7636487959028</c:v>
                </c:pt>
                <c:pt idx="38">
                  <c:v>28.780959790781303</c:v>
                </c:pt>
                <c:pt idx="39">
                  <c:v>33.664848752315571</c:v>
                </c:pt>
                <c:pt idx="40">
                  <c:v>19.70956619810396</c:v>
                </c:pt>
                <c:pt idx="41">
                  <c:v>30.895473575242455</c:v>
                </c:pt>
                <c:pt idx="42">
                  <c:v>37.208673640623303</c:v>
                </c:pt>
                <c:pt idx="43">
                  <c:v>54.983203443391083</c:v>
                </c:pt>
                <c:pt idx="44">
                  <c:v>77.952955649994564</c:v>
                </c:pt>
                <c:pt idx="45">
                  <c:v>140.29007573281032</c:v>
                </c:pt>
                <c:pt idx="46">
                  <c:v>194.70491718426504</c:v>
                </c:pt>
                <c:pt idx="47">
                  <c:v>21.15536057535142</c:v>
                </c:pt>
                <c:pt idx="48">
                  <c:v>32.64936362645745</c:v>
                </c:pt>
                <c:pt idx="49">
                  <c:v>41.109275798191128</c:v>
                </c:pt>
                <c:pt idx="50">
                  <c:v>55.0771206276561</c:v>
                </c:pt>
                <c:pt idx="51">
                  <c:v>19.509070393374742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B-44FB-9B13-0F36152A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461666666666667"/>
                  <c:y val="-6.62791666666666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Regression'!$JL$67:$JL$119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100</c:v>
                </c:pt>
                <c:pt idx="5">
                  <c:v>4</c:v>
                </c:pt>
                <c:pt idx="6">
                  <c:v>12</c:v>
                </c:pt>
                <c:pt idx="7">
                  <c:v>20</c:v>
                </c:pt>
                <c:pt idx="8">
                  <c:v>40</c:v>
                </c:pt>
                <c:pt idx="9">
                  <c:v>4</c:v>
                </c:pt>
                <c:pt idx="10">
                  <c:v>12</c:v>
                </c:pt>
                <c:pt idx="11">
                  <c:v>20</c:v>
                </c:pt>
                <c:pt idx="12">
                  <c:v>40</c:v>
                </c:pt>
                <c:pt idx="13">
                  <c:v>60</c:v>
                </c:pt>
                <c:pt idx="14">
                  <c:v>4</c:v>
                </c:pt>
                <c:pt idx="15">
                  <c:v>12</c:v>
                </c:pt>
                <c:pt idx="16">
                  <c:v>20</c:v>
                </c:pt>
                <c:pt idx="17">
                  <c:v>40</c:v>
                </c:pt>
                <c:pt idx="18">
                  <c:v>8</c:v>
                </c:pt>
                <c:pt idx="19">
                  <c:v>8</c:v>
                </c:pt>
                <c:pt idx="20">
                  <c:v>20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50</c:v>
                </c:pt>
                <c:pt idx="28">
                  <c:v>100</c:v>
                </c:pt>
                <c:pt idx="29">
                  <c:v>150</c:v>
                </c:pt>
                <c:pt idx="30">
                  <c:v>200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4</c:v>
                </c:pt>
                <c:pt idx="38">
                  <c:v>12</c:v>
                </c:pt>
                <c:pt idx="39">
                  <c:v>20</c:v>
                </c:pt>
                <c:pt idx="40">
                  <c:v>4</c:v>
                </c:pt>
                <c:pt idx="41">
                  <c:v>12</c:v>
                </c:pt>
                <c:pt idx="42">
                  <c:v>20</c:v>
                </c:pt>
                <c:pt idx="43">
                  <c:v>40</c:v>
                </c:pt>
                <c:pt idx="44">
                  <c:v>60</c:v>
                </c:pt>
                <c:pt idx="45">
                  <c:v>100</c:v>
                </c:pt>
                <c:pt idx="46">
                  <c:v>150</c:v>
                </c:pt>
                <c:pt idx="47">
                  <c:v>4</c:v>
                </c:pt>
                <c:pt idx="48">
                  <c:v>12</c:v>
                </c:pt>
                <c:pt idx="49">
                  <c:v>20</c:v>
                </c:pt>
                <c:pt idx="50">
                  <c:v>40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Regression'!$JK$67:$JK$119</c:f>
              <c:numCache>
                <c:formatCode>_-* #,##0.0_-;\-* #,##0.0_-;_-* "-"??_-;_-@_-</c:formatCode>
                <c:ptCount val="53"/>
                <c:pt idx="0">
                  <c:v>31.154789255748071</c:v>
                </c:pt>
                <c:pt idx="1">
                  <c:v>40.570238531110391</c:v>
                </c:pt>
                <c:pt idx="2">
                  <c:v>60.8369621880789</c:v>
                </c:pt>
                <c:pt idx="3">
                  <c:v>84.639629072681714</c:v>
                </c:pt>
                <c:pt idx="4">
                  <c:v>156.82348817696416</c:v>
                </c:pt>
                <c:pt idx="5">
                  <c:v>20.677774436090228</c:v>
                </c:pt>
                <c:pt idx="6">
                  <c:v>30.840203334423013</c:v>
                </c:pt>
                <c:pt idx="7">
                  <c:v>42.995307072027899</c:v>
                </c:pt>
                <c:pt idx="8">
                  <c:v>59.703342595619482</c:v>
                </c:pt>
                <c:pt idx="9">
                  <c:v>20.222166067342272</c:v>
                </c:pt>
                <c:pt idx="10">
                  <c:v>32.237415277323748</c:v>
                </c:pt>
                <c:pt idx="11">
                  <c:v>41.746812901819773</c:v>
                </c:pt>
                <c:pt idx="12">
                  <c:v>56.641298899422473</c:v>
                </c:pt>
                <c:pt idx="13">
                  <c:v>85.3851064618067</c:v>
                </c:pt>
                <c:pt idx="14">
                  <c:v>19.942564454614796</c:v>
                </c:pt>
                <c:pt idx="15">
                  <c:v>28.337262286150157</c:v>
                </c:pt>
                <c:pt idx="16">
                  <c:v>41.102714394682366</c:v>
                </c:pt>
                <c:pt idx="17">
                  <c:v>58.296434782608699</c:v>
                </c:pt>
                <c:pt idx="18">
                  <c:v>24.487517271439469</c:v>
                </c:pt>
                <c:pt idx="19">
                  <c:v>25.126546256946718</c:v>
                </c:pt>
                <c:pt idx="20">
                  <c:v>37.695077694235586</c:v>
                </c:pt>
                <c:pt idx="21">
                  <c:v>23.402584504740112</c:v>
                </c:pt>
                <c:pt idx="22">
                  <c:v>34.302016781083154</c:v>
                </c:pt>
                <c:pt idx="23">
                  <c:v>41.358095020159098</c:v>
                </c:pt>
                <c:pt idx="24">
                  <c:v>23.530717990628748</c:v>
                </c:pt>
                <c:pt idx="25">
                  <c:v>34.197531001416586</c:v>
                </c:pt>
                <c:pt idx="26">
                  <c:v>45.025587337910004</c:v>
                </c:pt>
                <c:pt idx="27">
                  <c:v>67.199002942137952</c:v>
                </c:pt>
                <c:pt idx="28">
                  <c:v>155.08314144055797</c:v>
                </c:pt>
                <c:pt idx="29">
                  <c:v>224.51918818786098</c:v>
                </c:pt>
                <c:pt idx="30">
                  <c:v>305.33054625694672</c:v>
                </c:pt>
                <c:pt idx="31">
                  <c:v>22.03278903781192</c:v>
                </c:pt>
                <c:pt idx="32">
                  <c:v>21.26904805491991</c:v>
                </c:pt>
                <c:pt idx="33">
                  <c:v>20.955573934837091</c:v>
                </c:pt>
                <c:pt idx="34">
                  <c:v>33.186050670153648</c:v>
                </c:pt>
                <c:pt idx="35">
                  <c:v>40.790859104282447</c:v>
                </c:pt>
                <c:pt idx="36">
                  <c:v>52.908046965239187</c:v>
                </c:pt>
                <c:pt idx="37">
                  <c:v>19.7636487959028</c:v>
                </c:pt>
                <c:pt idx="38">
                  <c:v>28.780959790781303</c:v>
                </c:pt>
                <c:pt idx="39">
                  <c:v>33.664848752315571</c:v>
                </c:pt>
                <c:pt idx="40">
                  <c:v>19.70956619810396</c:v>
                </c:pt>
                <c:pt idx="41">
                  <c:v>30.895473575242455</c:v>
                </c:pt>
                <c:pt idx="42">
                  <c:v>37.208673640623303</c:v>
                </c:pt>
                <c:pt idx="43">
                  <c:v>54.983203443391083</c:v>
                </c:pt>
                <c:pt idx="44">
                  <c:v>77.952955649994564</c:v>
                </c:pt>
                <c:pt idx="45">
                  <c:v>140.29007573281032</c:v>
                </c:pt>
                <c:pt idx="46">
                  <c:v>194.70491718426504</c:v>
                </c:pt>
                <c:pt idx="47">
                  <c:v>21.15536057535142</c:v>
                </c:pt>
                <c:pt idx="48">
                  <c:v>32.64936362645745</c:v>
                </c:pt>
                <c:pt idx="49">
                  <c:v>41.109275798191128</c:v>
                </c:pt>
                <c:pt idx="50">
                  <c:v>55.0771206276561</c:v>
                </c:pt>
                <c:pt idx="51">
                  <c:v>19.509070393374742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DF-4514-A69A-E530C3E30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1233803418803419"/>
                  <c:y val="-5.2590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Regression'!$JL$67:$JL$119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100</c:v>
                </c:pt>
                <c:pt idx="5">
                  <c:v>4</c:v>
                </c:pt>
                <c:pt idx="6">
                  <c:v>12</c:v>
                </c:pt>
                <c:pt idx="7">
                  <c:v>20</c:v>
                </c:pt>
                <c:pt idx="8">
                  <c:v>40</c:v>
                </c:pt>
                <c:pt idx="9">
                  <c:v>4</c:v>
                </c:pt>
                <c:pt idx="10">
                  <c:v>12</c:v>
                </c:pt>
                <c:pt idx="11">
                  <c:v>20</c:v>
                </c:pt>
                <c:pt idx="12">
                  <c:v>40</c:v>
                </c:pt>
                <c:pt idx="13">
                  <c:v>60</c:v>
                </c:pt>
                <c:pt idx="14">
                  <c:v>4</c:v>
                </c:pt>
                <c:pt idx="15">
                  <c:v>12</c:v>
                </c:pt>
                <c:pt idx="16">
                  <c:v>20</c:v>
                </c:pt>
                <c:pt idx="17">
                  <c:v>40</c:v>
                </c:pt>
                <c:pt idx="18">
                  <c:v>8</c:v>
                </c:pt>
                <c:pt idx="19">
                  <c:v>8</c:v>
                </c:pt>
                <c:pt idx="20">
                  <c:v>20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50</c:v>
                </c:pt>
                <c:pt idx="28">
                  <c:v>100</c:v>
                </c:pt>
                <c:pt idx="29">
                  <c:v>150</c:v>
                </c:pt>
                <c:pt idx="30">
                  <c:v>200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4</c:v>
                </c:pt>
                <c:pt idx="38">
                  <c:v>12</c:v>
                </c:pt>
                <c:pt idx="39">
                  <c:v>20</c:v>
                </c:pt>
                <c:pt idx="40">
                  <c:v>4</c:v>
                </c:pt>
                <c:pt idx="41">
                  <c:v>12</c:v>
                </c:pt>
                <c:pt idx="42">
                  <c:v>20</c:v>
                </c:pt>
                <c:pt idx="43">
                  <c:v>40</c:v>
                </c:pt>
                <c:pt idx="44">
                  <c:v>60</c:v>
                </c:pt>
                <c:pt idx="45">
                  <c:v>100</c:v>
                </c:pt>
                <c:pt idx="46">
                  <c:v>150</c:v>
                </c:pt>
                <c:pt idx="47">
                  <c:v>4</c:v>
                </c:pt>
                <c:pt idx="48">
                  <c:v>12</c:v>
                </c:pt>
                <c:pt idx="49">
                  <c:v>20</c:v>
                </c:pt>
                <c:pt idx="50">
                  <c:v>40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Regression'!$JK$67:$JK$119</c:f>
              <c:numCache>
                <c:formatCode>_-* #,##0.0_-;\-* #,##0.0_-;_-* "-"??_-;_-@_-</c:formatCode>
                <c:ptCount val="53"/>
                <c:pt idx="0">
                  <c:v>31.154789255748071</c:v>
                </c:pt>
                <c:pt idx="1">
                  <c:v>40.570238531110391</c:v>
                </c:pt>
                <c:pt idx="2">
                  <c:v>60.8369621880789</c:v>
                </c:pt>
                <c:pt idx="3">
                  <c:v>84.639629072681714</c:v>
                </c:pt>
                <c:pt idx="4">
                  <c:v>156.82348817696416</c:v>
                </c:pt>
                <c:pt idx="5">
                  <c:v>20.677774436090228</c:v>
                </c:pt>
                <c:pt idx="6">
                  <c:v>30.840203334423013</c:v>
                </c:pt>
                <c:pt idx="7">
                  <c:v>42.995307072027899</c:v>
                </c:pt>
                <c:pt idx="8">
                  <c:v>59.703342595619482</c:v>
                </c:pt>
                <c:pt idx="9">
                  <c:v>20.222166067342272</c:v>
                </c:pt>
                <c:pt idx="10">
                  <c:v>32.237415277323748</c:v>
                </c:pt>
                <c:pt idx="11">
                  <c:v>41.746812901819773</c:v>
                </c:pt>
                <c:pt idx="12">
                  <c:v>56.641298899422473</c:v>
                </c:pt>
                <c:pt idx="13">
                  <c:v>85.3851064618067</c:v>
                </c:pt>
                <c:pt idx="14">
                  <c:v>19.942564454614796</c:v>
                </c:pt>
                <c:pt idx="15">
                  <c:v>28.337262286150157</c:v>
                </c:pt>
                <c:pt idx="16">
                  <c:v>41.102714394682366</c:v>
                </c:pt>
                <c:pt idx="17">
                  <c:v>58.296434782608699</c:v>
                </c:pt>
                <c:pt idx="18">
                  <c:v>24.487517271439469</c:v>
                </c:pt>
                <c:pt idx="19">
                  <c:v>25.126546256946718</c:v>
                </c:pt>
                <c:pt idx="20">
                  <c:v>37.695077694235586</c:v>
                </c:pt>
                <c:pt idx="21">
                  <c:v>23.402584504740112</c:v>
                </c:pt>
                <c:pt idx="22">
                  <c:v>34.302016781083154</c:v>
                </c:pt>
                <c:pt idx="23">
                  <c:v>41.358095020159098</c:v>
                </c:pt>
                <c:pt idx="24">
                  <c:v>23.530717990628748</c:v>
                </c:pt>
                <c:pt idx="25">
                  <c:v>34.197531001416586</c:v>
                </c:pt>
                <c:pt idx="26">
                  <c:v>45.025587337910004</c:v>
                </c:pt>
                <c:pt idx="27">
                  <c:v>67.199002942137952</c:v>
                </c:pt>
                <c:pt idx="28">
                  <c:v>155.08314144055797</c:v>
                </c:pt>
                <c:pt idx="29">
                  <c:v>224.51918818786098</c:v>
                </c:pt>
                <c:pt idx="30">
                  <c:v>305.33054625694672</c:v>
                </c:pt>
                <c:pt idx="31">
                  <c:v>22.03278903781192</c:v>
                </c:pt>
                <c:pt idx="32">
                  <c:v>21.26904805491991</c:v>
                </c:pt>
                <c:pt idx="33">
                  <c:v>20.955573934837091</c:v>
                </c:pt>
                <c:pt idx="34">
                  <c:v>33.186050670153648</c:v>
                </c:pt>
                <c:pt idx="35">
                  <c:v>40.790859104282447</c:v>
                </c:pt>
                <c:pt idx="36">
                  <c:v>52.908046965239187</c:v>
                </c:pt>
                <c:pt idx="37">
                  <c:v>19.7636487959028</c:v>
                </c:pt>
                <c:pt idx="38">
                  <c:v>28.780959790781303</c:v>
                </c:pt>
                <c:pt idx="39">
                  <c:v>33.664848752315571</c:v>
                </c:pt>
                <c:pt idx="40">
                  <c:v>19.70956619810396</c:v>
                </c:pt>
                <c:pt idx="41">
                  <c:v>30.895473575242455</c:v>
                </c:pt>
                <c:pt idx="42">
                  <c:v>37.208673640623303</c:v>
                </c:pt>
                <c:pt idx="43">
                  <c:v>54.983203443391083</c:v>
                </c:pt>
                <c:pt idx="44">
                  <c:v>77.952955649994564</c:v>
                </c:pt>
                <c:pt idx="45">
                  <c:v>140.29007573281032</c:v>
                </c:pt>
                <c:pt idx="46">
                  <c:v>194.70491718426504</c:v>
                </c:pt>
                <c:pt idx="47">
                  <c:v>21.15536057535142</c:v>
                </c:pt>
                <c:pt idx="48">
                  <c:v>32.64936362645745</c:v>
                </c:pt>
                <c:pt idx="49">
                  <c:v>41.109275798191128</c:v>
                </c:pt>
                <c:pt idx="50">
                  <c:v>55.0771206276561</c:v>
                </c:pt>
                <c:pt idx="51">
                  <c:v>19.509070393374742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56-4F45-9143-EE95F0AD9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952264957264957"/>
                  <c:y val="-8.22034722222222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Regression'!$JS$85:$JS$137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#N/A</c:v>
                </c:pt>
                <c:pt idx="5">
                  <c:v>4</c:v>
                </c:pt>
                <c:pt idx="6">
                  <c:v>12</c:v>
                </c:pt>
                <c:pt idx="7">
                  <c:v>20</c:v>
                </c:pt>
                <c:pt idx="8">
                  <c:v>40</c:v>
                </c:pt>
                <c:pt idx="9">
                  <c:v>4</c:v>
                </c:pt>
                <c:pt idx="10">
                  <c:v>12</c:v>
                </c:pt>
                <c:pt idx="11">
                  <c:v>20</c:v>
                </c:pt>
                <c:pt idx="12">
                  <c:v>40</c:v>
                </c:pt>
                <c:pt idx="13">
                  <c:v>60</c:v>
                </c:pt>
                <c:pt idx="14">
                  <c:v>4</c:v>
                </c:pt>
                <c:pt idx="15">
                  <c:v>12</c:v>
                </c:pt>
                <c:pt idx="16">
                  <c:v>20</c:v>
                </c:pt>
                <c:pt idx="17">
                  <c:v>40</c:v>
                </c:pt>
                <c:pt idx="18">
                  <c:v>8</c:v>
                </c:pt>
                <c:pt idx="19">
                  <c:v>8</c:v>
                </c:pt>
                <c:pt idx="20">
                  <c:v>20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50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4</c:v>
                </c:pt>
                <c:pt idx="38">
                  <c:v>12</c:v>
                </c:pt>
                <c:pt idx="39">
                  <c:v>20</c:v>
                </c:pt>
                <c:pt idx="40">
                  <c:v>4</c:v>
                </c:pt>
                <c:pt idx="41">
                  <c:v>12</c:v>
                </c:pt>
                <c:pt idx="42">
                  <c:v>20</c:v>
                </c:pt>
                <c:pt idx="43">
                  <c:v>40</c:v>
                </c:pt>
                <c:pt idx="44">
                  <c:v>60</c:v>
                </c:pt>
                <c:pt idx="45">
                  <c:v>#N/A</c:v>
                </c:pt>
                <c:pt idx="46">
                  <c:v>#N/A</c:v>
                </c:pt>
                <c:pt idx="47">
                  <c:v>4</c:v>
                </c:pt>
                <c:pt idx="48">
                  <c:v>12</c:v>
                </c:pt>
                <c:pt idx="49">
                  <c:v>20</c:v>
                </c:pt>
                <c:pt idx="50">
                  <c:v>40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Regression'!$JR$85:$JR$137</c:f>
              <c:numCache>
                <c:formatCode>_-* #,##0.0_-;\-* #,##0.0_-;_-* "-"??_-;_-@_-</c:formatCode>
                <c:ptCount val="53"/>
                <c:pt idx="0">
                  <c:v>31.154789255748071</c:v>
                </c:pt>
                <c:pt idx="1">
                  <c:v>40.570238531110391</c:v>
                </c:pt>
                <c:pt idx="2">
                  <c:v>60.8369621880789</c:v>
                </c:pt>
                <c:pt idx="3">
                  <c:v>84.639629072681714</c:v>
                </c:pt>
                <c:pt idx="4">
                  <c:v>#N/A</c:v>
                </c:pt>
                <c:pt idx="5">
                  <c:v>20.677774436090228</c:v>
                </c:pt>
                <c:pt idx="6">
                  <c:v>30.840203334423013</c:v>
                </c:pt>
                <c:pt idx="7">
                  <c:v>42.995307072027899</c:v>
                </c:pt>
                <c:pt idx="8">
                  <c:v>59.703342595619482</c:v>
                </c:pt>
                <c:pt idx="9">
                  <c:v>20.222166067342272</c:v>
                </c:pt>
                <c:pt idx="10">
                  <c:v>32.237415277323748</c:v>
                </c:pt>
                <c:pt idx="11">
                  <c:v>41.746812901819773</c:v>
                </c:pt>
                <c:pt idx="12">
                  <c:v>56.641298899422473</c:v>
                </c:pt>
                <c:pt idx="13">
                  <c:v>85.3851064618067</c:v>
                </c:pt>
                <c:pt idx="14">
                  <c:v>19.942564454614796</c:v>
                </c:pt>
                <c:pt idx="15">
                  <c:v>28.337262286150157</c:v>
                </c:pt>
                <c:pt idx="16">
                  <c:v>41.102714394682366</c:v>
                </c:pt>
                <c:pt idx="17">
                  <c:v>58.296434782608699</c:v>
                </c:pt>
                <c:pt idx="18">
                  <c:v>24.487517271439469</c:v>
                </c:pt>
                <c:pt idx="19">
                  <c:v>25.126546256946718</c:v>
                </c:pt>
                <c:pt idx="20">
                  <c:v>37.695077694235586</c:v>
                </c:pt>
                <c:pt idx="21">
                  <c:v>23.402584504740112</c:v>
                </c:pt>
                <c:pt idx="22">
                  <c:v>34.302016781083154</c:v>
                </c:pt>
                <c:pt idx="23">
                  <c:v>41.358095020159098</c:v>
                </c:pt>
                <c:pt idx="24">
                  <c:v>23.530717990628748</c:v>
                </c:pt>
                <c:pt idx="25">
                  <c:v>34.197531001416586</c:v>
                </c:pt>
                <c:pt idx="26">
                  <c:v>45.025587337910004</c:v>
                </c:pt>
                <c:pt idx="27">
                  <c:v>67.199002942137952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22.03278903781192</c:v>
                </c:pt>
                <c:pt idx="32">
                  <c:v>21.26904805491991</c:v>
                </c:pt>
                <c:pt idx="33">
                  <c:v>20.955573934837091</c:v>
                </c:pt>
                <c:pt idx="34">
                  <c:v>33.186050670153648</c:v>
                </c:pt>
                <c:pt idx="35">
                  <c:v>40.790859104282447</c:v>
                </c:pt>
                <c:pt idx="36">
                  <c:v>52.908046965239187</c:v>
                </c:pt>
                <c:pt idx="37">
                  <c:v>19.7636487959028</c:v>
                </c:pt>
                <c:pt idx="38">
                  <c:v>28.780959790781303</c:v>
                </c:pt>
                <c:pt idx="39">
                  <c:v>33.664848752315571</c:v>
                </c:pt>
                <c:pt idx="40">
                  <c:v>19.70956619810396</c:v>
                </c:pt>
                <c:pt idx="41">
                  <c:v>30.895473575242455</c:v>
                </c:pt>
                <c:pt idx="42">
                  <c:v>37.208673640623303</c:v>
                </c:pt>
                <c:pt idx="43">
                  <c:v>54.983203443391083</c:v>
                </c:pt>
                <c:pt idx="44">
                  <c:v>77.952955649994564</c:v>
                </c:pt>
                <c:pt idx="45">
                  <c:v>#N/A</c:v>
                </c:pt>
                <c:pt idx="46">
                  <c:v>#N/A</c:v>
                </c:pt>
                <c:pt idx="47">
                  <c:v>21.15536057535142</c:v>
                </c:pt>
                <c:pt idx="48">
                  <c:v>32.64936362645745</c:v>
                </c:pt>
                <c:pt idx="49">
                  <c:v>41.109275798191128</c:v>
                </c:pt>
                <c:pt idx="50">
                  <c:v>55.0771206276561</c:v>
                </c:pt>
                <c:pt idx="51">
                  <c:v>19.509070393374742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F2-4DD6-9B7D-8D77F39EB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8077222222222223"/>
                  <c:y val="-7.78173611111111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Regression'!$JS$85:$JS$137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#N/A</c:v>
                </c:pt>
                <c:pt idx="5">
                  <c:v>4</c:v>
                </c:pt>
                <c:pt idx="6">
                  <c:v>12</c:v>
                </c:pt>
                <c:pt idx="7">
                  <c:v>20</c:v>
                </c:pt>
                <c:pt idx="8">
                  <c:v>40</c:v>
                </c:pt>
                <c:pt idx="9">
                  <c:v>4</c:v>
                </c:pt>
                <c:pt idx="10">
                  <c:v>12</c:v>
                </c:pt>
                <c:pt idx="11">
                  <c:v>20</c:v>
                </c:pt>
                <c:pt idx="12">
                  <c:v>40</c:v>
                </c:pt>
                <c:pt idx="13">
                  <c:v>60</c:v>
                </c:pt>
                <c:pt idx="14">
                  <c:v>4</c:v>
                </c:pt>
                <c:pt idx="15">
                  <c:v>12</c:v>
                </c:pt>
                <c:pt idx="16">
                  <c:v>20</c:v>
                </c:pt>
                <c:pt idx="17">
                  <c:v>40</c:v>
                </c:pt>
                <c:pt idx="18">
                  <c:v>8</c:v>
                </c:pt>
                <c:pt idx="19">
                  <c:v>8</c:v>
                </c:pt>
                <c:pt idx="20">
                  <c:v>20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50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4</c:v>
                </c:pt>
                <c:pt idx="38">
                  <c:v>12</c:v>
                </c:pt>
                <c:pt idx="39">
                  <c:v>20</c:v>
                </c:pt>
                <c:pt idx="40">
                  <c:v>4</c:v>
                </c:pt>
                <c:pt idx="41">
                  <c:v>12</c:v>
                </c:pt>
                <c:pt idx="42">
                  <c:v>20</c:v>
                </c:pt>
                <c:pt idx="43">
                  <c:v>40</c:v>
                </c:pt>
                <c:pt idx="44">
                  <c:v>60</c:v>
                </c:pt>
                <c:pt idx="45">
                  <c:v>#N/A</c:v>
                </c:pt>
                <c:pt idx="46">
                  <c:v>#N/A</c:v>
                </c:pt>
                <c:pt idx="47">
                  <c:v>4</c:v>
                </c:pt>
                <c:pt idx="48">
                  <c:v>12</c:v>
                </c:pt>
                <c:pt idx="49">
                  <c:v>20</c:v>
                </c:pt>
                <c:pt idx="50">
                  <c:v>40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Regression'!$JR$85:$JR$137</c:f>
              <c:numCache>
                <c:formatCode>_-* #,##0.0_-;\-* #,##0.0_-;_-* "-"??_-;_-@_-</c:formatCode>
                <c:ptCount val="53"/>
                <c:pt idx="0">
                  <c:v>31.154789255748071</c:v>
                </c:pt>
                <c:pt idx="1">
                  <c:v>40.570238531110391</c:v>
                </c:pt>
                <c:pt idx="2">
                  <c:v>60.8369621880789</c:v>
                </c:pt>
                <c:pt idx="3">
                  <c:v>84.639629072681714</c:v>
                </c:pt>
                <c:pt idx="4">
                  <c:v>#N/A</c:v>
                </c:pt>
                <c:pt idx="5">
                  <c:v>20.677774436090228</c:v>
                </c:pt>
                <c:pt idx="6">
                  <c:v>30.840203334423013</c:v>
                </c:pt>
                <c:pt idx="7">
                  <c:v>42.995307072027899</c:v>
                </c:pt>
                <c:pt idx="8">
                  <c:v>59.703342595619482</c:v>
                </c:pt>
                <c:pt idx="9">
                  <c:v>20.222166067342272</c:v>
                </c:pt>
                <c:pt idx="10">
                  <c:v>32.237415277323748</c:v>
                </c:pt>
                <c:pt idx="11">
                  <c:v>41.746812901819773</c:v>
                </c:pt>
                <c:pt idx="12">
                  <c:v>56.641298899422473</c:v>
                </c:pt>
                <c:pt idx="13">
                  <c:v>85.3851064618067</c:v>
                </c:pt>
                <c:pt idx="14">
                  <c:v>19.942564454614796</c:v>
                </c:pt>
                <c:pt idx="15">
                  <c:v>28.337262286150157</c:v>
                </c:pt>
                <c:pt idx="16">
                  <c:v>41.102714394682366</c:v>
                </c:pt>
                <c:pt idx="17">
                  <c:v>58.296434782608699</c:v>
                </c:pt>
                <c:pt idx="18">
                  <c:v>24.487517271439469</c:v>
                </c:pt>
                <c:pt idx="19">
                  <c:v>25.126546256946718</c:v>
                </c:pt>
                <c:pt idx="20">
                  <c:v>37.695077694235586</c:v>
                </c:pt>
                <c:pt idx="21">
                  <c:v>23.402584504740112</c:v>
                </c:pt>
                <c:pt idx="22">
                  <c:v>34.302016781083154</c:v>
                </c:pt>
                <c:pt idx="23">
                  <c:v>41.358095020159098</c:v>
                </c:pt>
                <c:pt idx="24">
                  <c:v>23.530717990628748</c:v>
                </c:pt>
                <c:pt idx="25">
                  <c:v>34.197531001416586</c:v>
                </c:pt>
                <c:pt idx="26">
                  <c:v>45.025587337910004</c:v>
                </c:pt>
                <c:pt idx="27">
                  <c:v>67.199002942137952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22.03278903781192</c:v>
                </c:pt>
                <c:pt idx="32">
                  <c:v>21.26904805491991</c:v>
                </c:pt>
                <c:pt idx="33">
                  <c:v>20.955573934837091</c:v>
                </c:pt>
                <c:pt idx="34">
                  <c:v>33.186050670153648</c:v>
                </c:pt>
                <c:pt idx="35">
                  <c:v>40.790859104282447</c:v>
                </c:pt>
                <c:pt idx="36">
                  <c:v>52.908046965239187</c:v>
                </c:pt>
                <c:pt idx="37">
                  <c:v>19.7636487959028</c:v>
                </c:pt>
                <c:pt idx="38">
                  <c:v>28.780959790781303</c:v>
                </c:pt>
                <c:pt idx="39">
                  <c:v>33.664848752315571</c:v>
                </c:pt>
                <c:pt idx="40">
                  <c:v>19.70956619810396</c:v>
                </c:pt>
                <c:pt idx="41">
                  <c:v>30.895473575242455</c:v>
                </c:pt>
                <c:pt idx="42">
                  <c:v>37.208673640623303</c:v>
                </c:pt>
                <c:pt idx="43">
                  <c:v>54.983203443391083</c:v>
                </c:pt>
                <c:pt idx="44">
                  <c:v>77.952955649994564</c:v>
                </c:pt>
                <c:pt idx="45">
                  <c:v>#N/A</c:v>
                </c:pt>
                <c:pt idx="46">
                  <c:v>#N/A</c:v>
                </c:pt>
                <c:pt idx="47">
                  <c:v>21.15536057535142</c:v>
                </c:pt>
                <c:pt idx="48">
                  <c:v>32.64936362645745</c:v>
                </c:pt>
                <c:pt idx="49">
                  <c:v>41.109275798191128</c:v>
                </c:pt>
                <c:pt idx="50">
                  <c:v>55.0771206276561</c:v>
                </c:pt>
                <c:pt idx="51">
                  <c:v>19.509070393374742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EF-4795-9D4E-CED828539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810482905982906"/>
                  <c:y val="-2.99270833333333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Regression'!$JS$85:$JS$137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#N/A</c:v>
                </c:pt>
                <c:pt idx="5">
                  <c:v>4</c:v>
                </c:pt>
                <c:pt idx="6">
                  <c:v>12</c:v>
                </c:pt>
                <c:pt idx="7">
                  <c:v>20</c:v>
                </c:pt>
                <c:pt idx="8">
                  <c:v>40</c:v>
                </c:pt>
                <c:pt idx="9">
                  <c:v>4</c:v>
                </c:pt>
                <c:pt idx="10">
                  <c:v>12</c:v>
                </c:pt>
                <c:pt idx="11">
                  <c:v>20</c:v>
                </c:pt>
                <c:pt idx="12">
                  <c:v>40</c:v>
                </c:pt>
                <c:pt idx="13">
                  <c:v>60</c:v>
                </c:pt>
                <c:pt idx="14">
                  <c:v>4</c:v>
                </c:pt>
                <c:pt idx="15">
                  <c:v>12</c:v>
                </c:pt>
                <c:pt idx="16">
                  <c:v>20</c:v>
                </c:pt>
                <c:pt idx="17">
                  <c:v>40</c:v>
                </c:pt>
                <c:pt idx="18">
                  <c:v>8</c:v>
                </c:pt>
                <c:pt idx="19">
                  <c:v>8</c:v>
                </c:pt>
                <c:pt idx="20">
                  <c:v>20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50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4</c:v>
                </c:pt>
                <c:pt idx="38">
                  <c:v>12</c:v>
                </c:pt>
                <c:pt idx="39">
                  <c:v>20</c:v>
                </c:pt>
                <c:pt idx="40">
                  <c:v>4</c:v>
                </c:pt>
                <c:pt idx="41">
                  <c:v>12</c:v>
                </c:pt>
                <c:pt idx="42">
                  <c:v>20</c:v>
                </c:pt>
                <c:pt idx="43">
                  <c:v>40</c:v>
                </c:pt>
                <c:pt idx="44">
                  <c:v>60</c:v>
                </c:pt>
                <c:pt idx="45">
                  <c:v>#N/A</c:v>
                </c:pt>
                <c:pt idx="46">
                  <c:v>#N/A</c:v>
                </c:pt>
                <c:pt idx="47">
                  <c:v>4</c:v>
                </c:pt>
                <c:pt idx="48">
                  <c:v>12</c:v>
                </c:pt>
                <c:pt idx="49">
                  <c:v>20</c:v>
                </c:pt>
                <c:pt idx="50">
                  <c:v>40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'Powerball Regression'!$JR$85:$JR$137</c:f>
              <c:numCache>
                <c:formatCode>_-* #,##0.0_-;\-* #,##0.0_-;_-* "-"??_-;_-@_-</c:formatCode>
                <c:ptCount val="53"/>
                <c:pt idx="0">
                  <c:v>31.154789255748071</c:v>
                </c:pt>
                <c:pt idx="1">
                  <c:v>40.570238531110391</c:v>
                </c:pt>
                <c:pt idx="2">
                  <c:v>60.8369621880789</c:v>
                </c:pt>
                <c:pt idx="3">
                  <c:v>84.639629072681714</c:v>
                </c:pt>
                <c:pt idx="4">
                  <c:v>#N/A</c:v>
                </c:pt>
                <c:pt idx="5">
                  <c:v>20.677774436090228</c:v>
                </c:pt>
                <c:pt idx="6">
                  <c:v>30.840203334423013</c:v>
                </c:pt>
                <c:pt idx="7">
                  <c:v>42.995307072027899</c:v>
                </c:pt>
                <c:pt idx="8">
                  <c:v>59.703342595619482</c:v>
                </c:pt>
                <c:pt idx="9">
                  <c:v>20.222166067342272</c:v>
                </c:pt>
                <c:pt idx="10">
                  <c:v>32.237415277323748</c:v>
                </c:pt>
                <c:pt idx="11">
                  <c:v>41.746812901819773</c:v>
                </c:pt>
                <c:pt idx="12">
                  <c:v>56.641298899422473</c:v>
                </c:pt>
                <c:pt idx="13">
                  <c:v>85.3851064618067</c:v>
                </c:pt>
                <c:pt idx="14">
                  <c:v>19.942564454614796</c:v>
                </c:pt>
                <c:pt idx="15">
                  <c:v>28.337262286150157</c:v>
                </c:pt>
                <c:pt idx="16">
                  <c:v>41.102714394682366</c:v>
                </c:pt>
                <c:pt idx="17">
                  <c:v>58.296434782608699</c:v>
                </c:pt>
                <c:pt idx="18">
                  <c:v>24.487517271439469</c:v>
                </c:pt>
                <c:pt idx="19">
                  <c:v>25.126546256946718</c:v>
                </c:pt>
                <c:pt idx="20">
                  <c:v>37.695077694235586</c:v>
                </c:pt>
                <c:pt idx="21">
                  <c:v>23.402584504740112</c:v>
                </c:pt>
                <c:pt idx="22">
                  <c:v>34.302016781083154</c:v>
                </c:pt>
                <c:pt idx="23">
                  <c:v>41.358095020159098</c:v>
                </c:pt>
                <c:pt idx="24">
                  <c:v>23.530717990628748</c:v>
                </c:pt>
                <c:pt idx="25">
                  <c:v>34.197531001416586</c:v>
                </c:pt>
                <c:pt idx="26">
                  <c:v>45.025587337910004</c:v>
                </c:pt>
                <c:pt idx="27">
                  <c:v>67.199002942137952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22.03278903781192</c:v>
                </c:pt>
                <c:pt idx="32">
                  <c:v>21.26904805491991</c:v>
                </c:pt>
                <c:pt idx="33">
                  <c:v>20.955573934837091</c:v>
                </c:pt>
                <c:pt idx="34">
                  <c:v>33.186050670153648</c:v>
                </c:pt>
                <c:pt idx="35">
                  <c:v>40.790859104282447</c:v>
                </c:pt>
                <c:pt idx="36">
                  <c:v>52.908046965239187</c:v>
                </c:pt>
                <c:pt idx="37">
                  <c:v>19.7636487959028</c:v>
                </c:pt>
                <c:pt idx="38">
                  <c:v>28.780959790781303</c:v>
                </c:pt>
                <c:pt idx="39">
                  <c:v>33.664848752315571</c:v>
                </c:pt>
                <c:pt idx="40">
                  <c:v>19.70956619810396</c:v>
                </c:pt>
                <c:pt idx="41">
                  <c:v>30.895473575242455</c:v>
                </c:pt>
                <c:pt idx="42">
                  <c:v>37.208673640623303</c:v>
                </c:pt>
                <c:pt idx="43">
                  <c:v>54.983203443391083</c:v>
                </c:pt>
                <c:pt idx="44">
                  <c:v>77.952955649994564</c:v>
                </c:pt>
                <c:pt idx="45">
                  <c:v>#N/A</c:v>
                </c:pt>
                <c:pt idx="46">
                  <c:v>#N/A</c:v>
                </c:pt>
                <c:pt idx="47">
                  <c:v>21.15536057535142</c:v>
                </c:pt>
                <c:pt idx="48">
                  <c:v>32.64936362645745</c:v>
                </c:pt>
                <c:pt idx="49">
                  <c:v>41.109275798191128</c:v>
                </c:pt>
                <c:pt idx="50">
                  <c:v>55.0771206276561</c:v>
                </c:pt>
                <c:pt idx="51">
                  <c:v>19.509070393374742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E4-4EAB-8DD3-EA0865EAB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'Powerball Regression (2)'!$H$8:$H$129</c:f>
              <c:numCache>
                <c:formatCode>_-* #,##0.0_-;\-* #,##0.0_-;_-* "-"??_-;_-@_-</c:formatCode>
                <c:ptCount val="122"/>
                <c:pt idx="0">
                  <c:v>12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#N/A</c:v>
                </c:pt>
                <c:pt idx="5">
                  <c:v>4</c:v>
                </c:pt>
                <c:pt idx="6">
                  <c:v>12</c:v>
                </c:pt>
                <c:pt idx="7">
                  <c:v>20</c:v>
                </c:pt>
                <c:pt idx="8">
                  <c:v>40</c:v>
                </c:pt>
                <c:pt idx="9">
                  <c:v>60</c:v>
                </c:pt>
                <c:pt idx="10">
                  <c:v>#N/A</c:v>
                </c:pt>
                <c:pt idx="11">
                  <c:v>4</c:v>
                </c:pt>
                <c:pt idx="12">
                  <c:v>12</c:v>
                </c:pt>
                <c:pt idx="13">
                  <c:v>20</c:v>
                </c:pt>
                <c:pt idx="14">
                  <c:v>40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60</c:v>
                </c:pt>
                <c:pt idx="20">
                  <c:v>4</c:v>
                </c:pt>
                <c:pt idx="21">
                  <c:v>12</c:v>
                </c:pt>
                <c:pt idx="22">
                  <c:v>20</c:v>
                </c:pt>
                <c:pt idx="23">
                  <c:v>40</c:v>
                </c:pt>
                <c:pt idx="24">
                  <c:v>8</c:v>
                </c:pt>
                <c:pt idx="25">
                  <c:v>8</c:v>
                </c:pt>
                <c:pt idx="26">
                  <c:v>20</c:v>
                </c:pt>
                <c:pt idx="27">
                  <c:v>8</c:v>
                </c:pt>
                <c:pt idx="28">
                  <c:v>20</c:v>
                </c:pt>
                <c:pt idx="29">
                  <c:v>30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12</c:v>
                </c:pt>
                <c:pt idx="41">
                  <c:v>20</c:v>
                </c:pt>
                <c:pt idx="42">
                  <c:v>40</c:v>
                </c:pt>
                <c:pt idx="43">
                  <c:v>4</c:v>
                </c:pt>
                <c:pt idx="44">
                  <c:v>12</c:v>
                </c:pt>
                <c:pt idx="45">
                  <c:v>20</c:v>
                </c:pt>
                <c:pt idx="46">
                  <c:v>4</c:v>
                </c:pt>
                <c:pt idx="47">
                  <c:v>12</c:v>
                </c:pt>
                <c:pt idx="48">
                  <c:v>20</c:v>
                </c:pt>
                <c:pt idx="49">
                  <c:v>40</c:v>
                </c:pt>
                <c:pt idx="50">
                  <c:v>60</c:v>
                </c:pt>
                <c:pt idx="51">
                  <c:v>#N/A</c:v>
                </c:pt>
                <c:pt idx="52">
                  <c:v>#N/A</c:v>
                </c:pt>
                <c:pt idx="53">
                  <c:v>4</c:v>
                </c:pt>
                <c:pt idx="54">
                  <c:v>12</c:v>
                </c:pt>
                <c:pt idx="55">
                  <c:v>20</c:v>
                </c:pt>
                <c:pt idx="56">
                  <c:v>40</c:v>
                </c:pt>
                <c:pt idx="57">
                  <c:v>4</c:v>
                </c:pt>
                <c:pt idx="58">
                  <c:v>12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20</c:v>
                </c:pt>
                <c:pt idx="63">
                  <c:v>30</c:v>
                </c:pt>
                <c:pt idx="64">
                  <c:v>50</c:v>
                </c:pt>
                <c:pt idx="65">
                  <c:v>#N/A</c:v>
                </c:pt>
                <c:pt idx="66">
                  <c:v>4</c:v>
                </c:pt>
                <c:pt idx="67">
                  <c:v>4</c:v>
                </c:pt>
                <c:pt idx="68">
                  <c:v>12</c:v>
                </c:pt>
                <c:pt idx="69">
                  <c:v>20</c:v>
                </c:pt>
                <c:pt idx="70">
                  <c:v>4</c:v>
                </c:pt>
                <c:pt idx="71">
                  <c:v>12</c:v>
                </c:pt>
                <c:pt idx="72">
                  <c:v>10</c:v>
                </c:pt>
                <c:pt idx="73">
                  <c:v>20</c:v>
                </c:pt>
                <c:pt idx="74">
                  <c:v>30</c:v>
                </c:pt>
                <c:pt idx="75">
                  <c:v>10</c:v>
                </c:pt>
                <c:pt idx="76">
                  <c:v>20</c:v>
                </c:pt>
                <c:pt idx="77">
                  <c:v>30</c:v>
                </c:pt>
                <c:pt idx="78">
                  <c:v>50</c:v>
                </c:pt>
                <c:pt idx="79">
                  <c:v>#N/A</c:v>
                </c:pt>
                <c:pt idx="80">
                  <c:v>4</c:v>
                </c:pt>
                <c:pt idx="81">
                  <c:v>12</c:v>
                </c:pt>
                <c:pt idx="82">
                  <c:v>4</c:v>
                </c:pt>
                <c:pt idx="83">
                  <c:v>12</c:v>
                </c:pt>
                <c:pt idx="84">
                  <c:v>20</c:v>
                </c:pt>
                <c:pt idx="85">
                  <c:v>4</c:v>
                </c:pt>
                <c:pt idx="86">
                  <c:v>12</c:v>
                </c:pt>
                <c:pt idx="87">
                  <c:v>20</c:v>
                </c:pt>
                <c:pt idx="88">
                  <c:v>40</c:v>
                </c:pt>
                <c:pt idx="89">
                  <c:v>60</c:v>
                </c:pt>
                <c:pt idx="90">
                  <c:v>10</c:v>
                </c:pt>
                <c:pt idx="91">
                  <c:v>20</c:v>
                </c:pt>
                <c:pt idx="92">
                  <c:v>30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20</c:v>
                </c:pt>
                <c:pt idx="97">
                  <c:v>10</c:v>
                </c:pt>
                <c:pt idx="98">
                  <c:v>20</c:v>
                </c:pt>
                <c:pt idx="99">
                  <c:v>30</c:v>
                </c:pt>
                <c:pt idx="100">
                  <c:v>10</c:v>
                </c:pt>
                <c:pt idx="101">
                  <c:v>20</c:v>
                </c:pt>
                <c:pt idx="102">
                  <c:v>30</c:v>
                </c:pt>
                <c:pt idx="103">
                  <c:v>10</c:v>
                </c:pt>
                <c:pt idx="104">
                  <c:v>20</c:v>
                </c:pt>
                <c:pt idx="105">
                  <c:v>30</c:v>
                </c:pt>
                <c:pt idx="106">
                  <c:v>50</c:v>
                </c:pt>
                <c:pt idx="107">
                  <c:v>#N/A</c:v>
                </c:pt>
                <c:pt idx="108">
                  <c:v>4</c:v>
                </c:pt>
                <c:pt idx="109">
                  <c:v>12</c:v>
                </c:pt>
                <c:pt idx="110">
                  <c:v>4</c:v>
                </c:pt>
                <c:pt idx="111">
                  <c:v>12</c:v>
                </c:pt>
                <c:pt idx="112">
                  <c:v>20</c:v>
                </c:pt>
                <c:pt idx="113">
                  <c:v>30</c:v>
                </c:pt>
                <c:pt idx="114">
                  <c:v>4</c:v>
                </c:pt>
                <c:pt idx="115">
                  <c:v>12</c:v>
                </c:pt>
                <c:pt idx="116">
                  <c:v>20</c:v>
                </c:pt>
                <c:pt idx="117">
                  <c:v>30</c:v>
                </c:pt>
                <c:pt idx="118">
                  <c:v>50</c:v>
                </c:pt>
                <c:pt idx="119">
                  <c:v>80</c:v>
                </c:pt>
                <c:pt idx="120">
                  <c:v>4</c:v>
                </c:pt>
                <c:pt idx="121">
                  <c:v>12</c:v>
                </c:pt>
              </c:numCache>
            </c:numRef>
          </c:xVal>
          <c:yVal>
            <c:numRef>
              <c:f>'Powerball Regression (2)'!$G$8:$G$129</c:f>
              <c:numCache>
                <c:formatCode>_-* #,##0.0_-;\-* #,##0.0_-;_-* "-"??_-;_-@_-</c:formatCode>
                <c:ptCount val="122"/>
                <c:pt idx="0">
                  <c:v>30.887849079219787</c:v>
                </c:pt>
                <c:pt idx="1">
                  <c:v>40.719506810504527</c:v>
                </c:pt>
                <c:pt idx="2">
                  <c:v>56.400732701318518</c:v>
                </c:pt>
                <c:pt idx="3">
                  <c:v>87.731429334205075</c:v>
                </c:pt>
                <c:pt idx="4">
                  <c:v>#N/A</c:v>
                </c:pt>
                <c:pt idx="5">
                  <c:v>19.52442312302496</c:v>
                </c:pt>
                <c:pt idx="6">
                  <c:v>31.154789255748071</c:v>
                </c:pt>
                <c:pt idx="7">
                  <c:v>40.570238531110391</c:v>
                </c:pt>
                <c:pt idx="8">
                  <c:v>60.8369621880789</c:v>
                </c:pt>
                <c:pt idx="9">
                  <c:v>84.639629072681714</c:v>
                </c:pt>
                <c:pt idx="10">
                  <c:v>#N/A</c:v>
                </c:pt>
                <c:pt idx="11">
                  <c:v>20.677774436090228</c:v>
                </c:pt>
                <c:pt idx="12">
                  <c:v>30.840203334423013</c:v>
                </c:pt>
                <c:pt idx="13">
                  <c:v>42.995307072027899</c:v>
                </c:pt>
                <c:pt idx="14">
                  <c:v>59.703342595619482</c:v>
                </c:pt>
                <c:pt idx="15">
                  <c:v>20.222166067342272</c:v>
                </c:pt>
                <c:pt idx="16">
                  <c:v>32.237415277323748</c:v>
                </c:pt>
                <c:pt idx="17">
                  <c:v>41.746812901819773</c:v>
                </c:pt>
                <c:pt idx="18">
                  <c:v>56.641298899422473</c:v>
                </c:pt>
                <c:pt idx="19">
                  <c:v>85.3851064618067</c:v>
                </c:pt>
                <c:pt idx="20">
                  <c:v>19.942564454614796</c:v>
                </c:pt>
                <c:pt idx="21">
                  <c:v>28.337262286150157</c:v>
                </c:pt>
                <c:pt idx="22">
                  <c:v>41.102714394682366</c:v>
                </c:pt>
                <c:pt idx="23">
                  <c:v>58.296434782608699</c:v>
                </c:pt>
                <c:pt idx="24">
                  <c:v>24.487517271439469</c:v>
                </c:pt>
                <c:pt idx="25">
                  <c:v>25.126546256946718</c:v>
                </c:pt>
                <c:pt idx="26">
                  <c:v>37.695077694235586</c:v>
                </c:pt>
                <c:pt idx="27">
                  <c:v>23.402584504740112</c:v>
                </c:pt>
                <c:pt idx="28">
                  <c:v>34.302016781083154</c:v>
                </c:pt>
                <c:pt idx="29">
                  <c:v>41.358095020159098</c:v>
                </c:pt>
                <c:pt idx="30">
                  <c:v>23.530717990628748</c:v>
                </c:pt>
                <c:pt idx="31">
                  <c:v>34.197531001416586</c:v>
                </c:pt>
                <c:pt idx="32">
                  <c:v>45.025587337910004</c:v>
                </c:pt>
                <c:pt idx="33">
                  <c:v>67.199002942137952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22.03278903781192</c:v>
                </c:pt>
                <c:pt idx="38">
                  <c:v>21.26904805491991</c:v>
                </c:pt>
                <c:pt idx="39">
                  <c:v>20.955573934837091</c:v>
                </c:pt>
                <c:pt idx="40">
                  <c:v>33.186050670153648</c:v>
                </c:pt>
                <c:pt idx="41">
                  <c:v>40.790859104282447</c:v>
                </c:pt>
                <c:pt idx="42">
                  <c:v>52.908046965239187</c:v>
                </c:pt>
                <c:pt idx="43">
                  <c:v>19.7636487959028</c:v>
                </c:pt>
                <c:pt idx="44">
                  <c:v>28.780959790781303</c:v>
                </c:pt>
                <c:pt idx="45">
                  <c:v>33.664848752315571</c:v>
                </c:pt>
                <c:pt idx="46">
                  <c:v>19.70956619810396</c:v>
                </c:pt>
                <c:pt idx="47">
                  <c:v>30.895473575242455</c:v>
                </c:pt>
                <c:pt idx="48">
                  <c:v>37.208673640623303</c:v>
                </c:pt>
                <c:pt idx="49">
                  <c:v>54.983203443391083</c:v>
                </c:pt>
                <c:pt idx="50">
                  <c:v>77.952955649994564</c:v>
                </c:pt>
                <c:pt idx="51">
                  <c:v>#N/A</c:v>
                </c:pt>
                <c:pt idx="52">
                  <c:v>#N/A</c:v>
                </c:pt>
                <c:pt idx="53">
                  <c:v>21.15536057535142</c:v>
                </c:pt>
                <c:pt idx="54">
                  <c:v>32.64936362645745</c:v>
                </c:pt>
                <c:pt idx="55">
                  <c:v>41.109275798191128</c:v>
                </c:pt>
                <c:pt idx="56">
                  <c:v>55.0771206276561</c:v>
                </c:pt>
                <c:pt idx="57">
                  <c:v>19.509070393374742</c:v>
                </c:pt>
                <c:pt idx="58">
                  <c:v>28.285734444807673</c:v>
                </c:pt>
                <c:pt idx="59">
                  <c:v>26.261235697940506</c:v>
                </c:pt>
                <c:pt idx="60">
                  <c:v>28.191379099923726</c:v>
                </c:pt>
                <c:pt idx="61">
                  <c:v>28.10283055464749</c:v>
                </c:pt>
                <c:pt idx="62">
                  <c:v>39.73056706984854</c:v>
                </c:pt>
                <c:pt idx="63">
                  <c:v>50.23102429988014</c:v>
                </c:pt>
                <c:pt idx="64">
                  <c:v>70.023829029094486</c:v>
                </c:pt>
                <c:pt idx="65">
                  <c:v>#N/A</c:v>
                </c:pt>
                <c:pt idx="66">
                  <c:v>20.230632450691946</c:v>
                </c:pt>
                <c:pt idx="67">
                  <c:v>20.747113326795251</c:v>
                </c:pt>
                <c:pt idx="68">
                  <c:v>32.894585812356979</c:v>
                </c:pt>
                <c:pt idx="69">
                  <c:v>42.645321019941157</c:v>
                </c:pt>
                <c:pt idx="70">
                  <c:v>20.70382532418002</c:v>
                </c:pt>
                <c:pt idx="71">
                  <c:v>33.058201046093501</c:v>
                </c:pt>
                <c:pt idx="72">
                  <c:v>31.351124986378988</c:v>
                </c:pt>
                <c:pt idx="73">
                  <c:v>43.784623842214224</c:v>
                </c:pt>
                <c:pt idx="74">
                  <c:v>50.816288329519452</c:v>
                </c:pt>
                <c:pt idx="75">
                  <c:v>31.59669826740765</c:v>
                </c:pt>
                <c:pt idx="76">
                  <c:v>41.991079982565111</c:v>
                </c:pt>
                <c:pt idx="77">
                  <c:v>49.915621009044358</c:v>
                </c:pt>
                <c:pt idx="78">
                  <c:v>69.503816715702314</c:v>
                </c:pt>
                <c:pt idx="79">
                  <c:v>#N/A</c:v>
                </c:pt>
                <c:pt idx="80">
                  <c:v>20.456724964585376</c:v>
                </c:pt>
                <c:pt idx="81">
                  <c:v>30.473071047183179</c:v>
                </c:pt>
                <c:pt idx="82">
                  <c:v>21.708776506483602</c:v>
                </c:pt>
                <c:pt idx="83">
                  <c:v>30.497384439359269</c:v>
                </c:pt>
                <c:pt idx="84">
                  <c:v>37.760774545058297</c:v>
                </c:pt>
                <c:pt idx="85">
                  <c:v>19.511000544840368</c:v>
                </c:pt>
                <c:pt idx="86">
                  <c:v>28.097846463986048</c:v>
                </c:pt>
                <c:pt idx="87">
                  <c:v>35.241621009044351</c:v>
                </c:pt>
                <c:pt idx="88">
                  <c:v>47.387020812901824</c:v>
                </c:pt>
                <c:pt idx="89">
                  <c:v>70.344256619810409</c:v>
                </c:pt>
                <c:pt idx="90">
                  <c:v>29.151036068431956</c:v>
                </c:pt>
                <c:pt idx="91">
                  <c:v>38.850581126729871</c:v>
                </c:pt>
                <c:pt idx="92">
                  <c:v>47.273419636046647</c:v>
                </c:pt>
                <c:pt idx="93">
                  <c:v>29.769653917402206</c:v>
                </c:pt>
                <c:pt idx="94">
                  <c:v>29.549559115179253</c:v>
                </c:pt>
                <c:pt idx="95">
                  <c:v>28.543164105916969</c:v>
                </c:pt>
                <c:pt idx="96">
                  <c:v>36.500226653590502</c:v>
                </c:pt>
                <c:pt idx="97">
                  <c:v>26.03980233191675</c:v>
                </c:pt>
                <c:pt idx="98">
                  <c:v>32.928636918382914</c:v>
                </c:pt>
                <c:pt idx="99">
                  <c:v>42.602510515418984</c:v>
                </c:pt>
                <c:pt idx="100">
                  <c:v>28.938065598779559</c:v>
                </c:pt>
                <c:pt idx="101">
                  <c:v>36.568143256371016</c:v>
                </c:pt>
                <c:pt idx="102">
                  <c:v>42.493743540266593</c:v>
                </c:pt>
                <c:pt idx="103">
                  <c:v>26.158929735844033</c:v>
                </c:pt>
                <c:pt idx="104">
                  <c:v>32.950156253465522</c:v>
                </c:pt>
                <c:pt idx="105">
                  <c:v>38.574224499301359</c:v>
                </c:pt>
                <c:pt idx="106">
                  <c:v>58.403840796681969</c:v>
                </c:pt>
                <c:pt idx="107">
                  <c:v>#N/A</c:v>
                </c:pt>
                <c:pt idx="108">
                  <c:v>20.368521192361438</c:v>
                </c:pt>
                <c:pt idx="109">
                  <c:v>29.330244859937455</c:v>
                </c:pt>
                <c:pt idx="110">
                  <c:v>20.305410650520109</c:v>
                </c:pt>
                <c:pt idx="111">
                  <c:v>30.973456206888908</c:v>
                </c:pt>
                <c:pt idx="112">
                  <c:v>38.472429636036999</c:v>
                </c:pt>
                <c:pt idx="113">
                  <c:v>45.117659192228352</c:v>
                </c:pt>
                <c:pt idx="114">
                  <c:v>19.937236010379934</c:v>
                </c:pt>
                <c:pt idx="115">
                  <c:v>29.048655266484793</c:v>
                </c:pt>
                <c:pt idx="116">
                  <c:v>40.241069487878995</c:v>
                </c:pt>
                <c:pt idx="117">
                  <c:v>47.035671923170753</c:v>
                </c:pt>
                <c:pt idx="118">
                  <c:v>66.551963758954926</c:v>
                </c:pt>
                <c:pt idx="119">
                  <c:v>101.92804899416683</c:v>
                </c:pt>
                <c:pt idx="120">
                  <c:v>20.48339876239271</c:v>
                </c:pt>
                <c:pt idx="121">
                  <c:v>30.919785082174464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C9-41A9-824B-D6558DF0E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xVal>
            <c:numRef>
              <c:f>'Powerball Regression (2)'!$H$8:$H$129</c:f>
              <c:numCache>
                <c:formatCode>_-* #,##0.0_-;\-* #,##0.0_-;_-* "-"??_-;_-@_-</c:formatCode>
                <c:ptCount val="122"/>
                <c:pt idx="0">
                  <c:v>12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#N/A</c:v>
                </c:pt>
                <c:pt idx="5">
                  <c:v>4</c:v>
                </c:pt>
                <c:pt idx="6">
                  <c:v>12</c:v>
                </c:pt>
                <c:pt idx="7">
                  <c:v>20</c:v>
                </c:pt>
                <c:pt idx="8">
                  <c:v>40</c:v>
                </c:pt>
                <c:pt idx="9">
                  <c:v>60</c:v>
                </c:pt>
                <c:pt idx="10">
                  <c:v>#N/A</c:v>
                </c:pt>
                <c:pt idx="11">
                  <c:v>4</c:v>
                </c:pt>
                <c:pt idx="12">
                  <c:v>12</c:v>
                </c:pt>
                <c:pt idx="13">
                  <c:v>20</c:v>
                </c:pt>
                <c:pt idx="14">
                  <c:v>40</c:v>
                </c:pt>
                <c:pt idx="15">
                  <c:v>4</c:v>
                </c:pt>
                <c:pt idx="16">
                  <c:v>12</c:v>
                </c:pt>
                <c:pt idx="17">
                  <c:v>20</c:v>
                </c:pt>
                <c:pt idx="18">
                  <c:v>40</c:v>
                </c:pt>
                <c:pt idx="19">
                  <c:v>60</c:v>
                </c:pt>
                <c:pt idx="20">
                  <c:v>4</c:v>
                </c:pt>
                <c:pt idx="21">
                  <c:v>12</c:v>
                </c:pt>
                <c:pt idx="22">
                  <c:v>20</c:v>
                </c:pt>
                <c:pt idx="23">
                  <c:v>40</c:v>
                </c:pt>
                <c:pt idx="24">
                  <c:v>8</c:v>
                </c:pt>
                <c:pt idx="25">
                  <c:v>8</c:v>
                </c:pt>
                <c:pt idx="26">
                  <c:v>20</c:v>
                </c:pt>
                <c:pt idx="27">
                  <c:v>8</c:v>
                </c:pt>
                <c:pt idx="28">
                  <c:v>20</c:v>
                </c:pt>
                <c:pt idx="29">
                  <c:v>30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12</c:v>
                </c:pt>
                <c:pt idx="41">
                  <c:v>20</c:v>
                </c:pt>
                <c:pt idx="42">
                  <c:v>40</c:v>
                </c:pt>
                <c:pt idx="43">
                  <c:v>4</c:v>
                </c:pt>
                <c:pt idx="44">
                  <c:v>12</c:v>
                </c:pt>
                <c:pt idx="45">
                  <c:v>20</c:v>
                </c:pt>
                <c:pt idx="46">
                  <c:v>4</c:v>
                </c:pt>
                <c:pt idx="47">
                  <c:v>12</c:v>
                </c:pt>
                <c:pt idx="48">
                  <c:v>20</c:v>
                </c:pt>
                <c:pt idx="49">
                  <c:v>40</c:v>
                </c:pt>
                <c:pt idx="50">
                  <c:v>60</c:v>
                </c:pt>
                <c:pt idx="51">
                  <c:v>#N/A</c:v>
                </c:pt>
                <c:pt idx="52">
                  <c:v>#N/A</c:v>
                </c:pt>
                <c:pt idx="53">
                  <c:v>4</c:v>
                </c:pt>
                <c:pt idx="54">
                  <c:v>12</c:v>
                </c:pt>
                <c:pt idx="55">
                  <c:v>20</c:v>
                </c:pt>
                <c:pt idx="56">
                  <c:v>40</c:v>
                </c:pt>
                <c:pt idx="57">
                  <c:v>4</c:v>
                </c:pt>
                <c:pt idx="58">
                  <c:v>12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20</c:v>
                </c:pt>
                <c:pt idx="63">
                  <c:v>30</c:v>
                </c:pt>
                <c:pt idx="64">
                  <c:v>50</c:v>
                </c:pt>
                <c:pt idx="65">
                  <c:v>#N/A</c:v>
                </c:pt>
                <c:pt idx="66">
                  <c:v>4</c:v>
                </c:pt>
                <c:pt idx="67">
                  <c:v>4</c:v>
                </c:pt>
                <c:pt idx="68">
                  <c:v>12</c:v>
                </c:pt>
                <c:pt idx="69">
                  <c:v>20</c:v>
                </c:pt>
                <c:pt idx="70">
                  <c:v>4</c:v>
                </c:pt>
                <c:pt idx="71">
                  <c:v>12</c:v>
                </c:pt>
                <c:pt idx="72">
                  <c:v>10</c:v>
                </c:pt>
                <c:pt idx="73">
                  <c:v>20</c:v>
                </c:pt>
                <c:pt idx="74">
                  <c:v>30</c:v>
                </c:pt>
                <c:pt idx="75">
                  <c:v>10</c:v>
                </c:pt>
                <c:pt idx="76">
                  <c:v>20</c:v>
                </c:pt>
                <c:pt idx="77">
                  <c:v>30</c:v>
                </c:pt>
                <c:pt idx="78">
                  <c:v>50</c:v>
                </c:pt>
                <c:pt idx="79">
                  <c:v>#N/A</c:v>
                </c:pt>
                <c:pt idx="80">
                  <c:v>4</c:v>
                </c:pt>
                <c:pt idx="81">
                  <c:v>12</c:v>
                </c:pt>
                <c:pt idx="82">
                  <c:v>4</c:v>
                </c:pt>
                <c:pt idx="83">
                  <c:v>12</c:v>
                </c:pt>
                <c:pt idx="84">
                  <c:v>20</c:v>
                </c:pt>
                <c:pt idx="85">
                  <c:v>4</c:v>
                </c:pt>
                <c:pt idx="86">
                  <c:v>12</c:v>
                </c:pt>
                <c:pt idx="87">
                  <c:v>20</c:v>
                </c:pt>
                <c:pt idx="88">
                  <c:v>40</c:v>
                </c:pt>
                <c:pt idx="89">
                  <c:v>60</c:v>
                </c:pt>
                <c:pt idx="90">
                  <c:v>10</c:v>
                </c:pt>
                <c:pt idx="91">
                  <c:v>20</c:v>
                </c:pt>
                <c:pt idx="92">
                  <c:v>30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20</c:v>
                </c:pt>
                <c:pt idx="97">
                  <c:v>10</c:v>
                </c:pt>
                <c:pt idx="98">
                  <c:v>20</c:v>
                </c:pt>
                <c:pt idx="99">
                  <c:v>30</c:v>
                </c:pt>
                <c:pt idx="100">
                  <c:v>10</c:v>
                </c:pt>
                <c:pt idx="101">
                  <c:v>20</c:v>
                </c:pt>
                <c:pt idx="102">
                  <c:v>30</c:v>
                </c:pt>
                <c:pt idx="103">
                  <c:v>10</c:v>
                </c:pt>
                <c:pt idx="104">
                  <c:v>20</c:v>
                </c:pt>
                <c:pt idx="105">
                  <c:v>30</c:v>
                </c:pt>
                <c:pt idx="106">
                  <c:v>50</c:v>
                </c:pt>
                <c:pt idx="107">
                  <c:v>#N/A</c:v>
                </c:pt>
                <c:pt idx="108">
                  <c:v>4</c:v>
                </c:pt>
                <c:pt idx="109">
                  <c:v>12</c:v>
                </c:pt>
                <c:pt idx="110">
                  <c:v>4</c:v>
                </c:pt>
                <c:pt idx="111">
                  <c:v>12</c:v>
                </c:pt>
                <c:pt idx="112">
                  <c:v>20</c:v>
                </c:pt>
                <c:pt idx="113">
                  <c:v>30</c:v>
                </c:pt>
                <c:pt idx="114">
                  <c:v>4</c:v>
                </c:pt>
                <c:pt idx="115">
                  <c:v>12</c:v>
                </c:pt>
                <c:pt idx="116">
                  <c:v>20</c:v>
                </c:pt>
                <c:pt idx="117">
                  <c:v>30</c:v>
                </c:pt>
                <c:pt idx="118">
                  <c:v>50</c:v>
                </c:pt>
                <c:pt idx="119">
                  <c:v>80</c:v>
                </c:pt>
                <c:pt idx="120">
                  <c:v>4</c:v>
                </c:pt>
                <c:pt idx="121">
                  <c:v>12</c:v>
                </c:pt>
              </c:numCache>
            </c:numRef>
          </c:xVal>
          <c:yVal>
            <c:numRef>
              <c:f>'Powerball Regression (2)'!$G$8:$G$129</c:f>
              <c:numCache>
                <c:formatCode>_-* #,##0.0_-;\-* #,##0.0_-;_-* "-"??_-;_-@_-</c:formatCode>
                <c:ptCount val="122"/>
                <c:pt idx="0">
                  <c:v>30.887849079219787</c:v>
                </c:pt>
                <c:pt idx="1">
                  <c:v>40.719506810504527</c:v>
                </c:pt>
                <c:pt idx="2">
                  <c:v>56.400732701318518</c:v>
                </c:pt>
                <c:pt idx="3">
                  <c:v>87.731429334205075</c:v>
                </c:pt>
                <c:pt idx="4">
                  <c:v>#N/A</c:v>
                </c:pt>
                <c:pt idx="5">
                  <c:v>19.52442312302496</c:v>
                </c:pt>
                <c:pt idx="6">
                  <c:v>31.154789255748071</c:v>
                </c:pt>
                <c:pt idx="7">
                  <c:v>40.570238531110391</c:v>
                </c:pt>
                <c:pt idx="8">
                  <c:v>60.8369621880789</c:v>
                </c:pt>
                <c:pt idx="9">
                  <c:v>84.639629072681714</c:v>
                </c:pt>
                <c:pt idx="10">
                  <c:v>#N/A</c:v>
                </c:pt>
                <c:pt idx="11">
                  <c:v>20.677774436090228</c:v>
                </c:pt>
                <c:pt idx="12">
                  <c:v>30.840203334423013</c:v>
                </c:pt>
                <c:pt idx="13">
                  <c:v>42.995307072027899</c:v>
                </c:pt>
                <c:pt idx="14">
                  <c:v>59.703342595619482</c:v>
                </c:pt>
                <c:pt idx="15">
                  <c:v>20.222166067342272</c:v>
                </c:pt>
                <c:pt idx="16">
                  <c:v>32.237415277323748</c:v>
                </c:pt>
                <c:pt idx="17">
                  <c:v>41.746812901819773</c:v>
                </c:pt>
                <c:pt idx="18">
                  <c:v>56.641298899422473</c:v>
                </c:pt>
                <c:pt idx="19">
                  <c:v>85.3851064618067</c:v>
                </c:pt>
                <c:pt idx="20">
                  <c:v>19.942564454614796</c:v>
                </c:pt>
                <c:pt idx="21">
                  <c:v>28.337262286150157</c:v>
                </c:pt>
                <c:pt idx="22">
                  <c:v>41.102714394682366</c:v>
                </c:pt>
                <c:pt idx="23">
                  <c:v>58.296434782608699</c:v>
                </c:pt>
                <c:pt idx="24">
                  <c:v>24.487517271439469</c:v>
                </c:pt>
                <c:pt idx="25">
                  <c:v>25.126546256946718</c:v>
                </c:pt>
                <c:pt idx="26">
                  <c:v>37.695077694235586</c:v>
                </c:pt>
                <c:pt idx="27">
                  <c:v>23.402584504740112</c:v>
                </c:pt>
                <c:pt idx="28">
                  <c:v>34.302016781083154</c:v>
                </c:pt>
                <c:pt idx="29">
                  <c:v>41.358095020159098</c:v>
                </c:pt>
                <c:pt idx="30">
                  <c:v>23.530717990628748</c:v>
                </c:pt>
                <c:pt idx="31">
                  <c:v>34.197531001416586</c:v>
                </c:pt>
                <c:pt idx="32">
                  <c:v>45.025587337910004</c:v>
                </c:pt>
                <c:pt idx="33">
                  <c:v>67.199002942137952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22.03278903781192</c:v>
                </c:pt>
                <c:pt idx="38">
                  <c:v>21.26904805491991</c:v>
                </c:pt>
                <c:pt idx="39">
                  <c:v>20.955573934837091</c:v>
                </c:pt>
                <c:pt idx="40">
                  <c:v>33.186050670153648</c:v>
                </c:pt>
                <c:pt idx="41">
                  <c:v>40.790859104282447</c:v>
                </c:pt>
                <c:pt idx="42">
                  <c:v>52.908046965239187</c:v>
                </c:pt>
                <c:pt idx="43">
                  <c:v>19.7636487959028</c:v>
                </c:pt>
                <c:pt idx="44">
                  <c:v>28.780959790781303</c:v>
                </c:pt>
                <c:pt idx="45">
                  <c:v>33.664848752315571</c:v>
                </c:pt>
                <c:pt idx="46">
                  <c:v>19.70956619810396</c:v>
                </c:pt>
                <c:pt idx="47">
                  <c:v>30.895473575242455</c:v>
                </c:pt>
                <c:pt idx="48">
                  <c:v>37.208673640623303</c:v>
                </c:pt>
                <c:pt idx="49">
                  <c:v>54.983203443391083</c:v>
                </c:pt>
                <c:pt idx="50">
                  <c:v>77.952955649994564</c:v>
                </c:pt>
                <c:pt idx="51">
                  <c:v>#N/A</c:v>
                </c:pt>
                <c:pt idx="52">
                  <c:v>#N/A</c:v>
                </c:pt>
                <c:pt idx="53">
                  <c:v>21.15536057535142</c:v>
                </c:pt>
                <c:pt idx="54">
                  <c:v>32.64936362645745</c:v>
                </c:pt>
                <c:pt idx="55">
                  <c:v>41.109275798191128</c:v>
                </c:pt>
                <c:pt idx="56">
                  <c:v>55.0771206276561</c:v>
                </c:pt>
                <c:pt idx="57">
                  <c:v>19.509070393374742</c:v>
                </c:pt>
                <c:pt idx="58">
                  <c:v>28.285734444807673</c:v>
                </c:pt>
                <c:pt idx="59">
                  <c:v>26.261235697940506</c:v>
                </c:pt>
                <c:pt idx="60">
                  <c:v>28.191379099923726</c:v>
                </c:pt>
                <c:pt idx="61">
                  <c:v>28.10283055464749</c:v>
                </c:pt>
                <c:pt idx="62">
                  <c:v>39.73056706984854</c:v>
                </c:pt>
                <c:pt idx="63">
                  <c:v>50.23102429988014</c:v>
                </c:pt>
                <c:pt idx="64">
                  <c:v>70.023829029094486</c:v>
                </c:pt>
                <c:pt idx="65">
                  <c:v>#N/A</c:v>
                </c:pt>
                <c:pt idx="66">
                  <c:v>20.230632450691946</c:v>
                </c:pt>
                <c:pt idx="67">
                  <c:v>20.747113326795251</c:v>
                </c:pt>
                <c:pt idx="68">
                  <c:v>32.894585812356979</c:v>
                </c:pt>
                <c:pt idx="69">
                  <c:v>42.645321019941157</c:v>
                </c:pt>
                <c:pt idx="70">
                  <c:v>20.70382532418002</c:v>
                </c:pt>
                <c:pt idx="71">
                  <c:v>33.058201046093501</c:v>
                </c:pt>
                <c:pt idx="72">
                  <c:v>31.351124986378988</c:v>
                </c:pt>
                <c:pt idx="73">
                  <c:v>43.784623842214224</c:v>
                </c:pt>
                <c:pt idx="74">
                  <c:v>50.816288329519452</c:v>
                </c:pt>
                <c:pt idx="75">
                  <c:v>31.59669826740765</c:v>
                </c:pt>
                <c:pt idx="76">
                  <c:v>41.991079982565111</c:v>
                </c:pt>
                <c:pt idx="77">
                  <c:v>49.915621009044358</c:v>
                </c:pt>
                <c:pt idx="78">
                  <c:v>69.503816715702314</c:v>
                </c:pt>
                <c:pt idx="79">
                  <c:v>#N/A</c:v>
                </c:pt>
                <c:pt idx="80">
                  <c:v>20.456724964585376</c:v>
                </c:pt>
                <c:pt idx="81">
                  <c:v>30.473071047183179</c:v>
                </c:pt>
                <c:pt idx="82">
                  <c:v>21.708776506483602</c:v>
                </c:pt>
                <c:pt idx="83">
                  <c:v>30.497384439359269</c:v>
                </c:pt>
                <c:pt idx="84">
                  <c:v>37.760774545058297</c:v>
                </c:pt>
                <c:pt idx="85">
                  <c:v>19.511000544840368</c:v>
                </c:pt>
                <c:pt idx="86">
                  <c:v>28.097846463986048</c:v>
                </c:pt>
                <c:pt idx="87">
                  <c:v>35.241621009044351</c:v>
                </c:pt>
                <c:pt idx="88">
                  <c:v>47.387020812901824</c:v>
                </c:pt>
                <c:pt idx="89">
                  <c:v>70.344256619810409</c:v>
                </c:pt>
                <c:pt idx="90">
                  <c:v>29.151036068431956</c:v>
                </c:pt>
                <c:pt idx="91">
                  <c:v>38.850581126729871</c:v>
                </c:pt>
                <c:pt idx="92">
                  <c:v>47.273419636046647</c:v>
                </c:pt>
                <c:pt idx="93">
                  <c:v>29.769653917402206</c:v>
                </c:pt>
                <c:pt idx="94">
                  <c:v>29.549559115179253</c:v>
                </c:pt>
                <c:pt idx="95">
                  <c:v>28.543164105916969</c:v>
                </c:pt>
                <c:pt idx="96">
                  <c:v>36.500226653590502</c:v>
                </c:pt>
                <c:pt idx="97">
                  <c:v>26.03980233191675</c:v>
                </c:pt>
                <c:pt idx="98">
                  <c:v>32.928636918382914</c:v>
                </c:pt>
                <c:pt idx="99">
                  <c:v>42.602510515418984</c:v>
                </c:pt>
                <c:pt idx="100">
                  <c:v>28.938065598779559</c:v>
                </c:pt>
                <c:pt idx="101">
                  <c:v>36.568143256371016</c:v>
                </c:pt>
                <c:pt idx="102">
                  <c:v>42.493743540266593</c:v>
                </c:pt>
                <c:pt idx="103">
                  <c:v>26.158929735844033</c:v>
                </c:pt>
                <c:pt idx="104">
                  <c:v>32.950156253465522</c:v>
                </c:pt>
                <c:pt idx="105">
                  <c:v>38.574224499301359</c:v>
                </c:pt>
                <c:pt idx="106">
                  <c:v>58.403840796681969</c:v>
                </c:pt>
                <c:pt idx="107">
                  <c:v>#N/A</c:v>
                </c:pt>
                <c:pt idx="108">
                  <c:v>20.368521192361438</c:v>
                </c:pt>
                <c:pt idx="109">
                  <c:v>29.330244859937455</c:v>
                </c:pt>
                <c:pt idx="110">
                  <c:v>20.305410650520109</c:v>
                </c:pt>
                <c:pt idx="111">
                  <c:v>30.973456206888908</c:v>
                </c:pt>
                <c:pt idx="112">
                  <c:v>38.472429636036999</c:v>
                </c:pt>
                <c:pt idx="113">
                  <c:v>45.117659192228352</c:v>
                </c:pt>
                <c:pt idx="114">
                  <c:v>19.937236010379934</c:v>
                </c:pt>
                <c:pt idx="115">
                  <c:v>29.048655266484793</c:v>
                </c:pt>
                <c:pt idx="116">
                  <c:v>40.241069487878995</c:v>
                </c:pt>
                <c:pt idx="117">
                  <c:v>47.035671923170753</c:v>
                </c:pt>
                <c:pt idx="118">
                  <c:v>66.551963758954926</c:v>
                </c:pt>
                <c:pt idx="119">
                  <c:v>101.92804899416683</c:v>
                </c:pt>
                <c:pt idx="120">
                  <c:v>20.48339876239271</c:v>
                </c:pt>
                <c:pt idx="121">
                  <c:v>30.919785082174464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28-4CF5-8BB6-2C6550456369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'Powerball Regression (2)'!$J$8:$J$129</c:f>
              <c:numCache>
                <c:formatCode>_-* #,##0.0_-;\-* #,##0.0_-;_-* "-"??_-;_-@_-</c:formatCode>
                <c:ptCount val="12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100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100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100</c:v>
                </c:pt>
                <c:pt idx="35">
                  <c:v>150</c:v>
                </c:pt>
                <c:pt idx="36">
                  <c:v>200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100</c:v>
                </c:pt>
                <c:pt idx="52">
                  <c:v>150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100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100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100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</c:numCache>
            </c:numRef>
          </c:xVal>
          <c:yVal>
            <c:numRef>
              <c:f>'Powerball Regression (2)'!$I$8:$I$129</c:f>
              <c:numCache>
                <c:formatCode>_-* #,##0.0_-;\-* #,##0.0_-;_-* "-"??_-;_-@_-</c:formatCode>
                <c:ptCount val="12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169.14758330609132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156.82348817696416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155.08314144055797</c:v>
                </c:pt>
                <c:pt idx="35">
                  <c:v>224.51918818786098</c:v>
                </c:pt>
                <c:pt idx="36">
                  <c:v>305.33054625694672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140.29007573281032</c:v>
                </c:pt>
                <c:pt idx="52">
                  <c:v>194.70491718426504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147.73820900076279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136.24600381388254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135.18635005655736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28-4CF5-8BB6-2C6550456369}"/>
            </c:ext>
          </c:extLst>
        </c:ser>
        <c:ser>
          <c:idx val="2"/>
          <c:order val="2"/>
          <c:spPr>
            <a:ln w="19050">
              <a:solidFill>
                <a:schemeClr val="tx2">
                  <a:lumMod val="20000"/>
                  <a:lumOff val="80000"/>
                </a:schemeClr>
              </a:solidFill>
              <a:prstDash val="sysDot"/>
            </a:ln>
          </c:spPr>
          <c:marker>
            <c:symbol val="none"/>
          </c:marker>
          <c:xVal>
            <c:numRef>
              <c:f>'Powerball Regression (2)'!$K$8:$K$207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'Powerball Regression (2)'!$L$8:$L$207</c:f>
              <c:numCache>
                <c:formatCode>_-* #,##0.0_-;\-* #,##0.0_-;_-* "-"??_-;_-@_-</c:formatCode>
                <c:ptCount val="200"/>
                <c:pt idx="0">
                  <c:v>18.3521</c:v>
                </c:pt>
                <c:pt idx="1">
                  <c:v>19.366199999999999</c:v>
                </c:pt>
                <c:pt idx="2">
                  <c:v>20.380300000000002</c:v>
                </c:pt>
                <c:pt idx="3">
                  <c:v>21.394400000000001</c:v>
                </c:pt>
                <c:pt idx="4">
                  <c:v>22.4085</c:v>
                </c:pt>
                <c:pt idx="5">
                  <c:v>23.422600000000003</c:v>
                </c:pt>
                <c:pt idx="6">
                  <c:v>24.436700000000002</c:v>
                </c:pt>
                <c:pt idx="7">
                  <c:v>25.450800000000001</c:v>
                </c:pt>
                <c:pt idx="8">
                  <c:v>26.4649</c:v>
                </c:pt>
                <c:pt idx="9">
                  <c:v>27.478999999999999</c:v>
                </c:pt>
                <c:pt idx="10">
                  <c:v>28.493100000000002</c:v>
                </c:pt>
                <c:pt idx="11">
                  <c:v>29.507200000000001</c:v>
                </c:pt>
                <c:pt idx="12">
                  <c:v>30.5213</c:v>
                </c:pt>
                <c:pt idx="13">
                  <c:v>31.535400000000003</c:v>
                </c:pt>
                <c:pt idx="14">
                  <c:v>32.549500000000002</c:v>
                </c:pt>
                <c:pt idx="15">
                  <c:v>33.563600000000001</c:v>
                </c:pt>
                <c:pt idx="16">
                  <c:v>34.5777</c:v>
                </c:pt>
                <c:pt idx="17">
                  <c:v>35.591799999999999</c:v>
                </c:pt>
                <c:pt idx="18">
                  <c:v>36.605900000000005</c:v>
                </c:pt>
                <c:pt idx="19">
                  <c:v>37.620000000000005</c:v>
                </c:pt>
                <c:pt idx="20">
                  <c:v>38.634100000000004</c:v>
                </c:pt>
                <c:pt idx="21">
                  <c:v>39.648200000000003</c:v>
                </c:pt>
                <c:pt idx="22">
                  <c:v>40.662300000000002</c:v>
                </c:pt>
                <c:pt idx="23">
                  <c:v>41.676400000000001</c:v>
                </c:pt>
                <c:pt idx="24">
                  <c:v>42.6905</c:v>
                </c:pt>
                <c:pt idx="25">
                  <c:v>43.704599999999999</c:v>
                </c:pt>
                <c:pt idx="26">
                  <c:v>44.718699999999998</c:v>
                </c:pt>
                <c:pt idx="27">
                  <c:v>45.732799999999997</c:v>
                </c:pt>
                <c:pt idx="28">
                  <c:v>46.746899999999997</c:v>
                </c:pt>
                <c:pt idx="29">
                  <c:v>47.761000000000003</c:v>
                </c:pt>
                <c:pt idx="30">
                  <c:v>48.775100000000002</c:v>
                </c:pt>
                <c:pt idx="31">
                  <c:v>49.789200000000001</c:v>
                </c:pt>
                <c:pt idx="32">
                  <c:v>50.8033</c:v>
                </c:pt>
                <c:pt idx="33">
                  <c:v>51.817399999999999</c:v>
                </c:pt>
                <c:pt idx="34">
                  <c:v>52.831499999999998</c:v>
                </c:pt>
                <c:pt idx="35">
                  <c:v>53.845599999999997</c:v>
                </c:pt>
                <c:pt idx="36">
                  <c:v>54.859700000000004</c:v>
                </c:pt>
                <c:pt idx="37">
                  <c:v>55.873800000000003</c:v>
                </c:pt>
                <c:pt idx="38">
                  <c:v>56.887900000000002</c:v>
                </c:pt>
                <c:pt idx="39">
                  <c:v>57.902000000000001</c:v>
                </c:pt>
                <c:pt idx="40">
                  <c:v>58.9161</c:v>
                </c:pt>
                <c:pt idx="41">
                  <c:v>59.930199999999999</c:v>
                </c:pt>
                <c:pt idx="42">
                  <c:v>60.944299999999998</c:v>
                </c:pt>
                <c:pt idx="43">
                  <c:v>61.958400000000005</c:v>
                </c:pt>
                <c:pt idx="44">
                  <c:v>62.972500000000004</c:v>
                </c:pt>
                <c:pt idx="45">
                  <c:v>63.986600000000003</c:v>
                </c:pt>
                <c:pt idx="46">
                  <c:v>65.000699999999995</c:v>
                </c:pt>
                <c:pt idx="47">
                  <c:v>66.014800000000008</c:v>
                </c:pt>
                <c:pt idx="48">
                  <c:v>67.028899999999993</c:v>
                </c:pt>
                <c:pt idx="49">
                  <c:v>68.043000000000006</c:v>
                </c:pt>
                <c:pt idx="50">
                  <c:v>69.057099999999991</c:v>
                </c:pt>
                <c:pt idx="51">
                  <c:v>70.071200000000005</c:v>
                </c:pt>
                <c:pt idx="52">
                  <c:v>71.085300000000004</c:v>
                </c:pt>
                <c:pt idx="53">
                  <c:v>72.099400000000003</c:v>
                </c:pt>
                <c:pt idx="54">
                  <c:v>73.113500000000002</c:v>
                </c:pt>
                <c:pt idx="55">
                  <c:v>74.127600000000001</c:v>
                </c:pt>
                <c:pt idx="56">
                  <c:v>75.1417</c:v>
                </c:pt>
                <c:pt idx="57">
                  <c:v>76.155799999999999</c:v>
                </c:pt>
                <c:pt idx="58">
                  <c:v>77.169899999999998</c:v>
                </c:pt>
                <c:pt idx="59">
                  <c:v>78.183999999999997</c:v>
                </c:pt>
                <c:pt idx="60">
                  <c:v>79.198100000000011</c:v>
                </c:pt>
                <c:pt idx="61">
                  <c:v>80.212199999999996</c:v>
                </c:pt>
                <c:pt idx="62">
                  <c:v>81.226300000000009</c:v>
                </c:pt>
                <c:pt idx="63">
                  <c:v>82.240399999999994</c:v>
                </c:pt>
                <c:pt idx="64">
                  <c:v>83.254500000000007</c:v>
                </c:pt>
                <c:pt idx="65">
                  <c:v>84.268599999999992</c:v>
                </c:pt>
                <c:pt idx="66">
                  <c:v>85.282700000000006</c:v>
                </c:pt>
                <c:pt idx="67">
                  <c:v>86.29679999999999</c:v>
                </c:pt>
                <c:pt idx="68">
                  <c:v>87.310900000000004</c:v>
                </c:pt>
                <c:pt idx="69">
                  <c:v>88.324999999999989</c:v>
                </c:pt>
                <c:pt idx="70">
                  <c:v>89.339100000000002</c:v>
                </c:pt>
                <c:pt idx="71">
                  <c:v>90.353199999999987</c:v>
                </c:pt>
                <c:pt idx="72">
                  <c:v>91.3673</c:v>
                </c:pt>
                <c:pt idx="73">
                  <c:v>92.381400000000014</c:v>
                </c:pt>
                <c:pt idx="74">
                  <c:v>93.395499999999998</c:v>
                </c:pt>
                <c:pt idx="75">
                  <c:v>94.409600000000012</c:v>
                </c:pt>
                <c:pt idx="76">
                  <c:v>95.423699999999997</c:v>
                </c:pt>
                <c:pt idx="77">
                  <c:v>96.43780000000001</c:v>
                </c:pt>
                <c:pt idx="78">
                  <c:v>97.451899999999995</c:v>
                </c:pt>
                <c:pt idx="79">
                  <c:v>98.466000000000008</c:v>
                </c:pt>
                <c:pt idx="80">
                  <c:v>99.480099999999993</c:v>
                </c:pt>
                <c:pt idx="81">
                  <c:v>100.49420000000001</c:v>
                </c:pt>
                <c:pt idx="82">
                  <c:v>101.50829999999999</c:v>
                </c:pt>
                <c:pt idx="83">
                  <c:v>102.5224</c:v>
                </c:pt>
                <c:pt idx="84">
                  <c:v>103.53649999999999</c:v>
                </c:pt>
                <c:pt idx="85">
                  <c:v>104.5506</c:v>
                </c:pt>
                <c:pt idx="86">
                  <c:v>105.56469999999999</c:v>
                </c:pt>
                <c:pt idx="87">
                  <c:v>106.5788</c:v>
                </c:pt>
                <c:pt idx="88">
                  <c:v>107.59290000000001</c:v>
                </c:pt>
                <c:pt idx="89">
                  <c:v>108.607</c:v>
                </c:pt>
                <c:pt idx="90">
                  <c:v>109.62110000000001</c:v>
                </c:pt>
                <c:pt idx="91">
                  <c:v>110.6352</c:v>
                </c:pt>
                <c:pt idx="92">
                  <c:v>111.64930000000001</c:v>
                </c:pt>
                <c:pt idx="93">
                  <c:v>112.6634</c:v>
                </c:pt>
                <c:pt idx="94">
                  <c:v>113.67750000000001</c:v>
                </c:pt>
                <c:pt idx="95">
                  <c:v>114.69159999999999</c:v>
                </c:pt>
                <c:pt idx="96">
                  <c:v>115.70570000000001</c:v>
                </c:pt>
                <c:pt idx="97">
                  <c:v>116.71979999999999</c:v>
                </c:pt>
                <c:pt idx="98">
                  <c:v>117.73390000000001</c:v>
                </c:pt>
                <c:pt idx="99">
                  <c:v>118.74799999999999</c:v>
                </c:pt>
                <c:pt idx="100">
                  <c:v>119.7621</c:v>
                </c:pt>
                <c:pt idx="101">
                  <c:v>120.77619999999999</c:v>
                </c:pt>
                <c:pt idx="102">
                  <c:v>121.7903</c:v>
                </c:pt>
                <c:pt idx="103">
                  <c:v>122.80439999999999</c:v>
                </c:pt>
                <c:pt idx="104">
                  <c:v>123.8185</c:v>
                </c:pt>
                <c:pt idx="105">
                  <c:v>124.83260000000001</c:v>
                </c:pt>
                <c:pt idx="106">
                  <c:v>125.8467</c:v>
                </c:pt>
                <c:pt idx="107">
                  <c:v>126.86080000000001</c:v>
                </c:pt>
                <c:pt idx="108">
                  <c:v>127.8749</c:v>
                </c:pt>
                <c:pt idx="109">
                  <c:v>128.88900000000001</c:v>
                </c:pt>
                <c:pt idx="110">
                  <c:v>129.90309999999999</c:v>
                </c:pt>
                <c:pt idx="111">
                  <c:v>130.91720000000001</c:v>
                </c:pt>
                <c:pt idx="112">
                  <c:v>131.93129999999999</c:v>
                </c:pt>
                <c:pt idx="113">
                  <c:v>132.94540000000001</c:v>
                </c:pt>
                <c:pt idx="114">
                  <c:v>133.95949999999999</c:v>
                </c:pt>
                <c:pt idx="115">
                  <c:v>134.9736</c:v>
                </c:pt>
                <c:pt idx="116">
                  <c:v>135.98769999999999</c:v>
                </c:pt>
                <c:pt idx="117">
                  <c:v>137.0018</c:v>
                </c:pt>
                <c:pt idx="118">
                  <c:v>138.01589999999999</c:v>
                </c:pt>
                <c:pt idx="119">
                  <c:v>139.03</c:v>
                </c:pt>
                <c:pt idx="120">
                  <c:v>140.04410000000001</c:v>
                </c:pt>
                <c:pt idx="121">
                  <c:v>141.0582</c:v>
                </c:pt>
                <c:pt idx="122">
                  <c:v>142.07230000000001</c:v>
                </c:pt>
                <c:pt idx="123">
                  <c:v>143.0864</c:v>
                </c:pt>
                <c:pt idx="124">
                  <c:v>144.10050000000001</c:v>
                </c:pt>
                <c:pt idx="125">
                  <c:v>145.1146</c:v>
                </c:pt>
                <c:pt idx="126">
                  <c:v>146.12869999999998</c:v>
                </c:pt>
                <c:pt idx="127">
                  <c:v>147.14279999999999</c:v>
                </c:pt>
                <c:pt idx="128">
                  <c:v>148.15690000000001</c:v>
                </c:pt>
                <c:pt idx="129">
                  <c:v>149.17099999999999</c:v>
                </c:pt>
                <c:pt idx="130">
                  <c:v>150.18510000000001</c:v>
                </c:pt>
                <c:pt idx="131">
                  <c:v>151.19919999999999</c:v>
                </c:pt>
                <c:pt idx="132">
                  <c:v>152.2133</c:v>
                </c:pt>
                <c:pt idx="133">
                  <c:v>153.22739999999999</c:v>
                </c:pt>
                <c:pt idx="134">
                  <c:v>154.2415</c:v>
                </c:pt>
                <c:pt idx="135">
                  <c:v>155.25559999999999</c:v>
                </c:pt>
                <c:pt idx="136">
                  <c:v>156.2697</c:v>
                </c:pt>
                <c:pt idx="137">
                  <c:v>157.28379999999999</c:v>
                </c:pt>
                <c:pt idx="138">
                  <c:v>158.2979</c:v>
                </c:pt>
                <c:pt idx="139">
                  <c:v>159.31199999999998</c:v>
                </c:pt>
                <c:pt idx="140">
                  <c:v>160.3261</c:v>
                </c:pt>
                <c:pt idx="141">
                  <c:v>161.34019999999998</c:v>
                </c:pt>
                <c:pt idx="142">
                  <c:v>162.35429999999999</c:v>
                </c:pt>
                <c:pt idx="143">
                  <c:v>163.36839999999998</c:v>
                </c:pt>
                <c:pt idx="144">
                  <c:v>164.38249999999999</c:v>
                </c:pt>
                <c:pt idx="145">
                  <c:v>165.39660000000001</c:v>
                </c:pt>
                <c:pt idx="146">
                  <c:v>166.41069999999999</c:v>
                </c:pt>
                <c:pt idx="147">
                  <c:v>167.4248</c:v>
                </c:pt>
                <c:pt idx="148">
                  <c:v>168.43889999999999</c:v>
                </c:pt>
                <c:pt idx="149">
                  <c:v>169.453</c:v>
                </c:pt>
                <c:pt idx="150">
                  <c:v>170.46709999999999</c:v>
                </c:pt>
                <c:pt idx="151">
                  <c:v>171.4812</c:v>
                </c:pt>
                <c:pt idx="152">
                  <c:v>172.49529999999999</c:v>
                </c:pt>
                <c:pt idx="153">
                  <c:v>173.5094</c:v>
                </c:pt>
                <c:pt idx="154">
                  <c:v>174.52349999999998</c:v>
                </c:pt>
                <c:pt idx="155">
                  <c:v>175.5376</c:v>
                </c:pt>
                <c:pt idx="156">
                  <c:v>176.55169999999998</c:v>
                </c:pt>
                <c:pt idx="157">
                  <c:v>177.5658</c:v>
                </c:pt>
                <c:pt idx="158">
                  <c:v>178.57989999999998</c:v>
                </c:pt>
                <c:pt idx="159">
                  <c:v>179.59399999999999</c:v>
                </c:pt>
                <c:pt idx="160">
                  <c:v>180.60810000000001</c:v>
                </c:pt>
                <c:pt idx="161">
                  <c:v>181.62219999999999</c:v>
                </c:pt>
                <c:pt idx="162">
                  <c:v>182.63630000000001</c:v>
                </c:pt>
                <c:pt idx="163">
                  <c:v>183.65039999999999</c:v>
                </c:pt>
                <c:pt idx="164">
                  <c:v>184.6645</c:v>
                </c:pt>
                <c:pt idx="165">
                  <c:v>185.67859999999999</c:v>
                </c:pt>
                <c:pt idx="166">
                  <c:v>186.6927</c:v>
                </c:pt>
                <c:pt idx="167">
                  <c:v>187.70679999999999</c:v>
                </c:pt>
                <c:pt idx="168">
                  <c:v>188.7209</c:v>
                </c:pt>
                <c:pt idx="169">
                  <c:v>189.73499999999999</c:v>
                </c:pt>
                <c:pt idx="170">
                  <c:v>190.7491</c:v>
                </c:pt>
                <c:pt idx="171">
                  <c:v>191.76319999999998</c:v>
                </c:pt>
                <c:pt idx="172">
                  <c:v>192.7773</c:v>
                </c:pt>
                <c:pt idx="173">
                  <c:v>193.79139999999998</c:v>
                </c:pt>
                <c:pt idx="174">
                  <c:v>194.80549999999999</c:v>
                </c:pt>
                <c:pt idx="175">
                  <c:v>195.81960000000001</c:v>
                </c:pt>
                <c:pt idx="176">
                  <c:v>196.83369999999999</c:v>
                </c:pt>
                <c:pt idx="177">
                  <c:v>197.84780000000001</c:v>
                </c:pt>
                <c:pt idx="178">
                  <c:v>198.86189999999999</c:v>
                </c:pt>
                <c:pt idx="179">
                  <c:v>199.876</c:v>
                </c:pt>
                <c:pt idx="180">
                  <c:v>200.89009999999999</c:v>
                </c:pt>
                <c:pt idx="181">
                  <c:v>201.9042</c:v>
                </c:pt>
                <c:pt idx="182">
                  <c:v>202.91829999999999</c:v>
                </c:pt>
                <c:pt idx="183">
                  <c:v>203.9324</c:v>
                </c:pt>
                <c:pt idx="184">
                  <c:v>204.94649999999999</c:v>
                </c:pt>
                <c:pt idx="185">
                  <c:v>205.9606</c:v>
                </c:pt>
                <c:pt idx="186">
                  <c:v>206.97469999999998</c:v>
                </c:pt>
                <c:pt idx="187">
                  <c:v>207.9888</c:v>
                </c:pt>
                <c:pt idx="188">
                  <c:v>209.00289999999998</c:v>
                </c:pt>
                <c:pt idx="189">
                  <c:v>210.017</c:v>
                </c:pt>
                <c:pt idx="190">
                  <c:v>211.03109999999998</c:v>
                </c:pt>
                <c:pt idx="191">
                  <c:v>212.04519999999999</c:v>
                </c:pt>
                <c:pt idx="192">
                  <c:v>213.05930000000001</c:v>
                </c:pt>
                <c:pt idx="193">
                  <c:v>214.07339999999999</c:v>
                </c:pt>
                <c:pt idx="194">
                  <c:v>215.08750000000001</c:v>
                </c:pt>
                <c:pt idx="195">
                  <c:v>216.10159999999999</c:v>
                </c:pt>
                <c:pt idx="196">
                  <c:v>217.1157</c:v>
                </c:pt>
                <c:pt idx="197">
                  <c:v>218.12979999999999</c:v>
                </c:pt>
                <c:pt idx="198">
                  <c:v>219.1439</c:v>
                </c:pt>
                <c:pt idx="199">
                  <c:v>220.15799999999999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28-4CF5-8BB6-2C6550456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'Oz Lotto Regression'!$DF$29</c:f>
              <c:strCache>
                <c:ptCount val="1"/>
                <c:pt idx="0">
                  <c:v> Pre GC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'Oz Lotto Regression'!$EO$3:$EO$55</c:f>
              <c:numCache>
                <c:formatCode>_-* #,##0_-;\-* #,##0_-;_-* "-"??_-;_-@_-</c:formatCode>
                <c:ptCount val="53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50000000</c:v>
                </c:pt>
                <c:pt idx="4">
                  <c:v>2000000</c:v>
                </c:pt>
                <c:pt idx="5">
                  <c:v>5000000</c:v>
                </c:pt>
                <c:pt idx="6">
                  <c:v>10000000</c:v>
                </c:pt>
                <c:pt idx="7">
                  <c:v>2000000</c:v>
                </c:pt>
                <c:pt idx="8">
                  <c:v>5000000</c:v>
                </c:pt>
                <c:pt idx="9">
                  <c:v>10000000</c:v>
                </c:pt>
                <c:pt idx="10">
                  <c:v>2000000</c:v>
                </c:pt>
                <c:pt idx="11">
                  <c:v>5000000</c:v>
                </c:pt>
                <c:pt idx="12">
                  <c:v>2000000</c:v>
                </c:pt>
                <c:pt idx="13">
                  <c:v>2000000</c:v>
                </c:pt>
                <c:pt idx="14">
                  <c:v>5000000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2000000</c:v>
                </c:pt>
                <c:pt idx="18">
                  <c:v>5000000</c:v>
                </c:pt>
              </c:numCache>
            </c:numRef>
          </c:xVal>
          <c:yVal>
            <c:numRef>
              <c:f>'Oz Lotto Regression'!$EN$3:$EN$55</c:f>
              <c:numCache>
                <c:formatCode>_-* #,##0_-;\-* #,##0_-;_-* "-"??_-;_-@_-</c:formatCode>
                <c:ptCount val="53"/>
                <c:pt idx="0">
                  <c:v>13895292</c:v>
                </c:pt>
                <c:pt idx="1">
                  <c:v>24878085</c:v>
                </c:pt>
                <c:pt idx="2">
                  <c:v>31693230</c:v>
                </c:pt>
                <c:pt idx="3">
                  <c:v>48101343</c:v>
                </c:pt>
                <c:pt idx="4">
                  <c:v>9278637</c:v>
                </c:pt>
                <c:pt idx="5">
                  <c:v>11077362</c:v>
                </c:pt>
                <c:pt idx="6">
                  <c:v>14443305</c:v>
                </c:pt>
                <c:pt idx="7">
                  <c:v>8213148</c:v>
                </c:pt>
                <c:pt idx="8">
                  <c:v>12585855</c:v>
                </c:pt>
                <c:pt idx="9">
                  <c:v>18339861</c:v>
                </c:pt>
                <c:pt idx="10">
                  <c:v>8647974</c:v>
                </c:pt>
                <c:pt idx="11">
                  <c:v>15013329</c:v>
                </c:pt>
                <c:pt idx="12">
                  <c:v>9676923</c:v>
                </c:pt>
                <c:pt idx="13">
                  <c:v>7645821</c:v>
                </c:pt>
                <c:pt idx="14">
                  <c:v>11420142</c:v>
                </c:pt>
                <c:pt idx="15">
                  <c:v>16537308</c:v>
                </c:pt>
                <c:pt idx="16">
                  <c:v>20714265</c:v>
                </c:pt>
                <c:pt idx="17">
                  <c:v>7781019</c:v>
                </c:pt>
                <c:pt idx="18">
                  <c:v>10780866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EB-42D6-AC71-DE648C0D0C41}"/>
            </c:ext>
          </c:extLst>
        </c:ser>
        <c:ser>
          <c:idx val="1"/>
          <c:order val="1"/>
          <c:tx>
            <c:strRef>
              <c:f>'Oz Lotto Regression'!$DV$3</c:f>
              <c:strCache>
                <c:ptCount val="1"/>
                <c:pt idx="0">
                  <c:v> Post GC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'Oz Lotto Regression'!$EX$3:$EX$55</c:f>
              <c:numCache>
                <c:formatCode>_-* #,##0_-;\-* #,##0_-;_-* "-"??_-;_-@_-</c:formatCode>
                <c:ptCount val="53"/>
                <c:pt idx="0">
                  <c:v>10000000</c:v>
                </c:pt>
                <c:pt idx="1">
                  <c:v>3000000</c:v>
                </c:pt>
                <c:pt idx="2">
                  <c:v>5000000</c:v>
                </c:pt>
                <c:pt idx="3">
                  <c:v>3000000</c:v>
                </c:pt>
                <c:pt idx="4">
                  <c:v>5000000</c:v>
                </c:pt>
                <c:pt idx="5">
                  <c:v>10000000</c:v>
                </c:pt>
                <c:pt idx="6">
                  <c:v>20000000</c:v>
                </c:pt>
                <c:pt idx="7">
                  <c:v>30000000</c:v>
                </c:pt>
                <c:pt idx="8">
                  <c:v>3000000</c:v>
                </c:pt>
                <c:pt idx="9">
                  <c:v>5000000</c:v>
                </c:pt>
                <c:pt idx="10">
                  <c:v>10000000</c:v>
                </c:pt>
                <c:pt idx="11">
                  <c:v>20000000</c:v>
                </c:pt>
                <c:pt idx="12">
                  <c:v>3000000</c:v>
                </c:pt>
                <c:pt idx="13">
                  <c:v>5000000</c:v>
                </c:pt>
                <c:pt idx="14">
                  <c:v>10000000</c:v>
                </c:pt>
                <c:pt idx="15">
                  <c:v>3000000</c:v>
                </c:pt>
                <c:pt idx="16">
                  <c:v>5000000</c:v>
                </c:pt>
                <c:pt idx="17">
                  <c:v>10000000</c:v>
                </c:pt>
                <c:pt idx="18">
                  <c:v>20000000</c:v>
                </c:pt>
                <c:pt idx="19">
                  <c:v>30000000</c:v>
                </c:pt>
                <c:pt idx="20">
                  <c:v>50000000</c:v>
                </c:pt>
                <c:pt idx="21">
                  <c:v>3000000</c:v>
                </c:pt>
                <c:pt idx="22">
                  <c:v>5000000</c:v>
                </c:pt>
                <c:pt idx="23">
                  <c:v>10000000</c:v>
                </c:pt>
                <c:pt idx="24">
                  <c:v>20000000</c:v>
                </c:pt>
                <c:pt idx="25">
                  <c:v>3000000</c:v>
                </c:pt>
                <c:pt idx="26">
                  <c:v>5000000</c:v>
                </c:pt>
                <c:pt idx="27">
                  <c:v>10000000</c:v>
                </c:pt>
              </c:numCache>
            </c:numRef>
          </c:xVal>
          <c:yVal>
            <c:numRef>
              <c:f>'Oz Lotto Regression'!$EW$3:$EW$55</c:f>
              <c:numCache>
                <c:formatCode>_-* #,##0_-;\-* #,##0_-;_-* "-"??_-;_-@_-</c:formatCode>
                <c:ptCount val="53"/>
                <c:pt idx="0">
                  <c:v>14327800</c:v>
                </c:pt>
                <c:pt idx="1">
                  <c:v>7044904</c:v>
                </c:pt>
                <c:pt idx="2">
                  <c:v>11113346</c:v>
                </c:pt>
                <c:pt idx="3">
                  <c:v>10186086</c:v>
                </c:pt>
                <c:pt idx="4">
                  <c:v>8929954</c:v>
                </c:pt>
                <c:pt idx="5">
                  <c:v>11924379</c:v>
                </c:pt>
                <c:pt idx="6">
                  <c:v>14489396</c:v>
                </c:pt>
                <c:pt idx="7">
                  <c:v>28517931</c:v>
                </c:pt>
                <c:pt idx="8">
                  <c:v>8282860</c:v>
                </c:pt>
                <c:pt idx="9">
                  <c:v>16148240</c:v>
                </c:pt>
                <c:pt idx="10">
                  <c:v>16873221</c:v>
                </c:pt>
                <c:pt idx="11">
                  <c:v>22262263</c:v>
                </c:pt>
                <c:pt idx="12">
                  <c:v>7570943</c:v>
                </c:pt>
                <c:pt idx="13">
                  <c:v>9312715</c:v>
                </c:pt>
                <c:pt idx="14">
                  <c:v>17961864</c:v>
                </c:pt>
                <c:pt idx="15">
                  <c:v>8684436</c:v>
                </c:pt>
                <c:pt idx="16">
                  <c:v>9908263</c:v>
                </c:pt>
                <c:pt idx="17">
                  <c:v>16145897</c:v>
                </c:pt>
                <c:pt idx="18">
                  <c:v>23315690</c:v>
                </c:pt>
                <c:pt idx="19">
                  <c:v>27022813</c:v>
                </c:pt>
                <c:pt idx="20">
                  <c:v>39653216</c:v>
                </c:pt>
                <c:pt idx="21">
                  <c:v>7851819</c:v>
                </c:pt>
                <c:pt idx="22">
                  <c:v>9544388</c:v>
                </c:pt>
                <c:pt idx="23">
                  <c:v>13198474</c:v>
                </c:pt>
                <c:pt idx="24">
                  <c:v>26314446</c:v>
                </c:pt>
                <c:pt idx="25">
                  <c:v>9565262</c:v>
                </c:pt>
                <c:pt idx="26">
                  <c:v>11733886</c:v>
                </c:pt>
                <c:pt idx="27">
                  <c:v>13861827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EB-42D6-AC71-DE648C0D0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  <c:dispUnits>
          <c:builtInUnit val="millions"/>
        </c:dispUnits>
      </c:valAx>
      <c:valAx>
        <c:axId val="818924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Regression'!$P$45:$P$97</c:f>
              <c:numCache>
                <c:formatCode>_-* #,##0.0_-;\-* #,##0.0_-;_-* "-"??_-;_-@_-</c:formatCode>
                <c:ptCount val="53"/>
                <c:pt idx="0">
                  <c:v>20</c:v>
                </c:pt>
                <c:pt idx="1">
                  <c:v>15</c:v>
                </c:pt>
                <c:pt idx="2">
                  <c:v>8</c:v>
                </c:pt>
                <c:pt idx="3">
                  <c:v>3</c:v>
                </c:pt>
                <c:pt idx="4">
                  <c:v>30</c:v>
                </c:pt>
                <c:pt idx="5">
                  <c:v>20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5</c:v>
                </c:pt>
                <c:pt idx="11">
                  <c:v>3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15</c:v>
                </c:pt>
                <c:pt idx="19">
                  <c:v>10</c:v>
                </c:pt>
                <c:pt idx="20">
                  <c:v>5</c:v>
                </c:pt>
                <c:pt idx="21">
                  <c:v>3</c:v>
                </c:pt>
                <c:pt idx="22">
                  <c:v>30</c:v>
                </c:pt>
                <c:pt idx="23">
                  <c:v>20</c:v>
                </c:pt>
                <c:pt idx="24">
                  <c:v>15</c:v>
                </c:pt>
                <c:pt idx="25">
                  <c:v>10</c:v>
                </c:pt>
                <c:pt idx="26">
                  <c:v>5</c:v>
                </c:pt>
                <c:pt idx="27">
                  <c:v>3</c:v>
                </c:pt>
                <c:pt idx="28">
                  <c:v>10</c:v>
                </c:pt>
                <c:pt idx="29">
                  <c:v>5</c:v>
                </c:pt>
                <c:pt idx="30">
                  <c:v>3</c:v>
                </c:pt>
                <c:pt idx="31">
                  <c:v>30</c:v>
                </c:pt>
                <c:pt idx="32">
                  <c:v>20</c:v>
                </c:pt>
                <c:pt idx="33">
                  <c:v>10</c:v>
                </c:pt>
                <c:pt idx="34">
                  <c:v>5</c:v>
                </c:pt>
                <c:pt idx="35">
                  <c:v>3</c:v>
                </c:pt>
                <c:pt idx="36">
                  <c:v>20</c:v>
                </c:pt>
                <c:pt idx="37">
                  <c:v>10</c:v>
                </c:pt>
                <c:pt idx="38">
                  <c:v>5</c:v>
                </c:pt>
                <c:pt idx="39">
                  <c:v>3</c:v>
                </c:pt>
                <c:pt idx="40">
                  <c:v>20</c:v>
                </c:pt>
                <c:pt idx="41">
                  <c:v>10</c:v>
                </c:pt>
                <c:pt idx="42">
                  <c:v>5</c:v>
                </c:pt>
                <c:pt idx="43">
                  <c:v>3</c:v>
                </c:pt>
                <c:pt idx="44">
                  <c:v>30</c:v>
                </c:pt>
                <c:pt idx="45">
                  <c:v>20</c:v>
                </c:pt>
                <c:pt idx="46">
                  <c:v>10</c:v>
                </c:pt>
                <c:pt idx="47">
                  <c:v>5</c:v>
                </c:pt>
                <c:pt idx="48">
                  <c:v>3</c:v>
                </c:pt>
                <c:pt idx="49">
                  <c:v>30</c:v>
                </c:pt>
                <c:pt idx="50">
                  <c:v>20</c:v>
                </c:pt>
                <c:pt idx="51">
                  <c:v>10</c:v>
                </c:pt>
                <c:pt idx="52">
                  <c:v>5</c:v>
                </c:pt>
              </c:numCache>
            </c:numRef>
          </c:xVal>
          <c:yVal>
            <c:numRef>
              <c:f>'Oz Lotto Regression'!$O$45:$O$97</c:f>
              <c:numCache>
                <c:formatCode>_-* #,##0.0_-;\-* #,##0.0_-;_-* "-"??_-;_-@_-</c:formatCode>
                <c:ptCount val="53"/>
                <c:pt idx="0">
                  <c:v>20.737410487410486</c:v>
                </c:pt>
                <c:pt idx="1">
                  <c:v>14.729771309771309</c:v>
                </c:pt>
                <c:pt idx="2">
                  <c:v>11.997695888195887</c:v>
                </c:pt>
                <c:pt idx="3">
                  <c:v>9.1288488103488099</c:v>
                </c:pt>
                <c:pt idx="4">
                  <c:v>31.100381612381607</c:v>
                </c:pt>
                <c:pt idx="5">
                  <c:v>24.152813005313007</c:v>
                </c:pt>
                <c:pt idx="6">
                  <c:v>18.082208708708706</c:v>
                </c:pt>
                <c:pt idx="7">
                  <c:v>9.3893035343035329</c:v>
                </c:pt>
                <c:pt idx="8">
                  <c:v>8.5277261492261491</c:v>
                </c:pt>
                <c:pt idx="9">
                  <c:v>14.163772002772003</c:v>
                </c:pt>
                <c:pt idx="10">
                  <c:v>10.258208362208363</c:v>
                </c:pt>
                <c:pt idx="11">
                  <c:v>9.2092929082929071</c:v>
                </c:pt>
                <c:pt idx="14">
                  <c:v>40.500575652575648</c:v>
                </c:pt>
                <c:pt idx="15">
                  <c:v>32.184130399630398</c:v>
                </c:pt>
                <c:pt idx="16">
                  <c:v>26.490850080850084</c:v>
                </c:pt>
                <c:pt idx="17">
                  <c:v>19.880151651651651</c:v>
                </c:pt>
                <c:pt idx="18">
                  <c:v>17.853845345345345</c:v>
                </c:pt>
                <c:pt idx="19">
                  <c:v>14.501044583044585</c:v>
                </c:pt>
                <c:pt idx="20">
                  <c:v>9.2870157080157067</c:v>
                </c:pt>
                <c:pt idx="21">
                  <c:v>8.4330546315546311</c:v>
                </c:pt>
                <c:pt idx="22">
                  <c:v>26.420194848694845</c:v>
                </c:pt>
                <c:pt idx="23">
                  <c:v>21.005378840378839</c:v>
                </c:pt>
                <c:pt idx="24">
                  <c:v>14.203781011781011</c:v>
                </c:pt>
                <c:pt idx="25">
                  <c:v>12.154527258027258</c:v>
                </c:pt>
                <c:pt idx="26">
                  <c:v>9.2081954261954255</c:v>
                </c:pt>
                <c:pt idx="27">
                  <c:v>8.3208568953568953</c:v>
                </c:pt>
                <c:pt idx="28">
                  <c:v>14.653323169323169</c:v>
                </c:pt>
                <c:pt idx="29">
                  <c:v>9.2930704550704544</c:v>
                </c:pt>
                <c:pt idx="30">
                  <c:v>8.6803522753522753</c:v>
                </c:pt>
                <c:pt idx="31">
                  <c:v>29.189057750057742</c:v>
                </c:pt>
                <c:pt idx="32">
                  <c:v>22.289923538923535</c:v>
                </c:pt>
                <c:pt idx="33">
                  <c:v>12.713646107646106</c:v>
                </c:pt>
                <c:pt idx="34">
                  <c:v>9.3036103026103003</c:v>
                </c:pt>
                <c:pt idx="35">
                  <c:v>8.3911663201663202</c:v>
                </c:pt>
                <c:pt idx="36">
                  <c:v>20.429754215754212</c:v>
                </c:pt>
                <c:pt idx="37">
                  <c:v>14.5575610995611</c:v>
                </c:pt>
                <c:pt idx="38">
                  <c:v>10.458440863940863</c:v>
                </c:pt>
                <c:pt idx="39">
                  <c:v>7.8977346962346964</c:v>
                </c:pt>
                <c:pt idx="40">
                  <c:v>17.313915453915449</c:v>
                </c:pt>
                <c:pt idx="41">
                  <c:v>13.397146454146457</c:v>
                </c:pt>
                <c:pt idx="42">
                  <c:v>9.865218988218988</c:v>
                </c:pt>
                <c:pt idx="43">
                  <c:v>8.7031183876183871</c:v>
                </c:pt>
                <c:pt idx="44">
                  <c:v>29.237498960498957</c:v>
                </c:pt>
                <c:pt idx="45">
                  <c:v>21.594296604296606</c:v>
                </c:pt>
                <c:pt idx="46">
                  <c:v>14.635402517902518</c:v>
                </c:pt>
                <c:pt idx="47">
                  <c:v>9.7251242781242766</c:v>
                </c:pt>
                <c:pt idx="48">
                  <c:v>9.2700094710094678</c:v>
                </c:pt>
                <c:pt idx="49">
                  <c:v>24.316174405174401</c:v>
                </c:pt>
                <c:pt idx="50">
                  <c:v>20.387653730653728</c:v>
                </c:pt>
                <c:pt idx="51">
                  <c:v>14.791094479094479</c:v>
                </c:pt>
                <c:pt idx="52">
                  <c:v>10.052417532917532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D6-4318-A03B-DE8BBA863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Regression'!$P$45:$P$97</c:f>
              <c:numCache>
                <c:formatCode>_-* #,##0.0_-;\-* #,##0.0_-;_-* "-"??_-;_-@_-</c:formatCode>
                <c:ptCount val="53"/>
                <c:pt idx="0">
                  <c:v>20</c:v>
                </c:pt>
                <c:pt idx="1">
                  <c:v>15</c:v>
                </c:pt>
                <c:pt idx="2">
                  <c:v>8</c:v>
                </c:pt>
                <c:pt idx="3">
                  <c:v>3</c:v>
                </c:pt>
                <c:pt idx="4">
                  <c:v>30</c:v>
                </c:pt>
                <c:pt idx="5">
                  <c:v>20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5</c:v>
                </c:pt>
                <c:pt idx="11">
                  <c:v>3</c:v>
                </c:pt>
                <c:pt idx="14">
                  <c:v>50</c:v>
                </c:pt>
                <c:pt idx="15">
                  <c:v>40</c:v>
                </c:pt>
                <c:pt idx="16">
                  <c:v>30</c:v>
                </c:pt>
                <c:pt idx="17">
                  <c:v>20</c:v>
                </c:pt>
                <c:pt idx="18">
                  <c:v>15</c:v>
                </c:pt>
                <c:pt idx="19">
                  <c:v>10</c:v>
                </c:pt>
                <c:pt idx="20">
                  <c:v>5</c:v>
                </c:pt>
                <c:pt idx="21">
                  <c:v>3</c:v>
                </c:pt>
                <c:pt idx="22">
                  <c:v>30</c:v>
                </c:pt>
                <c:pt idx="23">
                  <c:v>20</c:v>
                </c:pt>
                <c:pt idx="24">
                  <c:v>15</c:v>
                </c:pt>
                <c:pt idx="25">
                  <c:v>10</c:v>
                </c:pt>
                <c:pt idx="26">
                  <c:v>5</c:v>
                </c:pt>
                <c:pt idx="27">
                  <c:v>3</c:v>
                </c:pt>
                <c:pt idx="28">
                  <c:v>10</c:v>
                </c:pt>
                <c:pt idx="29">
                  <c:v>5</c:v>
                </c:pt>
                <c:pt idx="30">
                  <c:v>3</c:v>
                </c:pt>
                <c:pt idx="31">
                  <c:v>30</c:v>
                </c:pt>
                <c:pt idx="32">
                  <c:v>20</c:v>
                </c:pt>
                <c:pt idx="33">
                  <c:v>10</c:v>
                </c:pt>
                <c:pt idx="34">
                  <c:v>5</c:v>
                </c:pt>
                <c:pt idx="35">
                  <c:v>3</c:v>
                </c:pt>
                <c:pt idx="36">
                  <c:v>20</c:v>
                </c:pt>
                <c:pt idx="37">
                  <c:v>10</c:v>
                </c:pt>
                <c:pt idx="38">
                  <c:v>5</c:v>
                </c:pt>
                <c:pt idx="39">
                  <c:v>3</c:v>
                </c:pt>
                <c:pt idx="40">
                  <c:v>20</c:v>
                </c:pt>
                <c:pt idx="41">
                  <c:v>10</c:v>
                </c:pt>
                <c:pt idx="42">
                  <c:v>5</c:v>
                </c:pt>
                <c:pt idx="43">
                  <c:v>3</c:v>
                </c:pt>
                <c:pt idx="44">
                  <c:v>30</c:v>
                </c:pt>
                <c:pt idx="45">
                  <c:v>20</c:v>
                </c:pt>
                <c:pt idx="46">
                  <c:v>10</c:v>
                </c:pt>
                <c:pt idx="47">
                  <c:v>5</c:v>
                </c:pt>
                <c:pt idx="48">
                  <c:v>3</c:v>
                </c:pt>
                <c:pt idx="49">
                  <c:v>30</c:v>
                </c:pt>
                <c:pt idx="50">
                  <c:v>20</c:v>
                </c:pt>
                <c:pt idx="51">
                  <c:v>10</c:v>
                </c:pt>
                <c:pt idx="52">
                  <c:v>5</c:v>
                </c:pt>
              </c:numCache>
            </c:numRef>
          </c:xVal>
          <c:yVal>
            <c:numRef>
              <c:f>'Oz Lotto Regression'!$O$45:$O$97</c:f>
              <c:numCache>
                <c:formatCode>_-* #,##0.0_-;\-* #,##0.0_-;_-* "-"??_-;_-@_-</c:formatCode>
                <c:ptCount val="53"/>
                <c:pt idx="0">
                  <c:v>20.737410487410486</c:v>
                </c:pt>
                <c:pt idx="1">
                  <c:v>14.729771309771309</c:v>
                </c:pt>
                <c:pt idx="2">
                  <c:v>11.997695888195887</c:v>
                </c:pt>
                <c:pt idx="3">
                  <c:v>9.1288488103488099</c:v>
                </c:pt>
                <c:pt idx="4">
                  <c:v>31.100381612381607</c:v>
                </c:pt>
                <c:pt idx="5">
                  <c:v>24.152813005313007</c:v>
                </c:pt>
                <c:pt idx="6">
                  <c:v>18.082208708708706</c:v>
                </c:pt>
                <c:pt idx="7">
                  <c:v>9.3893035343035329</c:v>
                </c:pt>
                <c:pt idx="8">
                  <c:v>8.5277261492261491</c:v>
                </c:pt>
                <c:pt idx="9">
                  <c:v>14.163772002772003</c:v>
                </c:pt>
                <c:pt idx="10">
                  <c:v>10.258208362208363</c:v>
                </c:pt>
                <c:pt idx="11">
                  <c:v>9.2092929082929071</c:v>
                </c:pt>
                <c:pt idx="14">
                  <c:v>40.500575652575648</c:v>
                </c:pt>
                <c:pt idx="15">
                  <c:v>32.184130399630398</c:v>
                </c:pt>
                <c:pt idx="16">
                  <c:v>26.490850080850084</c:v>
                </c:pt>
                <c:pt idx="17">
                  <c:v>19.880151651651651</c:v>
                </c:pt>
                <c:pt idx="18">
                  <c:v>17.853845345345345</c:v>
                </c:pt>
                <c:pt idx="19">
                  <c:v>14.501044583044585</c:v>
                </c:pt>
                <c:pt idx="20">
                  <c:v>9.2870157080157067</c:v>
                </c:pt>
                <c:pt idx="21">
                  <c:v>8.4330546315546311</c:v>
                </c:pt>
                <c:pt idx="22">
                  <c:v>26.420194848694845</c:v>
                </c:pt>
                <c:pt idx="23">
                  <c:v>21.005378840378839</c:v>
                </c:pt>
                <c:pt idx="24">
                  <c:v>14.203781011781011</c:v>
                </c:pt>
                <c:pt idx="25">
                  <c:v>12.154527258027258</c:v>
                </c:pt>
                <c:pt idx="26">
                  <c:v>9.2081954261954255</c:v>
                </c:pt>
                <c:pt idx="27">
                  <c:v>8.3208568953568953</c:v>
                </c:pt>
                <c:pt idx="28">
                  <c:v>14.653323169323169</c:v>
                </c:pt>
                <c:pt idx="29">
                  <c:v>9.2930704550704544</c:v>
                </c:pt>
                <c:pt idx="30">
                  <c:v>8.6803522753522753</c:v>
                </c:pt>
                <c:pt idx="31">
                  <c:v>29.189057750057742</c:v>
                </c:pt>
                <c:pt idx="32">
                  <c:v>22.289923538923535</c:v>
                </c:pt>
                <c:pt idx="33">
                  <c:v>12.713646107646106</c:v>
                </c:pt>
                <c:pt idx="34">
                  <c:v>9.3036103026103003</c:v>
                </c:pt>
                <c:pt idx="35">
                  <c:v>8.3911663201663202</c:v>
                </c:pt>
                <c:pt idx="36">
                  <c:v>20.429754215754212</c:v>
                </c:pt>
                <c:pt idx="37">
                  <c:v>14.5575610995611</c:v>
                </c:pt>
                <c:pt idx="38">
                  <c:v>10.458440863940863</c:v>
                </c:pt>
                <c:pt idx="39">
                  <c:v>7.8977346962346964</c:v>
                </c:pt>
                <c:pt idx="40">
                  <c:v>17.313915453915449</c:v>
                </c:pt>
                <c:pt idx="41">
                  <c:v>13.397146454146457</c:v>
                </c:pt>
                <c:pt idx="42">
                  <c:v>9.865218988218988</c:v>
                </c:pt>
                <c:pt idx="43">
                  <c:v>8.7031183876183871</c:v>
                </c:pt>
                <c:pt idx="44">
                  <c:v>29.237498960498957</c:v>
                </c:pt>
                <c:pt idx="45">
                  <c:v>21.594296604296606</c:v>
                </c:pt>
                <c:pt idx="46">
                  <c:v>14.635402517902518</c:v>
                </c:pt>
                <c:pt idx="47">
                  <c:v>9.7251242781242766</c:v>
                </c:pt>
                <c:pt idx="48">
                  <c:v>9.2700094710094678</c:v>
                </c:pt>
                <c:pt idx="49">
                  <c:v>24.316174405174401</c:v>
                </c:pt>
                <c:pt idx="50">
                  <c:v>20.387653730653728</c:v>
                </c:pt>
                <c:pt idx="51">
                  <c:v>14.791094479094479</c:v>
                </c:pt>
                <c:pt idx="52">
                  <c:v>10.052417532917532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4C-4A12-A465-9F0883AFF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Regression'!$AE$45:$AE$96</c:f>
              <c:numCache>
                <c:formatCode>_-* #,##0.0_-;\-* #,##0.0_-;_-* "-"??_-;_-@_-</c:formatCode>
                <c:ptCount val="52"/>
                <c:pt idx="0">
                  <c:v>10</c:v>
                </c:pt>
                <c:pt idx="1">
                  <c:v>15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70</c:v>
                </c:pt>
                <c:pt idx="6">
                  <c:v>2</c:v>
                </c:pt>
                <c:pt idx="7">
                  <c:v>5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  <c:pt idx="11">
                  <c:v>2</c:v>
                </c:pt>
                <c:pt idx="12">
                  <c:v>5</c:v>
                </c:pt>
                <c:pt idx="13">
                  <c:v>10</c:v>
                </c:pt>
                <c:pt idx="14">
                  <c:v>2</c:v>
                </c:pt>
                <c:pt idx="15">
                  <c:v>5</c:v>
                </c:pt>
                <c:pt idx="16">
                  <c:v>10</c:v>
                </c:pt>
                <c:pt idx="17">
                  <c:v>15</c:v>
                </c:pt>
                <c:pt idx="18">
                  <c:v>2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5</c:v>
                </c:pt>
                <c:pt idx="25">
                  <c:v>10</c:v>
                </c:pt>
                <c:pt idx="26">
                  <c:v>2</c:v>
                </c:pt>
                <c:pt idx="27">
                  <c:v>5</c:v>
                </c:pt>
                <c:pt idx="28">
                  <c:v>10</c:v>
                </c:pt>
                <c:pt idx="29">
                  <c:v>15</c:v>
                </c:pt>
                <c:pt idx="30">
                  <c:v>20</c:v>
                </c:pt>
                <c:pt idx="31">
                  <c:v>2</c:v>
                </c:pt>
                <c:pt idx="32">
                  <c:v>5</c:v>
                </c:pt>
                <c:pt idx="33">
                  <c:v>10</c:v>
                </c:pt>
                <c:pt idx="34">
                  <c:v>15</c:v>
                </c:pt>
                <c:pt idx="35">
                  <c:v>30</c:v>
                </c:pt>
                <c:pt idx="36">
                  <c:v>40</c:v>
                </c:pt>
                <c:pt idx="37">
                  <c:v>50</c:v>
                </c:pt>
                <c:pt idx="38">
                  <c:v>70</c:v>
                </c:pt>
                <c:pt idx="39">
                  <c:v>2</c:v>
                </c:pt>
                <c:pt idx="40">
                  <c:v>5</c:v>
                </c:pt>
                <c:pt idx="41">
                  <c:v>10</c:v>
                </c:pt>
                <c:pt idx="42">
                  <c:v>15</c:v>
                </c:pt>
                <c:pt idx="43">
                  <c:v>2</c:v>
                </c:pt>
                <c:pt idx="44">
                  <c:v>5</c:v>
                </c:pt>
                <c:pt idx="45">
                  <c:v>10</c:v>
                </c:pt>
                <c:pt idx="46">
                  <c:v>15</c:v>
                </c:pt>
                <c:pt idx="47">
                  <c:v>30</c:v>
                </c:pt>
                <c:pt idx="48">
                  <c:v>40</c:v>
                </c:pt>
                <c:pt idx="49">
                  <c:v>50</c:v>
                </c:pt>
                <c:pt idx="50">
                  <c:v>70</c:v>
                </c:pt>
                <c:pt idx="51">
                  <c:v>80</c:v>
                </c:pt>
              </c:numCache>
            </c:numRef>
          </c:xVal>
          <c:yVal>
            <c:numRef>
              <c:f>'Oz Lotto Regression'!$AD$45:$AD$96</c:f>
              <c:numCache>
                <c:formatCode>_-* #,##0.0_-;\-* #,##0.0_-;_-* "-"??_-;_-@_-</c:formatCode>
                <c:ptCount val="52"/>
                <c:pt idx="0">
                  <c:v>14.432465953785647</c:v>
                </c:pt>
                <c:pt idx="1">
                  <c:v>16.65409587020649</c:v>
                </c:pt>
                <c:pt idx="2">
                  <c:v>25.270413102261557</c:v>
                </c:pt>
                <c:pt idx="3">
                  <c:v>31.103626106194692</c:v>
                </c:pt>
                <c:pt idx="4">
                  <c:v>38.919567477876122</c:v>
                </c:pt>
                <c:pt idx="5">
                  <c:v>64.902499508357934</c:v>
                </c:pt>
                <c:pt idx="6">
                  <c:v>8.2003893805309751</c:v>
                </c:pt>
                <c:pt idx="7">
                  <c:v>12.572713987217307</c:v>
                </c:pt>
                <c:pt idx="8">
                  <c:v>16.189873156342188</c:v>
                </c:pt>
                <c:pt idx="9">
                  <c:v>19.022890363815144</c:v>
                </c:pt>
                <c:pt idx="10">
                  <c:v>27.769140117994109</c:v>
                </c:pt>
                <c:pt idx="11">
                  <c:v>8.1365242133726667</c:v>
                </c:pt>
                <c:pt idx="12">
                  <c:v>11.159904744346118</c:v>
                </c:pt>
                <c:pt idx="13">
                  <c:v>15.740513520157329</c:v>
                </c:pt>
                <c:pt idx="14">
                  <c:v>7.8857375860373651</c:v>
                </c:pt>
                <c:pt idx="15">
                  <c:v>9.8228212881022632</c:v>
                </c:pt>
                <c:pt idx="16">
                  <c:v>13.01887917895772</c:v>
                </c:pt>
                <c:pt idx="17">
                  <c:v>15.058996435594889</c:v>
                </c:pt>
                <c:pt idx="18">
                  <c:v>7.1545302359882017</c:v>
                </c:pt>
                <c:pt idx="19">
                  <c:v>10.972583579154378</c:v>
                </c:pt>
                <c:pt idx="20">
                  <c:v>16.422454768928223</c:v>
                </c:pt>
                <c:pt idx="21">
                  <c:v>7.8442410275319583</c:v>
                </c:pt>
                <c:pt idx="22">
                  <c:v>7.4707037856440515</c:v>
                </c:pt>
                <c:pt idx="23">
                  <c:v>7.1719990167158327</c:v>
                </c:pt>
                <c:pt idx="24">
                  <c:v>8.9102823254670618</c:v>
                </c:pt>
                <c:pt idx="25">
                  <c:v>11.618528392330388</c:v>
                </c:pt>
                <c:pt idx="26">
                  <c:v>6.3681119714847609</c:v>
                </c:pt>
                <c:pt idx="27">
                  <c:v>8.7692042772861374</c:v>
                </c:pt>
                <c:pt idx="28">
                  <c:v>12.843387659783678</c:v>
                </c:pt>
                <c:pt idx="29">
                  <c:v>21.724946165191749</c:v>
                </c:pt>
                <c:pt idx="30">
                  <c:v>23.609991027531958</c:v>
                </c:pt>
                <c:pt idx="31">
                  <c:v>8.0528570550639156</c:v>
                </c:pt>
                <c:pt idx="32">
                  <c:v>9.0047595870206507</c:v>
                </c:pt>
                <c:pt idx="33">
                  <c:v>12.443073623402164</c:v>
                </c:pt>
                <c:pt idx="34">
                  <c:v>14.410134709931175</c:v>
                </c:pt>
                <c:pt idx="35">
                  <c:v>24.266503441494596</c:v>
                </c:pt>
                <c:pt idx="36">
                  <c:v>31.614050884955756</c:v>
                </c:pt>
                <c:pt idx="37">
                  <c:v>43.83355334316618</c:v>
                </c:pt>
                <c:pt idx="38">
                  <c:v>60.59430961160276</c:v>
                </c:pt>
                <c:pt idx="39">
                  <c:v>8.6024308013766007</c:v>
                </c:pt>
                <c:pt idx="40">
                  <c:v>10.928040437561458</c:v>
                </c:pt>
                <c:pt idx="41">
                  <c:v>15.318182645034415</c:v>
                </c:pt>
                <c:pt idx="42">
                  <c:v>16.349433997050152</c:v>
                </c:pt>
                <c:pt idx="43">
                  <c:v>7.7817809734513288</c:v>
                </c:pt>
                <c:pt idx="44">
                  <c:v>9.5045864060963652</c:v>
                </c:pt>
                <c:pt idx="45">
                  <c:v>14.241673672566375</c:v>
                </c:pt>
                <c:pt idx="46">
                  <c:v>18.252359636184863</c:v>
                </c:pt>
                <c:pt idx="47">
                  <c:v>27.160876106194692</c:v>
                </c:pt>
                <c:pt idx="48">
                  <c:v>33.138245329400206</c:v>
                </c:pt>
                <c:pt idx="49">
                  <c:v>40.267214355948873</c:v>
                </c:pt>
                <c:pt idx="50">
                  <c:v>61.295996435594908</c:v>
                </c:pt>
                <c:pt idx="51">
                  <c:v>80.928666175024588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60-4F6B-AD6E-C50A69C74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602777777777776"/>
                  <c:y val="-8.24923611111111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Regression'!$AE$45:$AE$96</c:f>
              <c:numCache>
                <c:formatCode>_-* #,##0.0_-;\-* #,##0.0_-;_-* "-"??_-;_-@_-</c:formatCode>
                <c:ptCount val="52"/>
                <c:pt idx="0">
                  <c:v>10</c:v>
                </c:pt>
                <c:pt idx="1">
                  <c:v>15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70</c:v>
                </c:pt>
                <c:pt idx="6">
                  <c:v>2</c:v>
                </c:pt>
                <c:pt idx="7">
                  <c:v>5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  <c:pt idx="11">
                  <c:v>2</c:v>
                </c:pt>
                <c:pt idx="12">
                  <c:v>5</c:v>
                </c:pt>
                <c:pt idx="13">
                  <c:v>10</c:v>
                </c:pt>
                <c:pt idx="14">
                  <c:v>2</c:v>
                </c:pt>
                <c:pt idx="15">
                  <c:v>5</c:v>
                </c:pt>
                <c:pt idx="16">
                  <c:v>10</c:v>
                </c:pt>
                <c:pt idx="17">
                  <c:v>15</c:v>
                </c:pt>
                <c:pt idx="18">
                  <c:v>2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5</c:v>
                </c:pt>
                <c:pt idx="25">
                  <c:v>10</c:v>
                </c:pt>
                <c:pt idx="26">
                  <c:v>2</c:v>
                </c:pt>
                <c:pt idx="27">
                  <c:v>5</c:v>
                </c:pt>
                <c:pt idx="28">
                  <c:v>10</c:v>
                </c:pt>
                <c:pt idx="29">
                  <c:v>15</c:v>
                </c:pt>
                <c:pt idx="30">
                  <c:v>20</c:v>
                </c:pt>
                <c:pt idx="31">
                  <c:v>2</c:v>
                </c:pt>
                <c:pt idx="32">
                  <c:v>5</c:v>
                </c:pt>
                <c:pt idx="33">
                  <c:v>10</c:v>
                </c:pt>
                <c:pt idx="34">
                  <c:v>15</c:v>
                </c:pt>
                <c:pt idx="35">
                  <c:v>30</c:v>
                </c:pt>
                <c:pt idx="36">
                  <c:v>40</c:v>
                </c:pt>
                <c:pt idx="37">
                  <c:v>50</c:v>
                </c:pt>
                <c:pt idx="38">
                  <c:v>70</c:v>
                </c:pt>
                <c:pt idx="39">
                  <c:v>2</c:v>
                </c:pt>
                <c:pt idx="40">
                  <c:v>5</c:v>
                </c:pt>
                <c:pt idx="41">
                  <c:v>10</c:v>
                </c:pt>
                <c:pt idx="42">
                  <c:v>15</c:v>
                </c:pt>
                <c:pt idx="43">
                  <c:v>2</c:v>
                </c:pt>
                <c:pt idx="44">
                  <c:v>5</c:v>
                </c:pt>
                <c:pt idx="45">
                  <c:v>10</c:v>
                </c:pt>
                <c:pt idx="46">
                  <c:v>15</c:v>
                </c:pt>
                <c:pt idx="47">
                  <c:v>30</c:v>
                </c:pt>
                <c:pt idx="48">
                  <c:v>40</c:v>
                </c:pt>
                <c:pt idx="49">
                  <c:v>50</c:v>
                </c:pt>
                <c:pt idx="50">
                  <c:v>70</c:v>
                </c:pt>
                <c:pt idx="51">
                  <c:v>80</c:v>
                </c:pt>
              </c:numCache>
            </c:numRef>
          </c:xVal>
          <c:yVal>
            <c:numRef>
              <c:f>'Oz Lotto Regression'!$AD$45:$AD$96</c:f>
              <c:numCache>
                <c:formatCode>_-* #,##0.0_-;\-* #,##0.0_-;_-* "-"??_-;_-@_-</c:formatCode>
                <c:ptCount val="52"/>
                <c:pt idx="0">
                  <c:v>14.432465953785647</c:v>
                </c:pt>
                <c:pt idx="1">
                  <c:v>16.65409587020649</c:v>
                </c:pt>
                <c:pt idx="2">
                  <c:v>25.270413102261557</c:v>
                </c:pt>
                <c:pt idx="3">
                  <c:v>31.103626106194692</c:v>
                </c:pt>
                <c:pt idx="4">
                  <c:v>38.919567477876122</c:v>
                </c:pt>
                <c:pt idx="5">
                  <c:v>64.902499508357934</c:v>
                </c:pt>
                <c:pt idx="6">
                  <c:v>8.2003893805309751</c:v>
                </c:pt>
                <c:pt idx="7">
                  <c:v>12.572713987217307</c:v>
                </c:pt>
                <c:pt idx="8">
                  <c:v>16.189873156342188</c:v>
                </c:pt>
                <c:pt idx="9">
                  <c:v>19.022890363815144</c:v>
                </c:pt>
                <c:pt idx="10">
                  <c:v>27.769140117994109</c:v>
                </c:pt>
                <c:pt idx="11">
                  <c:v>8.1365242133726667</c:v>
                </c:pt>
                <c:pt idx="12">
                  <c:v>11.159904744346118</c:v>
                </c:pt>
                <c:pt idx="13">
                  <c:v>15.740513520157329</c:v>
                </c:pt>
                <c:pt idx="14">
                  <c:v>7.8857375860373651</c:v>
                </c:pt>
                <c:pt idx="15">
                  <c:v>9.8228212881022632</c:v>
                </c:pt>
                <c:pt idx="16">
                  <c:v>13.01887917895772</c:v>
                </c:pt>
                <c:pt idx="17">
                  <c:v>15.058996435594889</c:v>
                </c:pt>
                <c:pt idx="18">
                  <c:v>7.1545302359882017</c:v>
                </c:pt>
                <c:pt idx="19">
                  <c:v>10.972583579154378</c:v>
                </c:pt>
                <c:pt idx="20">
                  <c:v>16.422454768928223</c:v>
                </c:pt>
                <c:pt idx="21">
                  <c:v>7.8442410275319583</c:v>
                </c:pt>
                <c:pt idx="22">
                  <c:v>7.4707037856440515</c:v>
                </c:pt>
                <c:pt idx="23">
                  <c:v>7.1719990167158327</c:v>
                </c:pt>
                <c:pt idx="24">
                  <c:v>8.9102823254670618</c:v>
                </c:pt>
                <c:pt idx="25">
                  <c:v>11.618528392330388</c:v>
                </c:pt>
                <c:pt idx="26">
                  <c:v>6.3681119714847609</c:v>
                </c:pt>
                <c:pt idx="27">
                  <c:v>8.7692042772861374</c:v>
                </c:pt>
                <c:pt idx="28">
                  <c:v>12.843387659783678</c:v>
                </c:pt>
                <c:pt idx="29">
                  <c:v>21.724946165191749</c:v>
                </c:pt>
                <c:pt idx="30">
                  <c:v>23.609991027531958</c:v>
                </c:pt>
                <c:pt idx="31">
                  <c:v>8.0528570550639156</c:v>
                </c:pt>
                <c:pt idx="32">
                  <c:v>9.0047595870206507</c:v>
                </c:pt>
                <c:pt idx="33">
                  <c:v>12.443073623402164</c:v>
                </c:pt>
                <c:pt idx="34">
                  <c:v>14.410134709931175</c:v>
                </c:pt>
                <c:pt idx="35">
                  <c:v>24.266503441494596</c:v>
                </c:pt>
                <c:pt idx="36">
                  <c:v>31.614050884955756</c:v>
                </c:pt>
                <c:pt idx="37">
                  <c:v>43.83355334316618</c:v>
                </c:pt>
                <c:pt idx="38">
                  <c:v>60.59430961160276</c:v>
                </c:pt>
                <c:pt idx="39">
                  <c:v>8.6024308013766007</c:v>
                </c:pt>
                <c:pt idx="40">
                  <c:v>10.928040437561458</c:v>
                </c:pt>
                <c:pt idx="41">
                  <c:v>15.318182645034415</c:v>
                </c:pt>
                <c:pt idx="42">
                  <c:v>16.349433997050152</c:v>
                </c:pt>
                <c:pt idx="43">
                  <c:v>7.7817809734513288</c:v>
                </c:pt>
                <c:pt idx="44">
                  <c:v>9.5045864060963652</c:v>
                </c:pt>
                <c:pt idx="45">
                  <c:v>14.241673672566375</c:v>
                </c:pt>
                <c:pt idx="46">
                  <c:v>18.252359636184863</c:v>
                </c:pt>
                <c:pt idx="47">
                  <c:v>27.160876106194692</c:v>
                </c:pt>
                <c:pt idx="48">
                  <c:v>33.138245329400206</c:v>
                </c:pt>
                <c:pt idx="49">
                  <c:v>40.267214355948873</c:v>
                </c:pt>
                <c:pt idx="50">
                  <c:v>61.295996435594908</c:v>
                </c:pt>
                <c:pt idx="51">
                  <c:v>80.928666175024588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90-49B2-B010-961E014C2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Regression'!$BI$45:$BI$96</c:f>
              <c:numCache>
                <c:formatCode>_-* #,##0.0_-;\-* #,##0.0_-;_-* "-"??_-;_-@_-</c:formatCode>
                <c:ptCount val="52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15</c:v>
                </c:pt>
                <c:pt idx="9">
                  <c:v>5</c:v>
                </c:pt>
                <c:pt idx="10">
                  <c:v>2</c:v>
                </c:pt>
                <c:pt idx="11">
                  <c:v>35</c:v>
                </c:pt>
                <c:pt idx="12">
                  <c:v>25</c:v>
                </c:pt>
                <c:pt idx="13">
                  <c:v>15</c:v>
                </c:pt>
                <c:pt idx="14">
                  <c:v>5</c:v>
                </c:pt>
                <c:pt idx="15">
                  <c:v>2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5</c:v>
                </c:pt>
                <c:pt idx="20">
                  <c:v>2</c:v>
                </c:pt>
                <c:pt idx="21">
                  <c:v>30</c:v>
                </c:pt>
                <c:pt idx="22">
                  <c:v>20</c:v>
                </c:pt>
                <c:pt idx="23">
                  <c:v>10</c:v>
                </c:pt>
                <c:pt idx="24">
                  <c:v>5</c:v>
                </c:pt>
                <c:pt idx="25">
                  <c:v>2</c:v>
                </c:pt>
                <c:pt idx="26">
                  <c:v>10</c:v>
                </c:pt>
                <c:pt idx="27">
                  <c:v>5</c:v>
                </c:pt>
                <c:pt idx="28">
                  <c:v>2</c:v>
                </c:pt>
                <c:pt idx="29">
                  <c:v>5</c:v>
                </c:pt>
                <c:pt idx="30">
                  <c:v>2</c:v>
                </c:pt>
                <c:pt idx="31">
                  <c:v>2</c:v>
                </c:pt>
                <c:pt idx="32">
                  <c:v>30</c:v>
                </c:pt>
                <c:pt idx="33">
                  <c:v>20</c:v>
                </c:pt>
                <c:pt idx="34">
                  <c:v>10</c:v>
                </c:pt>
                <c:pt idx="35">
                  <c:v>5</c:v>
                </c:pt>
                <c:pt idx="36">
                  <c:v>2</c:v>
                </c:pt>
                <c:pt idx="37">
                  <c:v>2</c:v>
                </c:pt>
                <c:pt idx="38">
                  <c:v>10</c:v>
                </c:pt>
                <c:pt idx="39">
                  <c:v>5</c:v>
                </c:pt>
                <c:pt idx="40">
                  <c:v>2</c:v>
                </c:pt>
                <c:pt idx="41">
                  <c:v>20</c:v>
                </c:pt>
                <c:pt idx="42">
                  <c:v>10</c:v>
                </c:pt>
                <c:pt idx="43">
                  <c:v>5</c:v>
                </c:pt>
                <c:pt idx="44">
                  <c:v>2</c:v>
                </c:pt>
                <c:pt idx="45">
                  <c:v>10</c:v>
                </c:pt>
                <c:pt idx="46">
                  <c:v>5</c:v>
                </c:pt>
                <c:pt idx="47">
                  <c:v>2</c:v>
                </c:pt>
                <c:pt idx="48">
                  <c:v>10</c:v>
                </c:pt>
                <c:pt idx="49">
                  <c:v>5</c:v>
                </c:pt>
                <c:pt idx="50">
                  <c:v>2</c:v>
                </c:pt>
                <c:pt idx="51">
                  <c:v>50</c:v>
                </c:pt>
              </c:numCache>
            </c:numRef>
          </c:xVal>
          <c:yVal>
            <c:numRef>
              <c:f>'Oz Lotto Regression'!$BH$45:$BH$96</c:f>
              <c:numCache>
                <c:formatCode>_-* #,##0.0_-;\-* #,##0.0_-;_-* "-"??_-;_-@_-</c:formatCode>
                <c:ptCount val="52"/>
                <c:pt idx="0">
                  <c:v>14.779653146509341</c:v>
                </c:pt>
                <c:pt idx="1">
                  <c:v>10.317431661750248</c:v>
                </c:pt>
                <c:pt idx="2">
                  <c:v>8.3530850540806298</c:v>
                </c:pt>
                <c:pt idx="3">
                  <c:v>17.663805555555555</c:v>
                </c:pt>
                <c:pt idx="4">
                  <c:v>12.060125245821046</c:v>
                </c:pt>
                <c:pt idx="5">
                  <c:v>8.9172512291052133</c:v>
                </c:pt>
                <c:pt idx="6">
                  <c:v>11.883051745329402</c:v>
                </c:pt>
                <c:pt idx="7">
                  <c:v>8.8425791543756169</c:v>
                </c:pt>
                <c:pt idx="8">
                  <c:v>18.651486111111115</c:v>
                </c:pt>
                <c:pt idx="9">
                  <c:v>11.537908800393316</c:v>
                </c:pt>
                <c:pt idx="10">
                  <c:v>8.6265827187807282</c:v>
                </c:pt>
                <c:pt idx="11">
                  <c:v>28.355120329400204</c:v>
                </c:pt>
                <c:pt idx="12">
                  <c:v>22.806144665683387</c:v>
                </c:pt>
                <c:pt idx="13">
                  <c:v>19.457857669616523</c:v>
                </c:pt>
                <c:pt idx="14">
                  <c:v>11.687564282202558</c:v>
                </c:pt>
                <c:pt idx="15">
                  <c:v>8.7704263765978379</c:v>
                </c:pt>
                <c:pt idx="16">
                  <c:v>30.61772541789578</c:v>
                </c:pt>
                <c:pt idx="17">
                  <c:v>25.277055678466084</c:v>
                </c:pt>
                <c:pt idx="18">
                  <c:v>19.346708579154384</c:v>
                </c:pt>
                <c:pt idx="19">
                  <c:v>10.839589724680433</c:v>
                </c:pt>
                <c:pt idx="20">
                  <c:v>8.8678317354965603</c:v>
                </c:pt>
                <c:pt idx="21">
                  <c:v>34.741267207472966</c:v>
                </c:pt>
                <c:pt idx="22">
                  <c:v>25.500232177974436</c:v>
                </c:pt>
                <c:pt idx="23">
                  <c:v>17.438672812192728</c:v>
                </c:pt>
                <c:pt idx="24">
                  <c:v>12.002894051130779</c:v>
                </c:pt>
                <c:pt idx="25">
                  <c:v>9.4192496312684373</c:v>
                </c:pt>
                <c:pt idx="26">
                  <c:v>17.519683136676502</c:v>
                </c:pt>
                <c:pt idx="27">
                  <c:v>12.438482669616521</c:v>
                </c:pt>
                <c:pt idx="28">
                  <c:v>8.8995133972468068</c:v>
                </c:pt>
                <c:pt idx="29">
                  <c:v>12.264618362831861</c:v>
                </c:pt>
                <c:pt idx="30">
                  <c:v>9.5082856440511332</c:v>
                </c:pt>
                <c:pt idx="31">
                  <c:v>9.2193061701081618</c:v>
                </c:pt>
                <c:pt idx="32">
                  <c:v>35.676691863323512</c:v>
                </c:pt>
                <c:pt idx="33">
                  <c:v>26.046122418879062</c:v>
                </c:pt>
                <c:pt idx="34">
                  <c:v>16.37474410029499</c:v>
                </c:pt>
                <c:pt idx="35">
                  <c:v>11.575730580137661</c:v>
                </c:pt>
                <c:pt idx="36">
                  <c:v>9.5987624139626355</c:v>
                </c:pt>
                <c:pt idx="37">
                  <c:v>9.2161929695181914</c:v>
                </c:pt>
                <c:pt idx="38">
                  <c:v>18.094398230088498</c:v>
                </c:pt>
                <c:pt idx="39">
                  <c:v>13.31184218289086</c:v>
                </c:pt>
                <c:pt idx="40">
                  <c:v>10.243366887905605</c:v>
                </c:pt>
                <c:pt idx="41">
                  <c:v>23.236850294985253</c:v>
                </c:pt>
                <c:pt idx="42">
                  <c:v>17.498731194690269</c:v>
                </c:pt>
                <c:pt idx="43">
                  <c:v>12.143818829891842</c:v>
                </c:pt>
                <c:pt idx="44">
                  <c:v>9.9890770648967546</c:v>
                </c:pt>
                <c:pt idx="45">
                  <c:v>22.205153146509346</c:v>
                </c:pt>
                <c:pt idx="46">
                  <c:v>13.638125368731565</c:v>
                </c:pt>
                <c:pt idx="47">
                  <c:v>10.415211897738448</c:v>
                </c:pt>
                <c:pt idx="48">
                  <c:v>19.466334316617509</c:v>
                </c:pt>
                <c:pt idx="49">
                  <c:v>13.272160766961655</c:v>
                </c:pt>
                <c:pt idx="50">
                  <c:v>10.57330162241888</c:v>
                </c:pt>
                <c:pt idx="51">
                  <c:v>45.746976155358901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3-4679-9E68-DEACBE04D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Regression'!$BI$45:$BI$96</c:f>
              <c:numCache>
                <c:formatCode>_-* #,##0.0_-;\-* #,##0.0_-;_-* "-"??_-;_-@_-</c:formatCode>
                <c:ptCount val="52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15</c:v>
                </c:pt>
                <c:pt idx="9">
                  <c:v>5</c:v>
                </c:pt>
                <c:pt idx="10">
                  <c:v>2</c:v>
                </c:pt>
                <c:pt idx="11">
                  <c:v>35</c:v>
                </c:pt>
                <c:pt idx="12">
                  <c:v>25</c:v>
                </c:pt>
                <c:pt idx="13">
                  <c:v>15</c:v>
                </c:pt>
                <c:pt idx="14">
                  <c:v>5</c:v>
                </c:pt>
                <c:pt idx="15">
                  <c:v>2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5</c:v>
                </c:pt>
                <c:pt idx="20">
                  <c:v>2</c:v>
                </c:pt>
                <c:pt idx="21">
                  <c:v>30</c:v>
                </c:pt>
                <c:pt idx="22">
                  <c:v>20</c:v>
                </c:pt>
                <c:pt idx="23">
                  <c:v>10</c:v>
                </c:pt>
                <c:pt idx="24">
                  <c:v>5</c:v>
                </c:pt>
                <c:pt idx="25">
                  <c:v>2</c:v>
                </c:pt>
                <c:pt idx="26">
                  <c:v>10</c:v>
                </c:pt>
                <c:pt idx="27">
                  <c:v>5</c:v>
                </c:pt>
                <c:pt idx="28">
                  <c:v>2</c:v>
                </c:pt>
                <c:pt idx="29">
                  <c:v>5</c:v>
                </c:pt>
                <c:pt idx="30">
                  <c:v>2</c:v>
                </c:pt>
                <c:pt idx="31">
                  <c:v>2</c:v>
                </c:pt>
                <c:pt idx="32">
                  <c:v>30</c:v>
                </c:pt>
                <c:pt idx="33">
                  <c:v>20</c:v>
                </c:pt>
                <c:pt idx="34">
                  <c:v>10</c:v>
                </c:pt>
                <c:pt idx="35">
                  <c:v>5</c:v>
                </c:pt>
                <c:pt idx="36">
                  <c:v>2</c:v>
                </c:pt>
                <c:pt idx="37">
                  <c:v>2</c:v>
                </c:pt>
                <c:pt idx="38">
                  <c:v>10</c:v>
                </c:pt>
                <c:pt idx="39">
                  <c:v>5</c:v>
                </c:pt>
                <c:pt idx="40">
                  <c:v>2</c:v>
                </c:pt>
                <c:pt idx="41">
                  <c:v>20</c:v>
                </c:pt>
                <c:pt idx="42">
                  <c:v>10</c:v>
                </c:pt>
                <c:pt idx="43">
                  <c:v>5</c:v>
                </c:pt>
                <c:pt idx="44">
                  <c:v>2</c:v>
                </c:pt>
                <c:pt idx="45">
                  <c:v>10</c:v>
                </c:pt>
                <c:pt idx="46">
                  <c:v>5</c:v>
                </c:pt>
                <c:pt idx="47">
                  <c:v>2</c:v>
                </c:pt>
                <c:pt idx="48">
                  <c:v>10</c:v>
                </c:pt>
                <c:pt idx="49">
                  <c:v>5</c:v>
                </c:pt>
                <c:pt idx="50">
                  <c:v>2</c:v>
                </c:pt>
                <c:pt idx="51">
                  <c:v>50</c:v>
                </c:pt>
              </c:numCache>
            </c:numRef>
          </c:xVal>
          <c:yVal>
            <c:numRef>
              <c:f>'Oz Lotto Regression'!$BH$45:$BH$96</c:f>
              <c:numCache>
                <c:formatCode>_-* #,##0.0_-;\-* #,##0.0_-;_-* "-"??_-;_-@_-</c:formatCode>
                <c:ptCount val="52"/>
                <c:pt idx="0">
                  <c:v>14.779653146509341</c:v>
                </c:pt>
                <c:pt idx="1">
                  <c:v>10.317431661750248</c:v>
                </c:pt>
                <c:pt idx="2">
                  <c:v>8.3530850540806298</c:v>
                </c:pt>
                <c:pt idx="3">
                  <c:v>17.663805555555555</c:v>
                </c:pt>
                <c:pt idx="4">
                  <c:v>12.060125245821046</c:v>
                </c:pt>
                <c:pt idx="5">
                  <c:v>8.9172512291052133</c:v>
                </c:pt>
                <c:pt idx="6">
                  <c:v>11.883051745329402</c:v>
                </c:pt>
                <c:pt idx="7">
                  <c:v>8.8425791543756169</c:v>
                </c:pt>
                <c:pt idx="8">
                  <c:v>18.651486111111115</c:v>
                </c:pt>
                <c:pt idx="9">
                  <c:v>11.537908800393316</c:v>
                </c:pt>
                <c:pt idx="10">
                  <c:v>8.6265827187807282</c:v>
                </c:pt>
                <c:pt idx="11">
                  <c:v>28.355120329400204</c:v>
                </c:pt>
                <c:pt idx="12">
                  <c:v>22.806144665683387</c:v>
                </c:pt>
                <c:pt idx="13">
                  <c:v>19.457857669616523</c:v>
                </c:pt>
                <c:pt idx="14">
                  <c:v>11.687564282202558</c:v>
                </c:pt>
                <c:pt idx="15">
                  <c:v>8.7704263765978379</c:v>
                </c:pt>
                <c:pt idx="16">
                  <c:v>30.61772541789578</c:v>
                </c:pt>
                <c:pt idx="17">
                  <c:v>25.277055678466084</c:v>
                </c:pt>
                <c:pt idx="18">
                  <c:v>19.346708579154384</c:v>
                </c:pt>
                <c:pt idx="19">
                  <c:v>10.839589724680433</c:v>
                </c:pt>
                <c:pt idx="20">
                  <c:v>8.8678317354965603</c:v>
                </c:pt>
                <c:pt idx="21">
                  <c:v>34.741267207472966</c:v>
                </c:pt>
                <c:pt idx="22">
                  <c:v>25.500232177974436</c:v>
                </c:pt>
                <c:pt idx="23">
                  <c:v>17.438672812192728</c:v>
                </c:pt>
                <c:pt idx="24">
                  <c:v>12.002894051130779</c:v>
                </c:pt>
                <c:pt idx="25">
                  <c:v>9.4192496312684373</c:v>
                </c:pt>
                <c:pt idx="26">
                  <c:v>17.519683136676502</c:v>
                </c:pt>
                <c:pt idx="27">
                  <c:v>12.438482669616521</c:v>
                </c:pt>
                <c:pt idx="28">
                  <c:v>8.8995133972468068</c:v>
                </c:pt>
                <c:pt idx="29">
                  <c:v>12.264618362831861</c:v>
                </c:pt>
                <c:pt idx="30">
                  <c:v>9.5082856440511332</c:v>
                </c:pt>
                <c:pt idx="31">
                  <c:v>9.2193061701081618</c:v>
                </c:pt>
                <c:pt idx="32">
                  <c:v>35.676691863323512</c:v>
                </c:pt>
                <c:pt idx="33">
                  <c:v>26.046122418879062</c:v>
                </c:pt>
                <c:pt idx="34">
                  <c:v>16.37474410029499</c:v>
                </c:pt>
                <c:pt idx="35">
                  <c:v>11.575730580137661</c:v>
                </c:pt>
                <c:pt idx="36">
                  <c:v>9.5987624139626355</c:v>
                </c:pt>
                <c:pt idx="37">
                  <c:v>9.2161929695181914</c:v>
                </c:pt>
                <c:pt idx="38">
                  <c:v>18.094398230088498</c:v>
                </c:pt>
                <c:pt idx="39">
                  <c:v>13.31184218289086</c:v>
                </c:pt>
                <c:pt idx="40">
                  <c:v>10.243366887905605</c:v>
                </c:pt>
                <c:pt idx="41">
                  <c:v>23.236850294985253</c:v>
                </c:pt>
                <c:pt idx="42">
                  <c:v>17.498731194690269</c:v>
                </c:pt>
                <c:pt idx="43">
                  <c:v>12.143818829891842</c:v>
                </c:pt>
                <c:pt idx="44">
                  <c:v>9.9890770648967546</c:v>
                </c:pt>
                <c:pt idx="45">
                  <c:v>22.205153146509346</c:v>
                </c:pt>
                <c:pt idx="46">
                  <c:v>13.638125368731565</c:v>
                </c:pt>
                <c:pt idx="47">
                  <c:v>10.415211897738448</c:v>
                </c:pt>
                <c:pt idx="48">
                  <c:v>19.466334316617509</c:v>
                </c:pt>
                <c:pt idx="49">
                  <c:v>13.272160766961655</c:v>
                </c:pt>
                <c:pt idx="50">
                  <c:v>10.57330162241888</c:v>
                </c:pt>
                <c:pt idx="51">
                  <c:v>45.746976155358901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B7-4985-A295-528E2E6E6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Regression'!$BX$45:$BX$97</c:f>
              <c:numCache>
                <c:formatCode>_-* #,##0.0_-;\-* #,##0.0_-;_-* "-"??_-;_-@_-</c:formatCode>
                <c:ptCount val="53"/>
                <c:pt idx="0">
                  <c:v>20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20</c:v>
                </c:pt>
                <c:pt idx="16">
                  <c:v>30</c:v>
                </c:pt>
                <c:pt idx="17">
                  <c:v>50</c:v>
                </c:pt>
                <c:pt idx="18">
                  <c:v>2</c:v>
                </c:pt>
                <c:pt idx="19">
                  <c:v>5</c:v>
                </c:pt>
                <c:pt idx="20">
                  <c:v>10</c:v>
                </c:pt>
                <c:pt idx="21">
                  <c:v>20</c:v>
                </c:pt>
                <c:pt idx="22">
                  <c:v>30</c:v>
                </c:pt>
                <c:pt idx="23">
                  <c:v>2</c:v>
                </c:pt>
                <c:pt idx="24">
                  <c:v>2</c:v>
                </c:pt>
                <c:pt idx="25">
                  <c:v>5</c:v>
                </c:pt>
                <c:pt idx="26">
                  <c:v>10</c:v>
                </c:pt>
                <c:pt idx="27">
                  <c:v>20</c:v>
                </c:pt>
                <c:pt idx="28">
                  <c:v>30</c:v>
                </c:pt>
                <c:pt idx="29">
                  <c:v>50</c:v>
                </c:pt>
                <c:pt idx="30">
                  <c:v>2</c:v>
                </c:pt>
                <c:pt idx="31">
                  <c:v>5</c:v>
                </c:pt>
                <c:pt idx="32">
                  <c:v>10</c:v>
                </c:pt>
                <c:pt idx="33">
                  <c:v>2</c:v>
                </c:pt>
                <c:pt idx="34">
                  <c:v>5</c:v>
                </c:pt>
                <c:pt idx="35">
                  <c:v>10</c:v>
                </c:pt>
                <c:pt idx="36">
                  <c:v>2</c:v>
                </c:pt>
                <c:pt idx="37">
                  <c:v>5</c:v>
                </c:pt>
                <c:pt idx="38">
                  <c:v>2</c:v>
                </c:pt>
                <c:pt idx="39">
                  <c:v>2</c:v>
                </c:pt>
                <c:pt idx="40">
                  <c:v>5</c:v>
                </c:pt>
                <c:pt idx="41">
                  <c:v>10</c:v>
                </c:pt>
                <c:pt idx="42">
                  <c:v>20</c:v>
                </c:pt>
                <c:pt idx="43">
                  <c:v>2</c:v>
                </c:pt>
                <c:pt idx="44">
                  <c:v>5</c:v>
                </c:pt>
              </c:numCache>
            </c:numRef>
          </c:xVal>
          <c:yVal>
            <c:numRef>
              <c:f>'Oz Lotto Regression'!$BW$45:$BW$97</c:f>
              <c:numCache>
                <c:formatCode>_-* #,##0.0_-;\-* #,##0.0_-;_-* "-"??_-;_-@_-</c:formatCode>
                <c:ptCount val="53"/>
                <c:pt idx="0">
                  <c:v>25.373026302851532</c:v>
                </c:pt>
                <c:pt idx="1">
                  <c:v>9.2202829400196649</c:v>
                </c:pt>
                <c:pt idx="2">
                  <c:v>11.303058628318587</c:v>
                </c:pt>
                <c:pt idx="3">
                  <c:v>15.715806907571292</c:v>
                </c:pt>
                <c:pt idx="4">
                  <c:v>8.7374665683382506</c:v>
                </c:pt>
                <c:pt idx="5">
                  <c:v>10.800299778761065</c:v>
                </c:pt>
                <c:pt idx="6">
                  <c:v>21.04476966568339</c:v>
                </c:pt>
                <c:pt idx="7">
                  <c:v>9.724531588003936</c:v>
                </c:pt>
                <c:pt idx="8">
                  <c:v>11.312176007866276</c:v>
                </c:pt>
                <c:pt idx="9">
                  <c:v>18.400582841691254</c:v>
                </c:pt>
                <c:pt idx="10">
                  <c:v>26.493046091445436</c:v>
                </c:pt>
                <c:pt idx="11">
                  <c:v>37.092954400196668</c:v>
                </c:pt>
                <c:pt idx="12">
                  <c:v>9.8191762536873188</c:v>
                </c:pt>
                <c:pt idx="13">
                  <c:v>12.042942232055069</c:v>
                </c:pt>
                <c:pt idx="14">
                  <c:v>16.350092305801379</c:v>
                </c:pt>
                <c:pt idx="15">
                  <c:v>21.203085422812197</c:v>
                </c:pt>
                <c:pt idx="16">
                  <c:v>33.086930063913478</c:v>
                </c:pt>
                <c:pt idx="17">
                  <c:v>50.284365290068827</c:v>
                </c:pt>
                <c:pt idx="18">
                  <c:v>9.6240651425762085</c:v>
                </c:pt>
                <c:pt idx="19">
                  <c:v>11.567999016715834</c:v>
                </c:pt>
                <c:pt idx="20">
                  <c:v>16.019015363815146</c:v>
                </c:pt>
                <c:pt idx="21">
                  <c:v>20.637660152409055</c:v>
                </c:pt>
                <c:pt idx="22">
                  <c:v>32.741460176991154</c:v>
                </c:pt>
                <c:pt idx="23">
                  <c:v>9.652936455260571</c:v>
                </c:pt>
                <c:pt idx="24">
                  <c:v>8.9958099803343181</c:v>
                </c:pt>
                <c:pt idx="25">
                  <c:v>9.6615446165191727</c:v>
                </c:pt>
                <c:pt idx="26">
                  <c:v>14.668907325467062</c:v>
                </c:pt>
                <c:pt idx="27">
                  <c:v>24.718907694198627</c:v>
                </c:pt>
                <c:pt idx="28">
                  <c:v>32.041685594886928</c:v>
                </c:pt>
                <c:pt idx="29">
                  <c:v>46.351200835791552</c:v>
                </c:pt>
                <c:pt idx="30">
                  <c:v>9.5681393805309742</c:v>
                </c:pt>
                <c:pt idx="31">
                  <c:v>10.997342920353985</c:v>
                </c:pt>
                <c:pt idx="32">
                  <c:v>15.07466470009833</c:v>
                </c:pt>
                <c:pt idx="33">
                  <c:v>9.4699219518190798</c:v>
                </c:pt>
                <c:pt idx="34">
                  <c:v>12.89311369223206</c:v>
                </c:pt>
                <c:pt idx="35">
                  <c:v>18.445974557522124</c:v>
                </c:pt>
                <c:pt idx="36">
                  <c:v>8.6105315880039353</c:v>
                </c:pt>
                <c:pt idx="37">
                  <c:v>11.822875491642085</c:v>
                </c:pt>
                <c:pt idx="38">
                  <c:v>8.7504049901671603</c:v>
                </c:pt>
                <c:pt idx="39">
                  <c:v>8.2648720501474937</c:v>
                </c:pt>
                <c:pt idx="40">
                  <c:v>11.151636184857423</c:v>
                </c:pt>
                <c:pt idx="41">
                  <c:v>16.153900442477877</c:v>
                </c:pt>
                <c:pt idx="42">
                  <c:v>21.468686578171091</c:v>
                </c:pt>
                <c:pt idx="43">
                  <c:v>8.2340163470993133</c:v>
                </c:pt>
                <c:pt idx="44">
                  <c:v>9.9194193706981331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11-49C5-AEEB-DAC808ACD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Regression'!$BX$45:$BX$97</c:f>
              <c:numCache>
                <c:formatCode>_-* #,##0.0_-;\-* #,##0.0_-;_-* "-"??_-;_-@_-</c:formatCode>
                <c:ptCount val="53"/>
                <c:pt idx="0">
                  <c:v>20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</c:v>
                </c:pt>
                <c:pt idx="8">
                  <c:v>5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2</c:v>
                </c:pt>
                <c:pt idx="13">
                  <c:v>5</c:v>
                </c:pt>
                <c:pt idx="14">
                  <c:v>10</c:v>
                </c:pt>
                <c:pt idx="15">
                  <c:v>20</c:v>
                </c:pt>
                <c:pt idx="16">
                  <c:v>30</c:v>
                </c:pt>
                <c:pt idx="17">
                  <c:v>50</c:v>
                </c:pt>
                <c:pt idx="18">
                  <c:v>2</c:v>
                </c:pt>
                <c:pt idx="19">
                  <c:v>5</c:v>
                </c:pt>
                <c:pt idx="20">
                  <c:v>10</c:v>
                </c:pt>
                <c:pt idx="21">
                  <c:v>20</c:v>
                </c:pt>
                <c:pt idx="22">
                  <c:v>30</c:v>
                </c:pt>
                <c:pt idx="23">
                  <c:v>2</c:v>
                </c:pt>
                <c:pt idx="24">
                  <c:v>2</c:v>
                </c:pt>
                <c:pt idx="25">
                  <c:v>5</c:v>
                </c:pt>
                <c:pt idx="26">
                  <c:v>10</c:v>
                </c:pt>
                <c:pt idx="27">
                  <c:v>20</c:v>
                </c:pt>
                <c:pt idx="28">
                  <c:v>30</c:v>
                </c:pt>
                <c:pt idx="29">
                  <c:v>50</c:v>
                </c:pt>
                <c:pt idx="30">
                  <c:v>2</c:v>
                </c:pt>
                <c:pt idx="31">
                  <c:v>5</c:v>
                </c:pt>
                <c:pt idx="32">
                  <c:v>10</c:v>
                </c:pt>
                <c:pt idx="33">
                  <c:v>2</c:v>
                </c:pt>
                <c:pt idx="34">
                  <c:v>5</c:v>
                </c:pt>
                <c:pt idx="35">
                  <c:v>10</c:v>
                </c:pt>
                <c:pt idx="36">
                  <c:v>2</c:v>
                </c:pt>
                <c:pt idx="37">
                  <c:v>5</c:v>
                </c:pt>
                <c:pt idx="38">
                  <c:v>2</c:v>
                </c:pt>
                <c:pt idx="39">
                  <c:v>2</c:v>
                </c:pt>
                <c:pt idx="40">
                  <c:v>5</c:v>
                </c:pt>
                <c:pt idx="41">
                  <c:v>10</c:v>
                </c:pt>
                <c:pt idx="42">
                  <c:v>20</c:v>
                </c:pt>
                <c:pt idx="43">
                  <c:v>2</c:v>
                </c:pt>
                <c:pt idx="44">
                  <c:v>5</c:v>
                </c:pt>
              </c:numCache>
            </c:numRef>
          </c:xVal>
          <c:yVal>
            <c:numRef>
              <c:f>'Oz Lotto Regression'!$BW$45:$BW$97</c:f>
              <c:numCache>
                <c:formatCode>_-* #,##0.0_-;\-* #,##0.0_-;_-* "-"??_-;_-@_-</c:formatCode>
                <c:ptCount val="53"/>
                <c:pt idx="0">
                  <c:v>25.373026302851532</c:v>
                </c:pt>
                <c:pt idx="1">
                  <c:v>9.2202829400196649</c:v>
                </c:pt>
                <c:pt idx="2">
                  <c:v>11.303058628318587</c:v>
                </c:pt>
                <c:pt idx="3">
                  <c:v>15.715806907571292</c:v>
                </c:pt>
                <c:pt idx="4">
                  <c:v>8.7374665683382506</c:v>
                </c:pt>
                <c:pt idx="5">
                  <c:v>10.800299778761065</c:v>
                </c:pt>
                <c:pt idx="6">
                  <c:v>21.04476966568339</c:v>
                </c:pt>
                <c:pt idx="7">
                  <c:v>9.724531588003936</c:v>
                </c:pt>
                <c:pt idx="8">
                  <c:v>11.312176007866276</c:v>
                </c:pt>
                <c:pt idx="9">
                  <c:v>18.400582841691254</c:v>
                </c:pt>
                <c:pt idx="10">
                  <c:v>26.493046091445436</c:v>
                </c:pt>
                <c:pt idx="11">
                  <c:v>37.092954400196668</c:v>
                </c:pt>
                <c:pt idx="12">
                  <c:v>9.8191762536873188</c:v>
                </c:pt>
                <c:pt idx="13">
                  <c:v>12.042942232055069</c:v>
                </c:pt>
                <c:pt idx="14">
                  <c:v>16.350092305801379</c:v>
                </c:pt>
                <c:pt idx="15">
                  <c:v>21.203085422812197</c:v>
                </c:pt>
                <c:pt idx="16">
                  <c:v>33.086930063913478</c:v>
                </c:pt>
                <c:pt idx="17">
                  <c:v>50.284365290068827</c:v>
                </c:pt>
                <c:pt idx="18">
                  <c:v>9.6240651425762085</c:v>
                </c:pt>
                <c:pt idx="19">
                  <c:v>11.567999016715834</c:v>
                </c:pt>
                <c:pt idx="20">
                  <c:v>16.019015363815146</c:v>
                </c:pt>
                <c:pt idx="21">
                  <c:v>20.637660152409055</c:v>
                </c:pt>
                <c:pt idx="22">
                  <c:v>32.741460176991154</c:v>
                </c:pt>
                <c:pt idx="23">
                  <c:v>9.652936455260571</c:v>
                </c:pt>
                <c:pt idx="24">
                  <c:v>8.9958099803343181</c:v>
                </c:pt>
                <c:pt idx="25">
                  <c:v>9.6615446165191727</c:v>
                </c:pt>
                <c:pt idx="26">
                  <c:v>14.668907325467062</c:v>
                </c:pt>
                <c:pt idx="27">
                  <c:v>24.718907694198627</c:v>
                </c:pt>
                <c:pt idx="28">
                  <c:v>32.041685594886928</c:v>
                </c:pt>
                <c:pt idx="29">
                  <c:v>46.351200835791552</c:v>
                </c:pt>
                <c:pt idx="30">
                  <c:v>9.5681393805309742</c:v>
                </c:pt>
                <c:pt idx="31">
                  <c:v>10.997342920353985</c:v>
                </c:pt>
                <c:pt idx="32">
                  <c:v>15.07466470009833</c:v>
                </c:pt>
                <c:pt idx="33">
                  <c:v>9.4699219518190798</c:v>
                </c:pt>
                <c:pt idx="34">
                  <c:v>12.89311369223206</c:v>
                </c:pt>
                <c:pt idx="35">
                  <c:v>18.445974557522124</c:v>
                </c:pt>
                <c:pt idx="36">
                  <c:v>8.6105315880039353</c:v>
                </c:pt>
                <c:pt idx="37">
                  <c:v>11.822875491642085</c:v>
                </c:pt>
                <c:pt idx="38">
                  <c:v>8.7504049901671603</c:v>
                </c:pt>
                <c:pt idx="39">
                  <c:v>8.2648720501474937</c:v>
                </c:pt>
                <c:pt idx="40">
                  <c:v>11.151636184857423</c:v>
                </c:pt>
                <c:pt idx="41">
                  <c:v>16.153900442477877</c:v>
                </c:pt>
                <c:pt idx="42">
                  <c:v>21.468686578171091</c:v>
                </c:pt>
                <c:pt idx="43">
                  <c:v>8.2340163470993133</c:v>
                </c:pt>
                <c:pt idx="44">
                  <c:v>9.9194193706981331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1-4843-8013-012AFC3E2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Regression'!$CM$65:$CM$117</c:f>
              <c:numCache>
                <c:formatCode>_-* #,##0.0_-;\-* #,##0.0_-;_-* "-"??_-;_-@_-</c:formatCode>
                <c:ptCount val="53"/>
                <c:pt idx="0">
                  <c:v>5</c:v>
                </c:pt>
                <c:pt idx="1">
                  <c:v>3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3</c:v>
                </c:pt>
                <c:pt idx="6">
                  <c:v>30</c:v>
                </c:pt>
                <c:pt idx="7">
                  <c:v>20</c:v>
                </c:pt>
                <c:pt idx="8">
                  <c:v>10</c:v>
                </c:pt>
                <c:pt idx="9">
                  <c:v>5</c:v>
                </c:pt>
                <c:pt idx="10">
                  <c:v>3</c:v>
                </c:pt>
                <c:pt idx="11">
                  <c:v>30</c:v>
                </c:pt>
                <c:pt idx="12">
                  <c:v>20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20</c:v>
                </c:pt>
                <c:pt idx="17">
                  <c:v>10</c:v>
                </c:pt>
                <c:pt idx="18">
                  <c:v>5</c:v>
                </c:pt>
                <c:pt idx="19">
                  <c:v>3</c:v>
                </c:pt>
                <c:pt idx="20">
                  <c:v>20</c:v>
                </c:pt>
                <c:pt idx="21">
                  <c:v>10</c:v>
                </c:pt>
                <c:pt idx="22">
                  <c:v>5</c:v>
                </c:pt>
                <c:pt idx="23">
                  <c:v>3</c:v>
                </c:pt>
                <c:pt idx="24">
                  <c:v>3</c:v>
                </c:pt>
                <c:pt idx="25">
                  <c:v>20</c:v>
                </c:pt>
                <c:pt idx="26">
                  <c:v>10</c:v>
                </c:pt>
                <c:pt idx="27">
                  <c:v>5</c:v>
                </c:pt>
                <c:pt idx="28">
                  <c:v>3</c:v>
                </c:pt>
                <c:pt idx="29">
                  <c:v>30</c:v>
                </c:pt>
                <c:pt idx="30">
                  <c:v>20</c:v>
                </c:pt>
                <c:pt idx="31">
                  <c:v>10</c:v>
                </c:pt>
                <c:pt idx="32">
                  <c:v>5</c:v>
                </c:pt>
                <c:pt idx="33">
                  <c:v>3</c:v>
                </c:pt>
                <c:pt idx="34">
                  <c:v>20</c:v>
                </c:pt>
                <c:pt idx="35">
                  <c:v>10</c:v>
                </c:pt>
                <c:pt idx="36">
                  <c:v>5</c:v>
                </c:pt>
                <c:pt idx="37">
                  <c:v>3</c:v>
                </c:pt>
                <c:pt idx="38">
                  <c:v>50</c:v>
                </c:pt>
                <c:pt idx="39">
                  <c:v>30</c:v>
                </c:pt>
                <c:pt idx="40">
                  <c:v>20</c:v>
                </c:pt>
                <c:pt idx="41">
                  <c:v>10</c:v>
                </c:pt>
                <c:pt idx="42">
                  <c:v>5</c:v>
                </c:pt>
                <c:pt idx="43">
                  <c:v>3</c:v>
                </c:pt>
                <c:pt idx="44">
                  <c:v>10</c:v>
                </c:pt>
                <c:pt idx="45">
                  <c:v>5</c:v>
                </c:pt>
                <c:pt idx="46">
                  <c:v>3</c:v>
                </c:pt>
                <c:pt idx="47">
                  <c:v>20</c:v>
                </c:pt>
                <c:pt idx="48">
                  <c:v>10</c:v>
                </c:pt>
                <c:pt idx="49">
                  <c:v>5</c:v>
                </c:pt>
                <c:pt idx="50">
                  <c:v>3</c:v>
                </c:pt>
                <c:pt idx="51">
                  <c:v>30</c:v>
                </c:pt>
              </c:numCache>
            </c:numRef>
          </c:xVal>
          <c:yVal>
            <c:numRef>
              <c:f>'Oz Lotto Regression'!$CL$65:$CL$117</c:f>
              <c:numCache>
                <c:formatCode>_-* #,##0.0_-;\-* #,##0.0_-;_-* "-"??_-;_-@_-</c:formatCode>
                <c:ptCount val="53"/>
                <c:pt idx="0">
                  <c:v>10.458440863940863</c:v>
                </c:pt>
                <c:pt idx="1">
                  <c:v>7.8977346962346964</c:v>
                </c:pt>
                <c:pt idx="2">
                  <c:v>17.313915453915449</c:v>
                </c:pt>
                <c:pt idx="3">
                  <c:v>13.397146454146457</c:v>
                </c:pt>
                <c:pt idx="4">
                  <c:v>9.865218988218988</c:v>
                </c:pt>
                <c:pt idx="5">
                  <c:v>8.7031183876183871</c:v>
                </c:pt>
                <c:pt idx="6">
                  <c:v>29.237498960498957</c:v>
                </c:pt>
                <c:pt idx="7">
                  <c:v>21.594296604296606</c:v>
                </c:pt>
                <c:pt idx="8">
                  <c:v>14.635402517902518</c:v>
                </c:pt>
                <c:pt idx="9">
                  <c:v>9.7251242781242766</c:v>
                </c:pt>
                <c:pt idx="10">
                  <c:v>9.2700094710094678</c:v>
                </c:pt>
                <c:pt idx="11">
                  <c:v>24.316174405174401</c:v>
                </c:pt>
                <c:pt idx="12">
                  <c:v>20.387653730653728</c:v>
                </c:pt>
                <c:pt idx="13">
                  <c:v>14.791094479094479</c:v>
                </c:pt>
                <c:pt idx="14">
                  <c:v>10.052417532917532</c:v>
                </c:pt>
                <c:pt idx="15">
                  <c:v>9.0415546315546305</c:v>
                </c:pt>
                <c:pt idx="16">
                  <c:v>21.058703164703164</c:v>
                </c:pt>
                <c:pt idx="17">
                  <c:v>13.098005775005774</c:v>
                </c:pt>
                <c:pt idx="18">
                  <c:v>9.7208880803880806</c:v>
                </c:pt>
                <c:pt idx="19">
                  <c:v>9.2727051282051285</c:v>
                </c:pt>
                <c:pt idx="20">
                  <c:v>20.268493416493417</c:v>
                </c:pt>
                <c:pt idx="21">
                  <c:v>12.834873873873875</c:v>
                </c:pt>
                <c:pt idx="22">
                  <c:v>9.8822077847077843</c:v>
                </c:pt>
                <c:pt idx="23">
                  <c:v>8.8343585123585111</c:v>
                </c:pt>
                <c:pt idx="24">
                  <c:v>9.2527970662970649</c:v>
                </c:pt>
                <c:pt idx="25">
                  <c:v>20.78927465927466</c:v>
                </c:pt>
                <c:pt idx="26">
                  <c:v>11.083673814386204</c:v>
                </c:pt>
                <c:pt idx="27">
                  <c:v>9.1880974585886097</c:v>
                </c:pt>
                <c:pt idx="28">
                  <c:v>8.3759739051508983</c:v>
                </c:pt>
                <c:pt idx="29">
                  <c:v>24.007308373042882</c:v>
                </c:pt>
                <c:pt idx="30">
                  <c:v>19.316402995234853</c:v>
                </c:pt>
                <c:pt idx="31">
                  <c:v>12.652465963240299</c:v>
                </c:pt>
                <c:pt idx="32">
                  <c:v>14.048715452688906</c:v>
                </c:pt>
                <c:pt idx="33">
                  <c:v>8.8209846834581356</c:v>
                </c:pt>
                <c:pt idx="34">
                  <c:v>24.033234286362607</c:v>
                </c:pt>
                <c:pt idx="35">
                  <c:v>12.969386884501931</c:v>
                </c:pt>
                <c:pt idx="36">
                  <c:v>9.1472853415021582</c:v>
                </c:pt>
                <c:pt idx="37">
                  <c:v>8.5423063308373059</c:v>
                </c:pt>
                <c:pt idx="38">
                  <c:v>41.464495575221243</c:v>
                </c:pt>
                <c:pt idx="39">
                  <c:v>26.481381098252786</c:v>
                </c:pt>
                <c:pt idx="40">
                  <c:v>21.774610959836625</c:v>
                </c:pt>
                <c:pt idx="41">
                  <c:v>14.935118901747222</c:v>
                </c:pt>
                <c:pt idx="42">
                  <c:v>9.3231639437258913</c:v>
                </c:pt>
                <c:pt idx="43">
                  <c:v>8.1147970274563193</c:v>
                </c:pt>
                <c:pt idx="44">
                  <c:v>15.798659518947129</c:v>
                </c:pt>
                <c:pt idx="45">
                  <c:v>10.754930224642615</c:v>
                </c:pt>
                <c:pt idx="46">
                  <c:v>8.4663073519400953</c:v>
                </c:pt>
                <c:pt idx="47">
                  <c:v>22.150339459950082</c:v>
                </c:pt>
                <c:pt idx="48">
                  <c:v>15.460507941910599</c:v>
                </c:pt>
                <c:pt idx="49">
                  <c:v>15.887167007034266</c:v>
                </c:pt>
                <c:pt idx="50">
                  <c:v>8.9883838211935565</c:v>
                </c:pt>
                <c:pt idx="51">
                  <c:v>26.744814045836172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5A-485A-B298-0DACC477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Regression'!$CM$65:$CM$117</c:f>
              <c:numCache>
                <c:formatCode>_-* #,##0.0_-;\-* #,##0.0_-;_-* "-"??_-;_-@_-</c:formatCode>
                <c:ptCount val="53"/>
                <c:pt idx="0">
                  <c:v>5</c:v>
                </c:pt>
                <c:pt idx="1">
                  <c:v>3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3</c:v>
                </c:pt>
                <c:pt idx="6">
                  <c:v>30</c:v>
                </c:pt>
                <c:pt idx="7">
                  <c:v>20</c:v>
                </c:pt>
                <c:pt idx="8">
                  <c:v>10</c:v>
                </c:pt>
                <c:pt idx="9">
                  <c:v>5</c:v>
                </c:pt>
                <c:pt idx="10">
                  <c:v>3</c:v>
                </c:pt>
                <c:pt idx="11">
                  <c:v>30</c:v>
                </c:pt>
                <c:pt idx="12">
                  <c:v>20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20</c:v>
                </c:pt>
                <c:pt idx="17">
                  <c:v>10</c:v>
                </c:pt>
                <c:pt idx="18">
                  <c:v>5</c:v>
                </c:pt>
                <c:pt idx="19">
                  <c:v>3</c:v>
                </c:pt>
                <c:pt idx="20">
                  <c:v>20</c:v>
                </c:pt>
                <c:pt idx="21">
                  <c:v>10</c:v>
                </c:pt>
                <c:pt idx="22">
                  <c:v>5</c:v>
                </c:pt>
                <c:pt idx="23">
                  <c:v>3</c:v>
                </c:pt>
                <c:pt idx="24">
                  <c:v>3</c:v>
                </c:pt>
                <c:pt idx="25">
                  <c:v>20</c:v>
                </c:pt>
                <c:pt idx="26">
                  <c:v>10</c:v>
                </c:pt>
                <c:pt idx="27">
                  <c:v>5</c:v>
                </c:pt>
                <c:pt idx="28">
                  <c:v>3</c:v>
                </c:pt>
                <c:pt idx="29">
                  <c:v>30</c:v>
                </c:pt>
                <c:pt idx="30">
                  <c:v>20</c:v>
                </c:pt>
                <c:pt idx="31">
                  <c:v>10</c:v>
                </c:pt>
                <c:pt idx="32">
                  <c:v>5</c:v>
                </c:pt>
                <c:pt idx="33">
                  <c:v>3</c:v>
                </c:pt>
                <c:pt idx="34">
                  <c:v>20</c:v>
                </c:pt>
                <c:pt idx="35">
                  <c:v>10</c:v>
                </c:pt>
                <c:pt idx="36">
                  <c:v>5</c:v>
                </c:pt>
                <c:pt idx="37">
                  <c:v>3</c:v>
                </c:pt>
                <c:pt idx="38">
                  <c:v>50</c:v>
                </c:pt>
                <c:pt idx="39">
                  <c:v>30</c:v>
                </c:pt>
                <c:pt idx="40">
                  <c:v>20</c:v>
                </c:pt>
                <c:pt idx="41">
                  <c:v>10</c:v>
                </c:pt>
                <c:pt idx="42">
                  <c:v>5</c:v>
                </c:pt>
                <c:pt idx="43">
                  <c:v>3</c:v>
                </c:pt>
                <c:pt idx="44">
                  <c:v>10</c:v>
                </c:pt>
                <c:pt idx="45">
                  <c:v>5</c:v>
                </c:pt>
                <c:pt idx="46">
                  <c:v>3</c:v>
                </c:pt>
                <c:pt idx="47">
                  <c:v>20</c:v>
                </c:pt>
                <c:pt idx="48">
                  <c:v>10</c:v>
                </c:pt>
                <c:pt idx="49">
                  <c:v>5</c:v>
                </c:pt>
                <c:pt idx="50">
                  <c:v>3</c:v>
                </c:pt>
                <c:pt idx="51">
                  <c:v>30</c:v>
                </c:pt>
              </c:numCache>
            </c:numRef>
          </c:xVal>
          <c:yVal>
            <c:numRef>
              <c:f>'Oz Lotto Regression'!$CL$65:$CL$117</c:f>
              <c:numCache>
                <c:formatCode>_-* #,##0.0_-;\-* #,##0.0_-;_-* "-"??_-;_-@_-</c:formatCode>
                <c:ptCount val="53"/>
                <c:pt idx="0">
                  <c:v>10.458440863940863</c:v>
                </c:pt>
                <c:pt idx="1">
                  <c:v>7.8977346962346964</c:v>
                </c:pt>
                <c:pt idx="2">
                  <c:v>17.313915453915449</c:v>
                </c:pt>
                <c:pt idx="3">
                  <c:v>13.397146454146457</c:v>
                </c:pt>
                <c:pt idx="4">
                  <c:v>9.865218988218988</c:v>
                </c:pt>
                <c:pt idx="5">
                  <c:v>8.7031183876183871</c:v>
                </c:pt>
                <c:pt idx="6">
                  <c:v>29.237498960498957</c:v>
                </c:pt>
                <c:pt idx="7">
                  <c:v>21.594296604296606</c:v>
                </c:pt>
                <c:pt idx="8">
                  <c:v>14.635402517902518</c:v>
                </c:pt>
                <c:pt idx="9">
                  <c:v>9.7251242781242766</c:v>
                </c:pt>
                <c:pt idx="10">
                  <c:v>9.2700094710094678</c:v>
                </c:pt>
                <c:pt idx="11">
                  <c:v>24.316174405174401</c:v>
                </c:pt>
                <c:pt idx="12">
                  <c:v>20.387653730653728</c:v>
                </c:pt>
                <c:pt idx="13">
                  <c:v>14.791094479094479</c:v>
                </c:pt>
                <c:pt idx="14">
                  <c:v>10.052417532917532</c:v>
                </c:pt>
                <c:pt idx="15">
                  <c:v>9.0415546315546305</c:v>
                </c:pt>
                <c:pt idx="16">
                  <c:v>21.058703164703164</c:v>
                </c:pt>
                <c:pt idx="17">
                  <c:v>13.098005775005774</c:v>
                </c:pt>
                <c:pt idx="18">
                  <c:v>9.7208880803880806</c:v>
                </c:pt>
                <c:pt idx="19">
                  <c:v>9.2727051282051285</c:v>
                </c:pt>
                <c:pt idx="20">
                  <c:v>20.268493416493417</c:v>
                </c:pt>
                <c:pt idx="21">
                  <c:v>12.834873873873875</c:v>
                </c:pt>
                <c:pt idx="22">
                  <c:v>9.8822077847077843</c:v>
                </c:pt>
                <c:pt idx="23">
                  <c:v>8.8343585123585111</c:v>
                </c:pt>
                <c:pt idx="24">
                  <c:v>9.2527970662970649</c:v>
                </c:pt>
                <c:pt idx="25">
                  <c:v>20.78927465927466</c:v>
                </c:pt>
                <c:pt idx="26">
                  <c:v>11.083673814386204</c:v>
                </c:pt>
                <c:pt idx="27">
                  <c:v>9.1880974585886097</c:v>
                </c:pt>
                <c:pt idx="28">
                  <c:v>8.3759739051508983</c:v>
                </c:pt>
                <c:pt idx="29">
                  <c:v>24.007308373042882</c:v>
                </c:pt>
                <c:pt idx="30">
                  <c:v>19.316402995234853</c:v>
                </c:pt>
                <c:pt idx="31">
                  <c:v>12.652465963240299</c:v>
                </c:pt>
                <c:pt idx="32">
                  <c:v>14.048715452688906</c:v>
                </c:pt>
                <c:pt idx="33">
                  <c:v>8.8209846834581356</c:v>
                </c:pt>
                <c:pt idx="34">
                  <c:v>24.033234286362607</c:v>
                </c:pt>
                <c:pt idx="35">
                  <c:v>12.969386884501931</c:v>
                </c:pt>
                <c:pt idx="36">
                  <c:v>9.1472853415021582</c:v>
                </c:pt>
                <c:pt idx="37">
                  <c:v>8.5423063308373059</c:v>
                </c:pt>
                <c:pt idx="38">
                  <c:v>41.464495575221243</c:v>
                </c:pt>
                <c:pt idx="39">
                  <c:v>26.481381098252786</c:v>
                </c:pt>
                <c:pt idx="40">
                  <c:v>21.774610959836625</c:v>
                </c:pt>
                <c:pt idx="41">
                  <c:v>14.935118901747222</c:v>
                </c:pt>
                <c:pt idx="42">
                  <c:v>9.3231639437258913</c:v>
                </c:pt>
                <c:pt idx="43">
                  <c:v>8.1147970274563193</c:v>
                </c:pt>
                <c:pt idx="44">
                  <c:v>15.798659518947129</c:v>
                </c:pt>
                <c:pt idx="45">
                  <c:v>10.754930224642615</c:v>
                </c:pt>
                <c:pt idx="46">
                  <c:v>8.4663073519400953</c:v>
                </c:pt>
                <c:pt idx="47">
                  <c:v>22.150339459950082</c:v>
                </c:pt>
                <c:pt idx="48">
                  <c:v>15.460507941910599</c:v>
                </c:pt>
                <c:pt idx="49">
                  <c:v>15.887167007034266</c:v>
                </c:pt>
                <c:pt idx="50">
                  <c:v>8.9883838211935565</c:v>
                </c:pt>
                <c:pt idx="51">
                  <c:v>26.744814045836172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99-45D3-8B54-2020F0C43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810482905982906"/>
                  <c:y val="-2.99270833333333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Regression'!$CM$65:$CM$117</c:f>
              <c:numCache>
                <c:formatCode>_-* #,##0.0_-;\-* #,##0.0_-;_-* "-"??_-;_-@_-</c:formatCode>
                <c:ptCount val="53"/>
                <c:pt idx="0">
                  <c:v>5</c:v>
                </c:pt>
                <c:pt idx="1">
                  <c:v>3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3</c:v>
                </c:pt>
                <c:pt idx="6">
                  <c:v>30</c:v>
                </c:pt>
                <c:pt idx="7">
                  <c:v>20</c:v>
                </c:pt>
                <c:pt idx="8">
                  <c:v>10</c:v>
                </c:pt>
                <c:pt idx="9">
                  <c:v>5</c:v>
                </c:pt>
                <c:pt idx="10">
                  <c:v>3</c:v>
                </c:pt>
                <c:pt idx="11">
                  <c:v>30</c:v>
                </c:pt>
                <c:pt idx="12">
                  <c:v>20</c:v>
                </c:pt>
                <c:pt idx="13">
                  <c:v>10</c:v>
                </c:pt>
                <c:pt idx="14">
                  <c:v>5</c:v>
                </c:pt>
                <c:pt idx="15">
                  <c:v>3</c:v>
                </c:pt>
                <c:pt idx="16">
                  <c:v>20</c:v>
                </c:pt>
                <c:pt idx="17">
                  <c:v>10</c:v>
                </c:pt>
                <c:pt idx="18">
                  <c:v>5</c:v>
                </c:pt>
                <c:pt idx="19">
                  <c:v>3</c:v>
                </c:pt>
                <c:pt idx="20">
                  <c:v>20</c:v>
                </c:pt>
                <c:pt idx="21">
                  <c:v>10</c:v>
                </c:pt>
                <c:pt idx="22">
                  <c:v>5</c:v>
                </c:pt>
                <c:pt idx="23">
                  <c:v>3</c:v>
                </c:pt>
                <c:pt idx="24">
                  <c:v>3</c:v>
                </c:pt>
                <c:pt idx="25">
                  <c:v>20</c:v>
                </c:pt>
                <c:pt idx="26">
                  <c:v>10</c:v>
                </c:pt>
                <c:pt idx="27">
                  <c:v>5</c:v>
                </c:pt>
                <c:pt idx="28">
                  <c:v>3</c:v>
                </c:pt>
                <c:pt idx="29">
                  <c:v>30</c:v>
                </c:pt>
                <c:pt idx="30">
                  <c:v>20</c:v>
                </c:pt>
                <c:pt idx="31">
                  <c:v>10</c:v>
                </c:pt>
                <c:pt idx="32">
                  <c:v>5</c:v>
                </c:pt>
                <c:pt idx="33">
                  <c:v>3</c:v>
                </c:pt>
                <c:pt idx="34">
                  <c:v>20</c:v>
                </c:pt>
                <c:pt idx="35">
                  <c:v>10</c:v>
                </c:pt>
                <c:pt idx="36">
                  <c:v>5</c:v>
                </c:pt>
                <c:pt idx="37">
                  <c:v>3</c:v>
                </c:pt>
                <c:pt idx="38">
                  <c:v>50</c:v>
                </c:pt>
                <c:pt idx="39">
                  <c:v>30</c:v>
                </c:pt>
                <c:pt idx="40">
                  <c:v>20</c:v>
                </c:pt>
                <c:pt idx="41">
                  <c:v>10</c:v>
                </c:pt>
                <c:pt idx="42">
                  <c:v>5</c:v>
                </c:pt>
                <c:pt idx="43">
                  <c:v>3</c:v>
                </c:pt>
                <c:pt idx="44">
                  <c:v>10</c:v>
                </c:pt>
                <c:pt idx="45">
                  <c:v>5</c:v>
                </c:pt>
                <c:pt idx="46">
                  <c:v>3</c:v>
                </c:pt>
                <c:pt idx="47">
                  <c:v>20</c:v>
                </c:pt>
                <c:pt idx="48">
                  <c:v>10</c:v>
                </c:pt>
                <c:pt idx="49">
                  <c:v>5</c:v>
                </c:pt>
                <c:pt idx="50">
                  <c:v>3</c:v>
                </c:pt>
                <c:pt idx="51">
                  <c:v>30</c:v>
                </c:pt>
              </c:numCache>
            </c:numRef>
          </c:xVal>
          <c:yVal>
            <c:numRef>
              <c:f>'Oz Lotto Regression'!$CL$65:$CL$117</c:f>
              <c:numCache>
                <c:formatCode>_-* #,##0.0_-;\-* #,##0.0_-;_-* "-"??_-;_-@_-</c:formatCode>
                <c:ptCount val="53"/>
                <c:pt idx="0">
                  <c:v>10.458440863940863</c:v>
                </c:pt>
                <c:pt idx="1">
                  <c:v>7.8977346962346964</c:v>
                </c:pt>
                <c:pt idx="2">
                  <c:v>17.313915453915449</c:v>
                </c:pt>
                <c:pt idx="3">
                  <c:v>13.397146454146457</c:v>
                </c:pt>
                <c:pt idx="4">
                  <c:v>9.865218988218988</c:v>
                </c:pt>
                <c:pt idx="5">
                  <c:v>8.7031183876183871</c:v>
                </c:pt>
                <c:pt idx="6">
                  <c:v>29.237498960498957</c:v>
                </c:pt>
                <c:pt idx="7">
                  <c:v>21.594296604296606</c:v>
                </c:pt>
                <c:pt idx="8">
                  <c:v>14.635402517902518</c:v>
                </c:pt>
                <c:pt idx="9">
                  <c:v>9.7251242781242766</c:v>
                </c:pt>
                <c:pt idx="10">
                  <c:v>9.2700094710094678</c:v>
                </c:pt>
                <c:pt idx="11">
                  <c:v>24.316174405174401</c:v>
                </c:pt>
                <c:pt idx="12">
                  <c:v>20.387653730653728</c:v>
                </c:pt>
                <c:pt idx="13">
                  <c:v>14.791094479094479</c:v>
                </c:pt>
                <c:pt idx="14">
                  <c:v>10.052417532917532</c:v>
                </c:pt>
                <c:pt idx="15">
                  <c:v>9.0415546315546305</c:v>
                </c:pt>
                <c:pt idx="16">
                  <c:v>21.058703164703164</c:v>
                </c:pt>
                <c:pt idx="17">
                  <c:v>13.098005775005774</c:v>
                </c:pt>
                <c:pt idx="18">
                  <c:v>9.7208880803880806</c:v>
                </c:pt>
                <c:pt idx="19">
                  <c:v>9.2727051282051285</c:v>
                </c:pt>
                <c:pt idx="20">
                  <c:v>20.268493416493417</c:v>
                </c:pt>
                <c:pt idx="21">
                  <c:v>12.834873873873875</c:v>
                </c:pt>
                <c:pt idx="22">
                  <c:v>9.8822077847077843</c:v>
                </c:pt>
                <c:pt idx="23">
                  <c:v>8.8343585123585111</c:v>
                </c:pt>
                <c:pt idx="24">
                  <c:v>9.2527970662970649</c:v>
                </c:pt>
                <c:pt idx="25">
                  <c:v>20.78927465927466</c:v>
                </c:pt>
                <c:pt idx="26">
                  <c:v>11.083673814386204</c:v>
                </c:pt>
                <c:pt idx="27">
                  <c:v>9.1880974585886097</c:v>
                </c:pt>
                <c:pt idx="28">
                  <c:v>8.3759739051508983</c:v>
                </c:pt>
                <c:pt idx="29">
                  <c:v>24.007308373042882</c:v>
                </c:pt>
                <c:pt idx="30">
                  <c:v>19.316402995234853</c:v>
                </c:pt>
                <c:pt idx="31">
                  <c:v>12.652465963240299</c:v>
                </c:pt>
                <c:pt idx="32">
                  <c:v>14.048715452688906</c:v>
                </c:pt>
                <c:pt idx="33">
                  <c:v>8.8209846834581356</c:v>
                </c:pt>
                <c:pt idx="34">
                  <c:v>24.033234286362607</c:v>
                </c:pt>
                <c:pt idx="35">
                  <c:v>12.969386884501931</c:v>
                </c:pt>
                <c:pt idx="36">
                  <c:v>9.1472853415021582</c:v>
                </c:pt>
                <c:pt idx="37">
                  <c:v>8.5423063308373059</c:v>
                </c:pt>
                <c:pt idx="38">
                  <c:v>41.464495575221243</c:v>
                </c:pt>
                <c:pt idx="39">
                  <c:v>26.481381098252786</c:v>
                </c:pt>
                <c:pt idx="40">
                  <c:v>21.774610959836625</c:v>
                </c:pt>
                <c:pt idx="41">
                  <c:v>14.935118901747222</c:v>
                </c:pt>
                <c:pt idx="42">
                  <c:v>9.3231639437258913</c:v>
                </c:pt>
                <c:pt idx="43">
                  <c:v>8.1147970274563193</c:v>
                </c:pt>
                <c:pt idx="44">
                  <c:v>15.798659518947129</c:v>
                </c:pt>
                <c:pt idx="45">
                  <c:v>10.754930224642615</c:v>
                </c:pt>
                <c:pt idx="46">
                  <c:v>8.4663073519400953</c:v>
                </c:pt>
                <c:pt idx="47">
                  <c:v>22.150339459950082</c:v>
                </c:pt>
                <c:pt idx="48">
                  <c:v>15.460507941910599</c:v>
                </c:pt>
                <c:pt idx="49">
                  <c:v>15.887167007034266</c:v>
                </c:pt>
                <c:pt idx="50">
                  <c:v>8.9883838211935565</c:v>
                </c:pt>
                <c:pt idx="51">
                  <c:v>26.744814045836172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65-40D4-A710-BBCC6FC14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Regression'!$DR$45:$DR$97</c:f>
              <c:numCache>
                <c:formatCode>_-* #,##0.0_-;\-* #,##0.0_-;_-* "-"??_-;_-@_-</c:formatCode>
                <c:ptCount val="53"/>
                <c:pt idx="0">
                  <c:v>5</c:v>
                </c:pt>
                <c:pt idx="1">
                  <c:v>2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10</c:v>
                </c:pt>
                <c:pt idx="10">
                  <c:v>5</c:v>
                </c:pt>
                <c:pt idx="11">
                  <c:v>2</c:v>
                </c:pt>
                <c:pt idx="12">
                  <c:v>10</c:v>
                </c:pt>
                <c:pt idx="13">
                  <c:v>5</c:v>
                </c:pt>
                <c:pt idx="14">
                  <c:v>2</c:v>
                </c:pt>
                <c:pt idx="15">
                  <c:v>50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30</c:v>
                </c:pt>
                <c:pt idx="23">
                  <c:v>20</c:v>
                </c:pt>
                <c:pt idx="24">
                  <c:v>10</c:v>
                </c:pt>
                <c:pt idx="25">
                  <c:v>5</c:v>
                </c:pt>
                <c:pt idx="26">
                  <c:v>2</c:v>
                </c:pt>
                <c:pt idx="27">
                  <c:v>50</c:v>
                </c:pt>
                <c:pt idx="28">
                  <c:v>30</c:v>
                </c:pt>
                <c:pt idx="29">
                  <c:v>20</c:v>
                </c:pt>
                <c:pt idx="30">
                  <c:v>10</c:v>
                </c:pt>
                <c:pt idx="31">
                  <c:v>5</c:v>
                </c:pt>
                <c:pt idx="32">
                  <c:v>2</c:v>
                </c:pt>
                <c:pt idx="33">
                  <c:v>30</c:v>
                </c:pt>
                <c:pt idx="34">
                  <c:v>20</c:v>
                </c:pt>
                <c:pt idx="35">
                  <c:v>10</c:v>
                </c:pt>
                <c:pt idx="36">
                  <c:v>5</c:v>
                </c:pt>
                <c:pt idx="37">
                  <c:v>2</c:v>
                </c:pt>
                <c:pt idx="38">
                  <c:v>10</c:v>
                </c:pt>
                <c:pt idx="39">
                  <c:v>5</c:v>
                </c:pt>
                <c:pt idx="40">
                  <c:v>2</c:v>
                </c:pt>
                <c:pt idx="41">
                  <c:v>10</c:v>
                </c:pt>
                <c:pt idx="42">
                  <c:v>5</c:v>
                </c:pt>
                <c:pt idx="43">
                  <c:v>2</c:v>
                </c:pt>
                <c:pt idx="44">
                  <c:v>20</c:v>
                </c:pt>
                <c:pt idx="45">
                  <c:v>10</c:v>
                </c:pt>
                <c:pt idx="46">
                  <c:v>5</c:v>
                </c:pt>
                <c:pt idx="47">
                  <c:v>2</c:v>
                </c:pt>
                <c:pt idx="48">
                  <c:v>10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xVal>
          <c:yVal>
            <c:numRef>
              <c:f>'Oz Lotto Regression'!$DQ$45:$DQ$97</c:f>
              <c:numCache>
                <c:formatCode>_-* #,##0.0_-;\-* #,##0.0_-;_-* "-"??_-;_-@_-</c:formatCode>
                <c:ptCount val="53"/>
                <c:pt idx="0">
                  <c:v>9.9194193706981331</c:v>
                </c:pt>
                <c:pt idx="1">
                  <c:v>8.2340163470993133</c:v>
                </c:pt>
                <c:pt idx="2">
                  <c:v>21.468686578171091</c:v>
                </c:pt>
                <c:pt idx="3">
                  <c:v>16.153900442477877</c:v>
                </c:pt>
                <c:pt idx="4">
                  <c:v>11.151636184857423</c:v>
                </c:pt>
                <c:pt idx="5">
                  <c:v>8.2648720501474937</c:v>
                </c:pt>
                <c:pt idx="6">
                  <c:v>8.7504049901671603</c:v>
                </c:pt>
                <c:pt idx="7">
                  <c:v>11.822875491642085</c:v>
                </c:pt>
                <c:pt idx="8">
                  <c:v>8.6105315880039353</c:v>
                </c:pt>
                <c:pt idx="9">
                  <c:v>18.445974557522124</c:v>
                </c:pt>
                <c:pt idx="10">
                  <c:v>12.89311369223206</c:v>
                </c:pt>
                <c:pt idx="11">
                  <c:v>9.4699219518190798</c:v>
                </c:pt>
                <c:pt idx="12">
                  <c:v>15.07466470009833</c:v>
                </c:pt>
                <c:pt idx="13">
                  <c:v>10.997342920353985</c:v>
                </c:pt>
                <c:pt idx="14">
                  <c:v>9.5681393805309742</c:v>
                </c:pt>
                <c:pt idx="15">
                  <c:v>46.351200835791552</c:v>
                </c:pt>
                <c:pt idx="16">
                  <c:v>32.041685594886928</c:v>
                </c:pt>
                <c:pt idx="17">
                  <c:v>24.718907694198627</c:v>
                </c:pt>
                <c:pt idx="18">
                  <c:v>14.668907325467062</c:v>
                </c:pt>
                <c:pt idx="19">
                  <c:v>9.6615446165191727</c:v>
                </c:pt>
                <c:pt idx="20">
                  <c:v>8.9958099803343181</c:v>
                </c:pt>
                <c:pt idx="21">
                  <c:v>9.652936455260571</c:v>
                </c:pt>
                <c:pt idx="22">
                  <c:v>32.741460176991154</c:v>
                </c:pt>
                <c:pt idx="23">
                  <c:v>20.637660152409055</c:v>
                </c:pt>
                <c:pt idx="24">
                  <c:v>16.019015363815146</c:v>
                </c:pt>
                <c:pt idx="25">
                  <c:v>11.567999016715834</c:v>
                </c:pt>
                <c:pt idx="26">
                  <c:v>9.6240651425762085</c:v>
                </c:pt>
                <c:pt idx="27">
                  <c:v>50.284365290068827</c:v>
                </c:pt>
                <c:pt idx="28">
                  <c:v>33.086930063913478</c:v>
                </c:pt>
                <c:pt idx="29">
                  <c:v>21.203085422812197</c:v>
                </c:pt>
                <c:pt idx="30">
                  <c:v>16.350092305801379</c:v>
                </c:pt>
                <c:pt idx="31">
                  <c:v>12.042942232055069</c:v>
                </c:pt>
                <c:pt idx="32">
                  <c:v>9.8191762536873188</c:v>
                </c:pt>
                <c:pt idx="33">
                  <c:v>37.092954400196668</c:v>
                </c:pt>
                <c:pt idx="34">
                  <c:v>26.493046091445436</c:v>
                </c:pt>
                <c:pt idx="35">
                  <c:v>18.400582841691254</c:v>
                </c:pt>
                <c:pt idx="36">
                  <c:v>11.312176007866276</c:v>
                </c:pt>
                <c:pt idx="37">
                  <c:v>9.724531588003936</c:v>
                </c:pt>
                <c:pt idx="38">
                  <c:v>21.04476966568339</c:v>
                </c:pt>
                <c:pt idx="39">
                  <c:v>10.800299778761065</c:v>
                </c:pt>
                <c:pt idx="40">
                  <c:v>8.7374665683382506</c:v>
                </c:pt>
                <c:pt idx="41">
                  <c:v>15.715806907571292</c:v>
                </c:pt>
                <c:pt idx="42">
                  <c:v>11.303058628318587</c:v>
                </c:pt>
                <c:pt idx="43">
                  <c:v>9.2202829400196649</c:v>
                </c:pt>
                <c:pt idx="44">
                  <c:v>25.373026302851532</c:v>
                </c:pt>
                <c:pt idx="45">
                  <c:v>14.779653146509341</c:v>
                </c:pt>
                <c:pt idx="46">
                  <c:v>10.317431661750248</c:v>
                </c:pt>
                <c:pt idx="47">
                  <c:v>8.3530850540806298</c:v>
                </c:pt>
                <c:pt idx="48">
                  <c:v>17.663805555555555</c:v>
                </c:pt>
                <c:pt idx="49">
                  <c:v>12.060125245821046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22-49E6-9CAB-BB711F959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Regression'!$DR$45:$DR$97</c:f>
              <c:numCache>
                <c:formatCode>_-* #,##0.0_-;\-* #,##0.0_-;_-* "-"??_-;_-@_-</c:formatCode>
                <c:ptCount val="53"/>
                <c:pt idx="0">
                  <c:v>5</c:v>
                </c:pt>
                <c:pt idx="1">
                  <c:v>2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5</c:v>
                </c:pt>
                <c:pt idx="8">
                  <c:v>2</c:v>
                </c:pt>
                <c:pt idx="9">
                  <c:v>10</c:v>
                </c:pt>
                <c:pt idx="10">
                  <c:v>5</c:v>
                </c:pt>
                <c:pt idx="11">
                  <c:v>2</c:v>
                </c:pt>
                <c:pt idx="12">
                  <c:v>10</c:v>
                </c:pt>
                <c:pt idx="13">
                  <c:v>5</c:v>
                </c:pt>
                <c:pt idx="14">
                  <c:v>2</c:v>
                </c:pt>
                <c:pt idx="15">
                  <c:v>50</c:v>
                </c:pt>
                <c:pt idx="16">
                  <c:v>30</c:v>
                </c:pt>
                <c:pt idx="17">
                  <c:v>20</c:v>
                </c:pt>
                <c:pt idx="18">
                  <c:v>10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30</c:v>
                </c:pt>
                <c:pt idx="23">
                  <c:v>20</c:v>
                </c:pt>
                <c:pt idx="24">
                  <c:v>10</c:v>
                </c:pt>
                <c:pt idx="25">
                  <c:v>5</c:v>
                </c:pt>
                <c:pt idx="26">
                  <c:v>2</c:v>
                </c:pt>
                <c:pt idx="27">
                  <c:v>50</c:v>
                </c:pt>
                <c:pt idx="28">
                  <c:v>30</c:v>
                </c:pt>
                <c:pt idx="29">
                  <c:v>20</c:v>
                </c:pt>
                <c:pt idx="30">
                  <c:v>10</c:v>
                </c:pt>
                <c:pt idx="31">
                  <c:v>5</c:v>
                </c:pt>
                <c:pt idx="32">
                  <c:v>2</c:v>
                </c:pt>
                <c:pt idx="33">
                  <c:v>30</c:v>
                </c:pt>
                <c:pt idx="34">
                  <c:v>20</c:v>
                </c:pt>
                <c:pt idx="35">
                  <c:v>10</c:v>
                </c:pt>
                <c:pt idx="36">
                  <c:v>5</c:v>
                </c:pt>
                <c:pt idx="37">
                  <c:v>2</c:v>
                </c:pt>
                <c:pt idx="38">
                  <c:v>10</c:v>
                </c:pt>
                <c:pt idx="39">
                  <c:v>5</c:v>
                </c:pt>
                <c:pt idx="40">
                  <c:v>2</c:v>
                </c:pt>
                <c:pt idx="41">
                  <c:v>10</c:v>
                </c:pt>
                <c:pt idx="42">
                  <c:v>5</c:v>
                </c:pt>
                <c:pt idx="43">
                  <c:v>2</c:v>
                </c:pt>
                <c:pt idx="44">
                  <c:v>20</c:v>
                </c:pt>
                <c:pt idx="45">
                  <c:v>10</c:v>
                </c:pt>
                <c:pt idx="46">
                  <c:v>5</c:v>
                </c:pt>
                <c:pt idx="47">
                  <c:v>2</c:v>
                </c:pt>
                <c:pt idx="48">
                  <c:v>10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xVal>
          <c:yVal>
            <c:numRef>
              <c:f>'Oz Lotto Regression'!$DQ$45:$DQ$97</c:f>
              <c:numCache>
                <c:formatCode>_-* #,##0.0_-;\-* #,##0.0_-;_-* "-"??_-;_-@_-</c:formatCode>
                <c:ptCount val="53"/>
                <c:pt idx="0">
                  <c:v>9.9194193706981331</c:v>
                </c:pt>
                <c:pt idx="1">
                  <c:v>8.2340163470993133</c:v>
                </c:pt>
                <c:pt idx="2">
                  <c:v>21.468686578171091</c:v>
                </c:pt>
                <c:pt idx="3">
                  <c:v>16.153900442477877</c:v>
                </c:pt>
                <c:pt idx="4">
                  <c:v>11.151636184857423</c:v>
                </c:pt>
                <c:pt idx="5">
                  <c:v>8.2648720501474937</c:v>
                </c:pt>
                <c:pt idx="6">
                  <c:v>8.7504049901671603</c:v>
                </c:pt>
                <c:pt idx="7">
                  <c:v>11.822875491642085</c:v>
                </c:pt>
                <c:pt idx="8">
                  <c:v>8.6105315880039353</c:v>
                </c:pt>
                <c:pt idx="9">
                  <c:v>18.445974557522124</c:v>
                </c:pt>
                <c:pt idx="10">
                  <c:v>12.89311369223206</c:v>
                </c:pt>
                <c:pt idx="11">
                  <c:v>9.4699219518190798</c:v>
                </c:pt>
                <c:pt idx="12">
                  <c:v>15.07466470009833</c:v>
                </c:pt>
                <c:pt idx="13">
                  <c:v>10.997342920353985</c:v>
                </c:pt>
                <c:pt idx="14">
                  <c:v>9.5681393805309742</c:v>
                </c:pt>
                <c:pt idx="15">
                  <c:v>46.351200835791552</c:v>
                </c:pt>
                <c:pt idx="16">
                  <c:v>32.041685594886928</c:v>
                </c:pt>
                <c:pt idx="17">
                  <c:v>24.718907694198627</c:v>
                </c:pt>
                <c:pt idx="18">
                  <c:v>14.668907325467062</c:v>
                </c:pt>
                <c:pt idx="19">
                  <c:v>9.6615446165191727</c:v>
                </c:pt>
                <c:pt idx="20">
                  <c:v>8.9958099803343181</c:v>
                </c:pt>
                <c:pt idx="21">
                  <c:v>9.652936455260571</c:v>
                </c:pt>
                <c:pt idx="22">
                  <c:v>32.741460176991154</c:v>
                </c:pt>
                <c:pt idx="23">
                  <c:v>20.637660152409055</c:v>
                </c:pt>
                <c:pt idx="24">
                  <c:v>16.019015363815146</c:v>
                </c:pt>
                <c:pt idx="25">
                  <c:v>11.567999016715834</c:v>
                </c:pt>
                <c:pt idx="26">
                  <c:v>9.6240651425762085</c:v>
                </c:pt>
                <c:pt idx="27">
                  <c:v>50.284365290068827</c:v>
                </c:pt>
                <c:pt idx="28">
                  <c:v>33.086930063913478</c:v>
                </c:pt>
                <c:pt idx="29">
                  <c:v>21.203085422812197</c:v>
                </c:pt>
                <c:pt idx="30">
                  <c:v>16.350092305801379</c:v>
                </c:pt>
                <c:pt idx="31">
                  <c:v>12.042942232055069</c:v>
                </c:pt>
                <c:pt idx="32">
                  <c:v>9.8191762536873188</c:v>
                </c:pt>
                <c:pt idx="33">
                  <c:v>37.092954400196668</c:v>
                </c:pt>
                <c:pt idx="34">
                  <c:v>26.493046091445436</c:v>
                </c:pt>
                <c:pt idx="35">
                  <c:v>18.400582841691254</c:v>
                </c:pt>
                <c:pt idx="36">
                  <c:v>11.312176007866276</c:v>
                </c:pt>
                <c:pt idx="37">
                  <c:v>9.724531588003936</c:v>
                </c:pt>
                <c:pt idx="38">
                  <c:v>21.04476966568339</c:v>
                </c:pt>
                <c:pt idx="39">
                  <c:v>10.800299778761065</c:v>
                </c:pt>
                <c:pt idx="40">
                  <c:v>8.7374665683382506</c:v>
                </c:pt>
                <c:pt idx="41">
                  <c:v>15.715806907571292</c:v>
                </c:pt>
                <c:pt idx="42">
                  <c:v>11.303058628318587</c:v>
                </c:pt>
                <c:pt idx="43">
                  <c:v>9.2202829400196649</c:v>
                </c:pt>
                <c:pt idx="44">
                  <c:v>25.373026302851532</c:v>
                </c:pt>
                <c:pt idx="45">
                  <c:v>14.779653146509341</c:v>
                </c:pt>
                <c:pt idx="46">
                  <c:v>10.317431661750248</c:v>
                </c:pt>
                <c:pt idx="47">
                  <c:v>8.3530850540806298</c:v>
                </c:pt>
                <c:pt idx="48">
                  <c:v>17.663805555555555</c:v>
                </c:pt>
                <c:pt idx="49">
                  <c:v>12.060125245821046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5B-44ED-A748-F0700548A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Regression'!$EH$45:$EH$104</c:f>
              <c:numCache>
                <c:formatCode>_-* #,##0.0_-;\-* #,##0.0_-;_-* "-"??_-;_-@_-</c:formatCode>
                <c:ptCount val="60"/>
                <c:pt idx="0">
                  <c:v>5</c:v>
                </c:pt>
                <c:pt idx="1">
                  <c:v>3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5</c:v>
                </c:pt>
                <c:pt idx="6">
                  <c:v>3</c:v>
                </c:pt>
                <c:pt idx="7">
                  <c:v>20</c:v>
                </c:pt>
                <c:pt idx="8">
                  <c:v>10</c:v>
                </c:pt>
                <c:pt idx="9">
                  <c:v>5</c:v>
                </c:pt>
                <c:pt idx="10">
                  <c:v>3</c:v>
                </c:pt>
                <c:pt idx="11">
                  <c:v>20</c:v>
                </c:pt>
                <c:pt idx="12">
                  <c:v>10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20</c:v>
                </c:pt>
                <c:pt idx="17">
                  <c:v>10</c:v>
                </c:pt>
                <c:pt idx="18">
                  <c:v>5</c:v>
                </c:pt>
                <c:pt idx="19">
                  <c:v>3</c:v>
                </c:pt>
                <c:pt idx="20">
                  <c:v>30</c:v>
                </c:pt>
                <c:pt idx="21">
                  <c:v>20</c:v>
                </c:pt>
                <c:pt idx="22">
                  <c:v>10</c:v>
                </c:pt>
                <c:pt idx="23">
                  <c:v>5</c:v>
                </c:pt>
                <c:pt idx="24">
                  <c:v>3</c:v>
                </c:pt>
                <c:pt idx="25">
                  <c:v>20</c:v>
                </c:pt>
                <c:pt idx="26">
                  <c:v>10</c:v>
                </c:pt>
                <c:pt idx="27">
                  <c:v>5</c:v>
                </c:pt>
                <c:pt idx="28">
                  <c:v>3</c:v>
                </c:pt>
                <c:pt idx="29">
                  <c:v>50</c:v>
                </c:pt>
                <c:pt idx="30">
                  <c:v>30</c:v>
                </c:pt>
                <c:pt idx="31">
                  <c:v>20</c:v>
                </c:pt>
                <c:pt idx="32">
                  <c:v>10</c:v>
                </c:pt>
                <c:pt idx="33">
                  <c:v>5</c:v>
                </c:pt>
                <c:pt idx="34">
                  <c:v>3</c:v>
                </c:pt>
                <c:pt idx="35">
                  <c:v>10</c:v>
                </c:pt>
                <c:pt idx="36">
                  <c:v>5</c:v>
                </c:pt>
                <c:pt idx="37">
                  <c:v>3</c:v>
                </c:pt>
                <c:pt idx="38">
                  <c:v>20</c:v>
                </c:pt>
                <c:pt idx="39">
                  <c:v>10</c:v>
                </c:pt>
                <c:pt idx="40">
                  <c:v>5</c:v>
                </c:pt>
                <c:pt idx="41">
                  <c:v>3</c:v>
                </c:pt>
                <c:pt idx="42">
                  <c:v>30</c:v>
                </c:pt>
                <c:pt idx="43">
                  <c:v>20</c:v>
                </c:pt>
                <c:pt idx="44">
                  <c:v>10</c:v>
                </c:pt>
                <c:pt idx="45">
                  <c:v>5</c:v>
                </c:pt>
                <c:pt idx="46">
                  <c:v>3</c:v>
                </c:pt>
                <c:pt idx="47">
                  <c:v>5</c:v>
                </c:pt>
                <c:pt idx="48">
                  <c:v>3</c:v>
                </c:pt>
                <c:pt idx="49">
                  <c:v>10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xVal>
          <c:yVal>
            <c:numRef>
              <c:f>'Oz Lotto Regression'!$EG$45:$EG$104</c:f>
              <c:numCache>
                <c:formatCode>_-* #,##0.0_-;\-* #,##0.0_-;_-* "-"??_-;_-@_-</c:formatCode>
                <c:ptCount val="60"/>
                <c:pt idx="0">
                  <c:v>9.7251242781242766</c:v>
                </c:pt>
                <c:pt idx="1">
                  <c:v>9.2700094710094678</c:v>
                </c:pt>
                <c:pt idx="2">
                  <c:v>24.316174405174401</c:v>
                </c:pt>
                <c:pt idx="3">
                  <c:v>20.387653730653728</c:v>
                </c:pt>
                <c:pt idx="4">
                  <c:v>14.791094479094479</c:v>
                </c:pt>
                <c:pt idx="5">
                  <c:v>10.052417532917532</c:v>
                </c:pt>
                <c:pt idx="6">
                  <c:v>9.0415546315546305</c:v>
                </c:pt>
                <c:pt idx="7">
                  <c:v>21.058703164703164</c:v>
                </c:pt>
                <c:pt idx="8">
                  <c:v>13.098005775005774</c:v>
                </c:pt>
                <c:pt idx="9">
                  <c:v>9.7208880803880806</c:v>
                </c:pt>
                <c:pt idx="10">
                  <c:v>9.2727051282051285</c:v>
                </c:pt>
                <c:pt idx="11">
                  <c:v>20.268493416493417</c:v>
                </c:pt>
                <c:pt idx="12">
                  <c:v>12.834873873873875</c:v>
                </c:pt>
                <c:pt idx="13">
                  <c:v>9.8822077847077843</c:v>
                </c:pt>
                <c:pt idx="14">
                  <c:v>8.8343585123585111</c:v>
                </c:pt>
                <c:pt idx="15">
                  <c:v>9.2527970662970649</c:v>
                </c:pt>
                <c:pt idx="16">
                  <c:v>20.78927465927466</c:v>
                </c:pt>
                <c:pt idx="17">
                  <c:v>11.083673814386204</c:v>
                </c:pt>
                <c:pt idx="18">
                  <c:v>9.1880974585886097</c:v>
                </c:pt>
                <c:pt idx="19">
                  <c:v>8.3759739051508983</c:v>
                </c:pt>
                <c:pt idx="20">
                  <c:v>24.007308373042882</c:v>
                </c:pt>
                <c:pt idx="21">
                  <c:v>19.316402995234853</c:v>
                </c:pt>
                <c:pt idx="22">
                  <c:v>12.652465963240299</c:v>
                </c:pt>
                <c:pt idx="23">
                  <c:v>14.048715452688906</c:v>
                </c:pt>
                <c:pt idx="24">
                  <c:v>8.8209846834581356</c:v>
                </c:pt>
                <c:pt idx="25">
                  <c:v>24.033234286362607</c:v>
                </c:pt>
                <c:pt idx="26">
                  <c:v>12.969386884501931</c:v>
                </c:pt>
                <c:pt idx="27">
                  <c:v>9.1472853415021582</c:v>
                </c:pt>
                <c:pt idx="28">
                  <c:v>8.5423063308373059</c:v>
                </c:pt>
                <c:pt idx="29">
                  <c:v>41.464495575221243</c:v>
                </c:pt>
                <c:pt idx="30">
                  <c:v>26.481381098252786</c:v>
                </c:pt>
                <c:pt idx="31">
                  <c:v>21.774610959836625</c:v>
                </c:pt>
                <c:pt idx="32">
                  <c:v>14.935118901747222</c:v>
                </c:pt>
                <c:pt idx="33">
                  <c:v>9.3231639437258913</c:v>
                </c:pt>
                <c:pt idx="34">
                  <c:v>8.1147970274563193</c:v>
                </c:pt>
                <c:pt idx="35">
                  <c:v>15.798659518947129</c:v>
                </c:pt>
                <c:pt idx="36">
                  <c:v>10.754930224642615</c:v>
                </c:pt>
                <c:pt idx="37">
                  <c:v>8.4663073519400953</c:v>
                </c:pt>
                <c:pt idx="38">
                  <c:v>22.150339459950082</c:v>
                </c:pt>
                <c:pt idx="39">
                  <c:v>15.460507941910599</c:v>
                </c:pt>
                <c:pt idx="40">
                  <c:v>15.887167007034266</c:v>
                </c:pt>
                <c:pt idx="41">
                  <c:v>8.9883838211935565</c:v>
                </c:pt>
                <c:pt idx="42">
                  <c:v>26.744814045836172</c:v>
                </c:pt>
                <c:pt idx="43">
                  <c:v>16.459891309280689</c:v>
                </c:pt>
                <c:pt idx="44">
                  <c:v>12.227484570002272</c:v>
                </c:pt>
                <c:pt idx="45">
                  <c:v>9.0675329022010427</c:v>
                </c:pt>
                <c:pt idx="46">
                  <c:v>8.4432679827547084</c:v>
                </c:pt>
                <c:pt idx="47">
                  <c:v>10.614764125255279</c:v>
                </c:pt>
                <c:pt idx="48">
                  <c:v>9.0062397322441576</c:v>
                </c:pt>
                <c:pt idx="49">
                  <c:v>13.527500000000002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E-40D0-9025-8DD885450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Regression'!$EH$45:$EH$97</c:f>
              <c:numCache>
                <c:formatCode>_-* #,##0.0_-;\-* #,##0.0_-;_-* "-"??_-;_-@_-</c:formatCode>
                <c:ptCount val="53"/>
                <c:pt idx="0">
                  <c:v>5</c:v>
                </c:pt>
                <c:pt idx="1">
                  <c:v>3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5</c:v>
                </c:pt>
                <c:pt idx="6">
                  <c:v>3</c:v>
                </c:pt>
                <c:pt idx="7">
                  <c:v>20</c:v>
                </c:pt>
                <c:pt idx="8">
                  <c:v>10</c:v>
                </c:pt>
                <c:pt idx="9">
                  <c:v>5</c:v>
                </c:pt>
                <c:pt idx="10">
                  <c:v>3</c:v>
                </c:pt>
                <c:pt idx="11">
                  <c:v>20</c:v>
                </c:pt>
                <c:pt idx="12">
                  <c:v>10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20</c:v>
                </c:pt>
                <c:pt idx="17">
                  <c:v>10</c:v>
                </c:pt>
                <c:pt idx="18">
                  <c:v>5</c:v>
                </c:pt>
                <c:pt idx="19">
                  <c:v>3</c:v>
                </c:pt>
                <c:pt idx="20">
                  <c:v>30</c:v>
                </c:pt>
                <c:pt idx="21">
                  <c:v>20</c:v>
                </c:pt>
                <c:pt idx="22">
                  <c:v>10</c:v>
                </c:pt>
                <c:pt idx="23">
                  <c:v>5</c:v>
                </c:pt>
                <c:pt idx="24">
                  <c:v>3</c:v>
                </c:pt>
                <c:pt idx="25">
                  <c:v>20</c:v>
                </c:pt>
                <c:pt idx="26">
                  <c:v>10</c:v>
                </c:pt>
                <c:pt idx="27">
                  <c:v>5</c:v>
                </c:pt>
                <c:pt idx="28">
                  <c:v>3</c:v>
                </c:pt>
                <c:pt idx="29">
                  <c:v>50</c:v>
                </c:pt>
                <c:pt idx="30">
                  <c:v>30</c:v>
                </c:pt>
                <c:pt idx="31">
                  <c:v>20</c:v>
                </c:pt>
                <c:pt idx="32">
                  <c:v>10</c:v>
                </c:pt>
                <c:pt idx="33">
                  <c:v>5</c:v>
                </c:pt>
                <c:pt idx="34">
                  <c:v>3</c:v>
                </c:pt>
                <c:pt idx="35">
                  <c:v>10</c:v>
                </c:pt>
                <c:pt idx="36">
                  <c:v>5</c:v>
                </c:pt>
                <c:pt idx="37">
                  <c:v>3</c:v>
                </c:pt>
                <c:pt idx="38">
                  <c:v>20</c:v>
                </c:pt>
                <c:pt idx="39">
                  <c:v>10</c:v>
                </c:pt>
                <c:pt idx="40">
                  <c:v>5</c:v>
                </c:pt>
                <c:pt idx="41">
                  <c:v>3</c:v>
                </c:pt>
                <c:pt idx="42">
                  <c:v>30</c:v>
                </c:pt>
                <c:pt idx="43">
                  <c:v>20</c:v>
                </c:pt>
                <c:pt idx="44">
                  <c:v>10</c:v>
                </c:pt>
                <c:pt idx="45">
                  <c:v>5</c:v>
                </c:pt>
                <c:pt idx="46">
                  <c:v>3</c:v>
                </c:pt>
                <c:pt idx="47">
                  <c:v>5</c:v>
                </c:pt>
                <c:pt idx="48">
                  <c:v>3</c:v>
                </c:pt>
                <c:pt idx="49">
                  <c:v>10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xVal>
          <c:yVal>
            <c:numRef>
              <c:f>'Oz Lotto Regression'!$EG$45:$EG$97</c:f>
              <c:numCache>
                <c:formatCode>_-* #,##0.0_-;\-* #,##0.0_-;_-* "-"??_-;_-@_-</c:formatCode>
                <c:ptCount val="53"/>
                <c:pt idx="0">
                  <c:v>9.7251242781242766</c:v>
                </c:pt>
                <c:pt idx="1">
                  <c:v>9.2700094710094678</c:v>
                </c:pt>
                <c:pt idx="2">
                  <c:v>24.316174405174401</c:v>
                </c:pt>
                <c:pt idx="3">
                  <c:v>20.387653730653728</c:v>
                </c:pt>
                <c:pt idx="4">
                  <c:v>14.791094479094479</c:v>
                </c:pt>
                <c:pt idx="5">
                  <c:v>10.052417532917532</c:v>
                </c:pt>
                <c:pt idx="6">
                  <c:v>9.0415546315546305</c:v>
                </c:pt>
                <c:pt idx="7">
                  <c:v>21.058703164703164</c:v>
                </c:pt>
                <c:pt idx="8">
                  <c:v>13.098005775005774</c:v>
                </c:pt>
                <c:pt idx="9">
                  <c:v>9.7208880803880806</c:v>
                </c:pt>
                <c:pt idx="10">
                  <c:v>9.2727051282051285</c:v>
                </c:pt>
                <c:pt idx="11">
                  <c:v>20.268493416493417</c:v>
                </c:pt>
                <c:pt idx="12">
                  <c:v>12.834873873873875</c:v>
                </c:pt>
                <c:pt idx="13">
                  <c:v>9.8822077847077843</c:v>
                </c:pt>
                <c:pt idx="14">
                  <c:v>8.8343585123585111</c:v>
                </c:pt>
                <c:pt idx="15">
                  <c:v>9.2527970662970649</c:v>
                </c:pt>
                <c:pt idx="16">
                  <c:v>20.78927465927466</c:v>
                </c:pt>
                <c:pt idx="17">
                  <c:v>11.083673814386204</c:v>
                </c:pt>
                <c:pt idx="18">
                  <c:v>9.1880974585886097</c:v>
                </c:pt>
                <c:pt idx="19">
                  <c:v>8.3759739051508983</c:v>
                </c:pt>
                <c:pt idx="20">
                  <c:v>24.007308373042882</c:v>
                </c:pt>
                <c:pt idx="21">
                  <c:v>19.316402995234853</c:v>
                </c:pt>
                <c:pt idx="22">
                  <c:v>12.652465963240299</c:v>
                </c:pt>
                <c:pt idx="23">
                  <c:v>14.048715452688906</c:v>
                </c:pt>
                <c:pt idx="24">
                  <c:v>8.8209846834581356</c:v>
                </c:pt>
                <c:pt idx="25">
                  <c:v>24.033234286362607</c:v>
                </c:pt>
                <c:pt idx="26">
                  <c:v>12.969386884501931</c:v>
                </c:pt>
                <c:pt idx="27">
                  <c:v>9.1472853415021582</c:v>
                </c:pt>
                <c:pt idx="28">
                  <c:v>8.5423063308373059</c:v>
                </c:pt>
                <c:pt idx="29">
                  <c:v>41.464495575221243</c:v>
                </c:pt>
                <c:pt idx="30">
                  <c:v>26.481381098252786</c:v>
                </c:pt>
                <c:pt idx="31">
                  <c:v>21.774610959836625</c:v>
                </c:pt>
                <c:pt idx="32">
                  <c:v>14.935118901747222</c:v>
                </c:pt>
                <c:pt idx="33">
                  <c:v>9.3231639437258913</c:v>
                </c:pt>
                <c:pt idx="34">
                  <c:v>8.1147970274563193</c:v>
                </c:pt>
                <c:pt idx="35">
                  <c:v>15.798659518947129</c:v>
                </c:pt>
                <c:pt idx="36">
                  <c:v>10.754930224642615</c:v>
                </c:pt>
                <c:pt idx="37">
                  <c:v>8.4663073519400953</c:v>
                </c:pt>
                <c:pt idx="38">
                  <c:v>22.150339459950082</c:v>
                </c:pt>
                <c:pt idx="39">
                  <c:v>15.460507941910599</c:v>
                </c:pt>
                <c:pt idx="40">
                  <c:v>15.887167007034266</c:v>
                </c:pt>
                <c:pt idx="41">
                  <c:v>8.9883838211935565</c:v>
                </c:pt>
                <c:pt idx="42">
                  <c:v>26.744814045836172</c:v>
                </c:pt>
                <c:pt idx="43">
                  <c:v>16.459891309280689</c:v>
                </c:pt>
                <c:pt idx="44">
                  <c:v>12.227484570002272</c:v>
                </c:pt>
                <c:pt idx="45">
                  <c:v>9.0675329022010427</c:v>
                </c:pt>
                <c:pt idx="46">
                  <c:v>8.4432679827547084</c:v>
                </c:pt>
                <c:pt idx="47">
                  <c:v>10.614764125255279</c:v>
                </c:pt>
                <c:pt idx="48">
                  <c:v>9.0062397322441576</c:v>
                </c:pt>
                <c:pt idx="49">
                  <c:v>13.527500000000002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1F-4441-991D-A99EF8FF1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Regression'!$AT$45:$AT$97</c:f>
              <c:numCache>
                <c:formatCode>_-* #,##0.0_-;\-* #,##0.0_-;_-* "-"??_-;_-@_-</c:formatCode>
                <c:ptCount val="53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40</c:v>
                </c:pt>
                <c:pt idx="6">
                  <c:v>2</c:v>
                </c:pt>
                <c:pt idx="7">
                  <c:v>5</c:v>
                </c:pt>
                <c:pt idx="8">
                  <c:v>10</c:v>
                </c:pt>
                <c:pt idx="9">
                  <c:v>2</c:v>
                </c:pt>
                <c:pt idx="10">
                  <c:v>5</c:v>
                </c:pt>
                <c:pt idx="11">
                  <c:v>10</c:v>
                </c:pt>
                <c:pt idx="12">
                  <c:v>15</c:v>
                </c:pt>
                <c:pt idx="13">
                  <c:v>25</c:v>
                </c:pt>
                <c:pt idx="14">
                  <c:v>40</c:v>
                </c:pt>
                <c:pt idx="15">
                  <c:v>50</c:v>
                </c:pt>
                <c:pt idx="16">
                  <c:v>2</c:v>
                </c:pt>
                <c:pt idx="17">
                  <c:v>5</c:v>
                </c:pt>
                <c:pt idx="18">
                  <c:v>10</c:v>
                </c:pt>
                <c:pt idx="19">
                  <c:v>2</c:v>
                </c:pt>
                <c:pt idx="20">
                  <c:v>5</c:v>
                </c:pt>
                <c:pt idx="21">
                  <c:v>2</c:v>
                </c:pt>
                <c:pt idx="22">
                  <c:v>5</c:v>
                </c:pt>
                <c:pt idx="23">
                  <c:v>10</c:v>
                </c:pt>
                <c:pt idx="24">
                  <c:v>15</c:v>
                </c:pt>
                <c:pt idx="25">
                  <c:v>20</c:v>
                </c:pt>
                <c:pt idx="26">
                  <c:v>2</c:v>
                </c:pt>
                <c:pt idx="27">
                  <c:v>5</c:v>
                </c:pt>
                <c:pt idx="28">
                  <c:v>10</c:v>
                </c:pt>
                <c:pt idx="29">
                  <c:v>2</c:v>
                </c:pt>
                <c:pt idx="30">
                  <c:v>5</c:v>
                </c:pt>
                <c:pt idx="31">
                  <c:v>10</c:v>
                </c:pt>
                <c:pt idx="32">
                  <c:v>2</c:v>
                </c:pt>
                <c:pt idx="33">
                  <c:v>5</c:v>
                </c:pt>
                <c:pt idx="34">
                  <c:v>2</c:v>
                </c:pt>
                <c:pt idx="35">
                  <c:v>5</c:v>
                </c:pt>
                <c:pt idx="36">
                  <c:v>10</c:v>
                </c:pt>
                <c:pt idx="37">
                  <c:v>15</c:v>
                </c:pt>
                <c:pt idx="38">
                  <c:v>2</c:v>
                </c:pt>
                <c:pt idx="39">
                  <c:v>5</c:v>
                </c:pt>
                <c:pt idx="40">
                  <c:v>10</c:v>
                </c:pt>
                <c:pt idx="41">
                  <c:v>15</c:v>
                </c:pt>
                <c:pt idx="42">
                  <c:v>2</c:v>
                </c:pt>
                <c:pt idx="43">
                  <c:v>2</c:v>
                </c:pt>
                <c:pt idx="44">
                  <c:v>5</c:v>
                </c:pt>
                <c:pt idx="45">
                  <c:v>10</c:v>
                </c:pt>
                <c:pt idx="46">
                  <c:v>15</c:v>
                </c:pt>
                <c:pt idx="47">
                  <c:v>2</c:v>
                </c:pt>
                <c:pt idx="48">
                  <c:v>2</c:v>
                </c:pt>
                <c:pt idx="49">
                  <c:v>5</c:v>
                </c:pt>
                <c:pt idx="50">
                  <c:v>10</c:v>
                </c:pt>
                <c:pt idx="51">
                  <c:v>20</c:v>
                </c:pt>
                <c:pt idx="52">
                  <c:v>30</c:v>
                </c:pt>
              </c:numCache>
            </c:numRef>
          </c:xVal>
          <c:yVal>
            <c:numRef>
              <c:f>'Oz Lotto Regression'!$AS$45:$AS$97</c:f>
              <c:numCache>
                <c:formatCode>_-* #,##0.0_-;\-* #,##0.0_-;_-* "-"??_-;_-@_-</c:formatCode>
                <c:ptCount val="53"/>
                <c:pt idx="0">
                  <c:v>8.4306527777777784</c:v>
                </c:pt>
                <c:pt idx="1">
                  <c:v>9.6763874139626367</c:v>
                </c:pt>
                <c:pt idx="2">
                  <c:v>13.883266470009833</c:v>
                </c:pt>
                <c:pt idx="3">
                  <c:v>21.90278539823009</c:v>
                </c:pt>
                <c:pt idx="4">
                  <c:v>28.630879424778772</c:v>
                </c:pt>
                <c:pt idx="5">
                  <c:v>35.846270157325478</c:v>
                </c:pt>
                <c:pt idx="6">
                  <c:v>8.7331270894788595</c:v>
                </c:pt>
                <c:pt idx="7">
                  <c:v>10.238481071779745</c:v>
                </c:pt>
                <c:pt idx="8">
                  <c:v>13.351775319567357</c:v>
                </c:pt>
                <c:pt idx="9">
                  <c:v>8.0384489921337288</c:v>
                </c:pt>
                <c:pt idx="10">
                  <c:v>9.5330479351032462</c:v>
                </c:pt>
                <c:pt idx="11">
                  <c:v>13.198568706981318</c:v>
                </c:pt>
                <c:pt idx="12">
                  <c:v>22.871940511307773</c:v>
                </c:pt>
                <c:pt idx="13">
                  <c:v>27.879556170108167</c:v>
                </c:pt>
                <c:pt idx="14">
                  <c:v>33.615880530973456</c:v>
                </c:pt>
                <c:pt idx="15">
                  <c:v>43.907561578171098</c:v>
                </c:pt>
                <c:pt idx="16">
                  <c:v>8.8786785889872188</c:v>
                </c:pt>
                <c:pt idx="17">
                  <c:v>10.45412782694199</c:v>
                </c:pt>
                <c:pt idx="18">
                  <c:v>13.989049901671585</c:v>
                </c:pt>
                <c:pt idx="19">
                  <c:v>7.9368591445427752</c:v>
                </c:pt>
                <c:pt idx="20">
                  <c:v>9.9437225909537883</c:v>
                </c:pt>
                <c:pt idx="21">
                  <c:v>8.4610106932153428</c:v>
                </c:pt>
                <c:pt idx="22">
                  <c:v>10.858241887905608</c:v>
                </c:pt>
                <c:pt idx="23">
                  <c:v>14.885551007866272</c:v>
                </c:pt>
                <c:pt idx="24">
                  <c:v>17.512230211406102</c:v>
                </c:pt>
                <c:pt idx="25">
                  <c:v>21.870114798426748</c:v>
                </c:pt>
                <c:pt idx="26">
                  <c:v>10.706460545722717</c:v>
                </c:pt>
                <c:pt idx="27">
                  <c:v>11.340723574237956</c:v>
                </c:pt>
                <c:pt idx="28">
                  <c:v>16.341286873156346</c:v>
                </c:pt>
                <c:pt idx="29">
                  <c:v>7.9494464110127838</c:v>
                </c:pt>
                <c:pt idx="30">
                  <c:v>9.4532450835791568</c:v>
                </c:pt>
                <c:pt idx="31">
                  <c:v>13.66649668141593</c:v>
                </c:pt>
                <c:pt idx="32">
                  <c:v>7.9981910029498531</c:v>
                </c:pt>
                <c:pt idx="33">
                  <c:v>10.4772715093412</c:v>
                </c:pt>
                <c:pt idx="34">
                  <c:v>7.8843302605703052</c:v>
                </c:pt>
                <c:pt idx="35">
                  <c:v>9.7937862586037383</c:v>
                </c:pt>
                <c:pt idx="36">
                  <c:v>12.892954891838743</c:v>
                </c:pt>
                <c:pt idx="37">
                  <c:v>14.721239306784664</c:v>
                </c:pt>
                <c:pt idx="38">
                  <c:v>7.2153132989183897</c:v>
                </c:pt>
                <c:pt idx="39">
                  <c:v>10.565742994100297</c:v>
                </c:pt>
                <c:pt idx="40">
                  <c:v>16.704283923303837</c:v>
                </c:pt>
                <c:pt idx="41">
                  <c:v>19.239208702064897</c:v>
                </c:pt>
                <c:pt idx="42">
                  <c:v>8.448518928220258</c:v>
                </c:pt>
                <c:pt idx="43">
                  <c:v>8.8295294985250763</c:v>
                </c:pt>
                <c:pt idx="44">
                  <c:v>11.116368731563423</c:v>
                </c:pt>
                <c:pt idx="45">
                  <c:v>18.68411369223206</c:v>
                </c:pt>
                <c:pt idx="46">
                  <c:v>23.689684365781712</c:v>
                </c:pt>
                <c:pt idx="47">
                  <c:v>9.2258298918387442</c:v>
                </c:pt>
                <c:pt idx="48">
                  <c:v>9.383140363815146</c:v>
                </c:pt>
                <c:pt idx="49">
                  <c:v>12.050755653883975</c:v>
                </c:pt>
                <c:pt idx="50">
                  <c:v>17.68526794493609</c:v>
                </c:pt>
                <c:pt idx="51">
                  <c:v>24.465498525073752</c:v>
                </c:pt>
                <c:pt idx="52">
                  <c:v>31.333097836774829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73-4B71-84AB-4EB840128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Regression'!$AT$45:$AT$97</c:f>
              <c:numCache>
                <c:formatCode>_-* #,##0.0_-;\-* #,##0.0_-;_-* "-"??_-;_-@_-</c:formatCode>
                <c:ptCount val="53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25</c:v>
                </c:pt>
                <c:pt idx="5">
                  <c:v>40</c:v>
                </c:pt>
                <c:pt idx="6">
                  <c:v>2</c:v>
                </c:pt>
                <c:pt idx="7">
                  <c:v>5</c:v>
                </c:pt>
                <c:pt idx="8">
                  <c:v>10</c:v>
                </c:pt>
                <c:pt idx="9">
                  <c:v>2</c:v>
                </c:pt>
                <c:pt idx="10">
                  <c:v>5</c:v>
                </c:pt>
                <c:pt idx="11">
                  <c:v>10</c:v>
                </c:pt>
                <c:pt idx="12">
                  <c:v>15</c:v>
                </c:pt>
                <c:pt idx="13">
                  <c:v>25</c:v>
                </c:pt>
                <c:pt idx="14">
                  <c:v>40</c:v>
                </c:pt>
                <c:pt idx="15">
                  <c:v>50</c:v>
                </c:pt>
                <c:pt idx="16">
                  <c:v>2</c:v>
                </c:pt>
                <c:pt idx="17">
                  <c:v>5</c:v>
                </c:pt>
                <c:pt idx="18">
                  <c:v>10</c:v>
                </c:pt>
                <c:pt idx="19">
                  <c:v>2</c:v>
                </c:pt>
                <c:pt idx="20">
                  <c:v>5</c:v>
                </c:pt>
                <c:pt idx="21">
                  <c:v>2</c:v>
                </c:pt>
                <c:pt idx="22">
                  <c:v>5</c:v>
                </c:pt>
                <c:pt idx="23">
                  <c:v>10</c:v>
                </c:pt>
                <c:pt idx="24">
                  <c:v>15</c:v>
                </c:pt>
                <c:pt idx="25">
                  <c:v>20</c:v>
                </c:pt>
                <c:pt idx="26">
                  <c:v>2</c:v>
                </c:pt>
                <c:pt idx="27">
                  <c:v>5</c:v>
                </c:pt>
                <c:pt idx="28">
                  <c:v>10</c:v>
                </c:pt>
                <c:pt idx="29">
                  <c:v>2</c:v>
                </c:pt>
                <c:pt idx="30">
                  <c:v>5</c:v>
                </c:pt>
                <c:pt idx="31">
                  <c:v>10</c:v>
                </c:pt>
                <c:pt idx="32">
                  <c:v>2</c:v>
                </c:pt>
                <c:pt idx="33">
                  <c:v>5</c:v>
                </c:pt>
                <c:pt idx="34">
                  <c:v>2</c:v>
                </c:pt>
                <c:pt idx="35">
                  <c:v>5</c:v>
                </c:pt>
                <c:pt idx="36">
                  <c:v>10</c:v>
                </c:pt>
                <c:pt idx="37">
                  <c:v>15</c:v>
                </c:pt>
                <c:pt idx="38">
                  <c:v>2</c:v>
                </c:pt>
                <c:pt idx="39">
                  <c:v>5</c:v>
                </c:pt>
                <c:pt idx="40">
                  <c:v>10</c:v>
                </c:pt>
                <c:pt idx="41">
                  <c:v>15</c:v>
                </c:pt>
                <c:pt idx="42">
                  <c:v>2</c:v>
                </c:pt>
                <c:pt idx="43">
                  <c:v>2</c:v>
                </c:pt>
                <c:pt idx="44">
                  <c:v>5</c:v>
                </c:pt>
                <c:pt idx="45">
                  <c:v>10</c:v>
                </c:pt>
                <c:pt idx="46">
                  <c:v>15</c:v>
                </c:pt>
                <c:pt idx="47">
                  <c:v>2</c:v>
                </c:pt>
                <c:pt idx="48">
                  <c:v>2</c:v>
                </c:pt>
                <c:pt idx="49">
                  <c:v>5</c:v>
                </c:pt>
                <c:pt idx="50">
                  <c:v>10</c:v>
                </c:pt>
                <c:pt idx="51">
                  <c:v>20</c:v>
                </c:pt>
                <c:pt idx="52">
                  <c:v>30</c:v>
                </c:pt>
              </c:numCache>
            </c:numRef>
          </c:xVal>
          <c:yVal>
            <c:numRef>
              <c:f>'Oz Lotto Regression'!$AS$45:$AS$97</c:f>
              <c:numCache>
                <c:formatCode>_-* #,##0.0_-;\-* #,##0.0_-;_-* "-"??_-;_-@_-</c:formatCode>
                <c:ptCount val="53"/>
                <c:pt idx="0">
                  <c:v>8.4306527777777784</c:v>
                </c:pt>
                <c:pt idx="1">
                  <c:v>9.6763874139626367</c:v>
                </c:pt>
                <c:pt idx="2">
                  <c:v>13.883266470009833</c:v>
                </c:pt>
                <c:pt idx="3">
                  <c:v>21.90278539823009</c:v>
                </c:pt>
                <c:pt idx="4">
                  <c:v>28.630879424778772</c:v>
                </c:pt>
                <c:pt idx="5">
                  <c:v>35.846270157325478</c:v>
                </c:pt>
                <c:pt idx="6">
                  <c:v>8.7331270894788595</c:v>
                </c:pt>
                <c:pt idx="7">
                  <c:v>10.238481071779745</c:v>
                </c:pt>
                <c:pt idx="8">
                  <c:v>13.351775319567357</c:v>
                </c:pt>
                <c:pt idx="9">
                  <c:v>8.0384489921337288</c:v>
                </c:pt>
                <c:pt idx="10">
                  <c:v>9.5330479351032462</c:v>
                </c:pt>
                <c:pt idx="11">
                  <c:v>13.198568706981318</c:v>
                </c:pt>
                <c:pt idx="12">
                  <c:v>22.871940511307773</c:v>
                </c:pt>
                <c:pt idx="13">
                  <c:v>27.879556170108167</c:v>
                </c:pt>
                <c:pt idx="14">
                  <c:v>33.615880530973456</c:v>
                </c:pt>
                <c:pt idx="15">
                  <c:v>43.907561578171098</c:v>
                </c:pt>
                <c:pt idx="16">
                  <c:v>8.8786785889872188</c:v>
                </c:pt>
                <c:pt idx="17">
                  <c:v>10.45412782694199</c:v>
                </c:pt>
                <c:pt idx="18">
                  <c:v>13.989049901671585</c:v>
                </c:pt>
                <c:pt idx="19">
                  <c:v>7.9368591445427752</c:v>
                </c:pt>
                <c:pt idx="20">
                  <c:v>9.9437225909537883</c:v>
                </c:pt>
                <c:pt idx="21">
                  <c:v>8.4610106932153428</c:v>
                </c:pt>
                <c:pt idx="22">
                  <c:v>10.858241887905608</c:v>
                </c:pt>
                <c:pt idx="23">
                  <c:v>14.885551007866272</c:v>
                </c:pt>
                <c:pt idx="24">
                  <c:v>17.512230211406102</c:v>
                </c:pt>
                <c:pt idx="25">
                  <c:v>21.870114798426748</c:v>
                </c:pt>
                <c:pt idx="26">
                  <c:v>10.706460545722717</c:v>
                </c:pt>
                <c:pt idx="27">
                  <c:v>11.340723574237956</c:v>
                </c:pt>
                <c:pt idx="28">
                  <c:v>16.341286873156346</c:v>
                </c:pt>
                <c:pt idx="29">
                  <c:v>7.9494464110127838</c:v>
                </c:pt>
                <c:pt idx="30">
                  <c:v>9.4532450835791568</c:v>
                </c:pt>
                <c:pt idx="31">
                  <c:v>13.66649668141593</c:v>
                </c:pt>
                <c:pt idx="32">
                  <c:v>7.9981910029498531</c:v>
                </c:pt>
                <c:pt idx="33">
                  <c:v>10.4772715093412</c:v>
                </c:pt>
                <c:pt idx="34">
                  <c:v>7.8843302605703052</c:v>
                </c:pt>
                <c:pt idx="35">
                  <c:v>9.7937862586037383</c:v>
                </c:pt>
                <c:pt idx="36">
                  <c:v>12.892954891838743</c:v>
                </c:pt>
                <c:pt idx="37">
                  <c:v>14.721239306784664</c:v>
                </c:pt>
                <c:pt idx="38">
                  <c:v>7.2153132989183897</c:v>
                </c:pt>
                <c:pt idx="39">
                  <c:v>10.565742994100297</c:v>
                </c:pt>
                <c:pt idx="40">
                  <c:v>16.704283923303837</c:v>
                </c:pt>
                <c:pt idx="41">
                  <c:v>19.239208702064897</c:v>
                </c:pt>
                <c:pt idx="42">
                  <c:v>8.448518928220258</c:v>
                </c:pt>
                <c:pt idx="43">
                  <c:v>8.8295294985250763</c:v>
                </c:pt>
                <c:pt idx="44">
                  <c:v>11.116368731563423</c:v>
                </c:pt>
                <c:pt idx="45">
                  <c:v>18.68411369223206</c:v>
                </c:pt>
                <c:pt idx="46">
                  <c:v>23.689684365781712</c:v>
                </c:pt>
                <c:pt idx="47">
                  <c:v>9.2258298918387442</c:v>
                </c:pt>
                <c:pt idx="48">
                  <c:v>9.383140363815146</c:v>
                </c:pt>
                <c:pt idx="49">
                  <c:v>12.050755653883975</c:v>
                </c:pt>
                <c:pt idx="50">
                  <c:v>17.68526794493609</c:v>
                </c:pt>
                <c:pt idx="51">
                  <c:v>24.465498525073752</c:v>
                </c:pt>
                <c:pt idx="52">
                  <c:v>31.333097836774829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74-4A0C-80D8-A7503AF05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'Oz Lotto Regression'!$DF$29</c:f>
              <c:strCache>
                <c:ptCount val="1"/>
                <c:pt idx="0">
                  <c:v> Pre GC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'Oz Lotto Regression'!$EO$3:$EO$55</c:f>
              <c:numCache>
                <c:formatCode>_-* #,##0_-;\-* #,##0_-;_-* "-"??_-;_-@_-</c:formatCode>
                <c:ptCount val="53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50000000</c:v>
                </c:pt>
                <c:pt idx="4">
                  <c:v>2000000</c:v>
                </c:pt>
                <c:pt idx="5">
                  <c:v>5000000</c:v>
                </c:pt>
                <c:pt idx="6">
                  <c:v>10000000</c:v>
                </c:pt>
                <c:pt idx="7">
                  <c:v>2000000</c:v>
                </c:pt>
                <c:pt idx="8">
                  <c:v>5000000</c:v>
                </c:pt>
                <c:pt idx="9">
                  <c:v>10000000</c:v>
                </c:pt>
                <c:pt idx="10">
                  <c:v>2000000</c:v>
                </c:pt>
                <c:pt idx="11">
                  <c:v>5000000</c:v>
                </c:pt>
                <c:pt idx="12">
                  <c:v>2000000</c:v>
                </c:pt>
                <c:pt idx="13">
                  <c:v>2000000</c:v>
                </c:pt>
                <c:pt idx="14">
                  <c:v>5000000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2000000</c:v>
                </c:pt>
                <c:pt idx="18">
                  <c:v>5000000</c:v>
                </c:pt>
              </c:numCache>
            </c:numRef>
          </c:xVal>
          <c:yVal>
            <c:numRef>
              <c:f>'Oz Lotto Regression'!$EN$3:$EN$55</c:f>
              <c:numCache>
                <c:formatCode>_-* #,##0_-;\-* #,##0_-;_-* "-"??_-;_-@_-</c:formatCode>
                <c:ptCount val="53"/>
                <c:pt idx="0">
                  <c:v>13895292</c:v>
                </c:pt>
                <c:pt idx="1">
                  <c:v>24878085</c:v>
                </c:pt>
                <c:pt idx="2">
                  <c:v>31693230</c:v>
                </c:pt>
                <c:pt idx="3">
                  <c:v>48101343</c:v>
                </c:pt>
                <c:pt idx="4">
                  <c:v>9278637</c:v>
                </c:pt>
                <c:pt idx="5">
                  <c:v>11077362</c:v>
                </c:pt>
                <c:pt idx="6">
                  <c:v>14443305</c:v>
                </c:pt>
                <c:pt idx="7">
                  <c:v>8213148</c:v>
                </c:pt>
                <c:pt idx="8">
                  <c:v>12585855</c:v>
                </c:pt>
                <c:pt idx="9">
                  <c:v>18339861</c:v>
                </c:pt>
                <c:pt idx="10">
                  <c:v>8647974</c:v>
                </c:pt>
                <c:pt idx="11">
                  <c:v>15013329</c:v>
                </c:pt>
                <c:pt idx="12">
                  <c:v>9676923</c:v>
                </c:pt>
                <c:pt idx="13">
                  <c:v>7645821</c:v>
                </c:pt>
                <c:pt idx="14">
                  <c:v>11420142</c:v>
                </c:pt>
                <c:pt idx="15">
                  <c:v>16537308</c:v>
                </c:pt>
                <c:pt idx="16">
                  <c:v>20714265</c:v>
                </c:pt>
                <c:pt idx="17">
                  <c:v>7781019</c:v>
                </c:pt>
                <c:pt idx="18">
                  <c:v>10780866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DB-4BF4-AA63-2CDF12CF94E4}"/>
            </c:ext>
          </c:extLst>
        </c:ser>
        <c:ser>
          <c:idx val="1"/>
          <c:order val="1"/>
          <c:tx>
            <c:strRef>
              <c:f>'Oz Lotto Regression'!$DV$3</c:f>
              <c:strCache>
                <c:ptCount val="1"/>
                <c:pt idx="0">
                  <c:v> Post GC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'Oz Lotto Regression'!$EX$3:$EX$55</c:f>
              <c:numCache>
                <c:formatCode>_-* #,##0_-;\-* #,##0_-;_-* "-"??_-;_-@_-</c:formatCode>
                <c:ptCount val="53"/>
                <c:pt idx="0">
                  <c:v>10000000</c:v>
                </c:pt>
                <c:pt idx="1">
                  <c:v>3000000</c:v>
                </c:pt>
                <c:pt idx="2">
                  <c:v>5000000</c:v>
                </c:pt>
                <c:pt idx="3">
                  <c:v>3000000</c:v>
                </c:pt>
                <c:pt idx="4">
                  <c:v>5000000</c:v>
                </c:pt>
                <c:pt idx="5">
                  <c:v>10000000</c:v>
                </c:pt>
                <c:pt idx="6">
                  <c:v>20000000</c:v>
                </c:pt>
                <c:pt idx="7">
                  <c:v>30000000</c:v>
                </c:pt>
                <c:pt idx="8">
                  <c:v>3000000</c:v>
                </c:pt>
                <c:pt idx="9">
                  <c:v>5000000</c:v>
                </c:pt>
                <c:pt idx="10">
                  <c:v>10000000</c:v>
                </c:pt>
                <c:pt idx="11">
                  <c:v>20000000</c:v>
                </c:pt>
                <c:pt idx="12">
                  <c:v>3000000</c:v>
                </c:pt>
                <c:pt idx="13">
                  <c:v>5000000</c:v>
                </c:pt>
                <c:pt idx="14">
                  <c:v>10000000</c:v>
                </c:pt>
                <c:pt idx="15">
                  <c:v>3000000</c:v>
                </c:pt>
                <c:pt idx="16">
                  <c:v>5000000</c:v>
                </c:pt>
                <c:pt idx="17">
                  <c:v>10000000</c:v>
                </c:pt>
                <c:pt idx="18">
                  <c:v>20000000</c:v>
                </c:pt>
                <c:pt idx="19">
                  <c:v>30000000</c:v>
                </c:pt>
                <c:pt idx="20">
                  <c:v>50000000</c:v>
                </c:pt>
                <c:pt idx="21">
                  <c:v>3000000</c:v>
                </c:pt>
                <c:pt idx="22">
                  <c:v>5000000</c:v>
                </c:pt>
                <c:pt idx="23">
                  <c:v>10000000</c:v>
                </c:pt>
                <c:pt idx="24">
                  <c:v>20000000</c:v>
                </c:pt>
                <c:pt idx="25">
                  <c:v>3000000</c:v>
                </c:pt>
                <c:pt idx="26">
                  <c:v>5000000</c:v>
                </c:pt>
                <c:pt idx="27">
                  <c:v>10000000</c:v>
                </c:pt>
              </c:numCache>
            </c:numRef>
          </c:xVal>
          <c:yVal>
            <c:numRef>
              <c:f>'Oz Lotto Regression'!$EW$3:$EW$55</c:f>
              <c:numCache>
                <c:formatCode>_-* #,##0_-;\-* #,##0_-;_-* "-"??_-;_-@_-</c:formatCode>
                <c:ptCount val="53"/>
                <c:pt idx="0">
                  <c:v>14327800</c:v>
                </c:pt>
                <c:pt idx="1">
                  <c:v>7044904</c:v>
                </c:pt>
                <c:pt idx="2">
                  <c:v>11113346</c:v>
                </c:pt>
                <c:pt idx="3">
                  <c:v>10186086</c:v>
                </c:pt>
                <c:pt idx="4">
                  <c:v>8929954</c:v>
                </c:pt>
                <c:pt idx="5">
                  <c:v>11924379</c:v>
                </c:pt>
                <c:pt idx="6">
                  <c:v>14489396</c:v>
                </c:pt>
                <c:pt idx="7">
                  <c:v>28517931</c:v>
                </c:pt>
                <c:pt idx="8">
                  <c:v>8282860</c:v>
                </c:pt>
                <c:pt idx="9">
                  <c:v>16148240</c:v>
                </c:pt>
                <c:pt idx="10">
                  <c:v>16873221</c:v>
                </c:pt>
                <c:pt idx="11">
                  <c:v>22262263</c:v>
                </c:pt>
                <c:pt idx="12">
                  <c:v>7570943</c:v>
                </c:pt>
                <c:pt idx="13">
                  <c:v>9312715</c:v>
                </c:pt>
                <c:pt idx="14">
                  <c:v>17961864</c:v>
                </c:pt>
                <c:pt idx="15">
                  <c:v>8684436</c:v>
                </c:pt>
                <c:pt idx="16">
                  <c:v>9908263</c:v>
                </c:pt>
                <c:pt idx="17">
                  <c:v>16145897</c:v>
                </c:pt>
                <c:pt idx="18">
                  <c:v>23315690</c:v>
                </c:pt>
                <c:pt idx="19">
                  <c:v>27022813</c:v>
                </c:pt>
                <c:pt idx="20">
                  <c:v>39653216</c:v>
                </c:pt>
                <c:pt idx="21">
                  <c:v>7851819</c:v>
                </c:pt>
                <c:pt idx="22">
                  <c:v>9544388</c:v>
                </c:pt>
                <c:pt idx="23">
                  <c:v>13198474</c:v>
                </c:pt>
                <c:pt idx="24">
                  <c:v>26314446</c:v>
                </c:pt>
                <c:pt idx="25">
                  <c:v>9565262</c:v>
                </c:pt>
                <c:pt idx="26">
                  <c:v>11733886</c:v>
                </c:pt>
                <c:pt idx="27">
                  <c:v>13861827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DB-4BF4-AA63-2CDF12CF9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  <c:dispUnits>
          <c:builtInUnit val="millions"/>
        </c:dispUnits>
      </c:valAx>
      <c:valAx>
        <c:axId val="818924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'Oz Lotto Regression'!$DB$93:$DB$145</c:f>
              <c:numCache>
                <c:formatCode>_-* #,##0.0_-;\-* #,##0.0_-;_-* "-"??_-;_-@_-</c:formatCode>
                <c:ptCount val="53"/>
                <c:pt idx="0">
                  <c:v>10</c:v>
                </c:pt>
                <c:pt idx="1">
                  <c:v>20</c:v>
                </c:pt>
                <c:pt idx="2">
                  <c:v>3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  <c:pt idx="6">
                  <c:v>30</c:v>
                </c:pt>
                <c:pt idx="7">
                  <c:v>3</c:v>
                </c:pt>
                <c:pt idx="8">
                  <c:v>5</c:v>
                </c:pt>
                <c:pt idx="9">
                  <c:v>10</c:v>
                </c:pt>
                <c:pt idx="10">
                  <c:v>3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30</c:v>
                </c:pt>
                <c:pt idx="16">
                  <c:v>3</c:v>
                </c:pt>
                <c:pt idx="17">
                  <c:v>5</c:v>
                </c:pt>
                <c:pt idx="18">
                  <c:v>10</c:v>
                </c:pt>
                <c:pt idx="19">
                  <c:v>15</c:v>
                </c:pt>
                <c:pt idx="20">
                  <c:v>20</c:v>
                </c:pt>
                <c:pt idx="21">
                  <c:v>30</c:v>
                </c:pt>
                <c:pt idx="22">
                  <c:v>40</c:v>
                </c:pt>
                <c:pt idx="23">
                  <c:v>50</c:v>
                </c:pt>
                <c:pt idx="24">
                  <c:v>#N/A</c:v>
                </c:pt>
                <c:pt idx="25">
                  <c:v>#N/A</c:v>
                </c:pt>
                <c:pt idx="26">
                  <c:v>3</c:v>
                </c:pt>
                <c:pt idx="27">
                  <c:v>5</c:v>
                </c:pt>
                <c:pt idx="28">
                  <c:v>10</c:v>
                </c:pt>
                <c:pt idx="29">
                  <c:v>3</c:v>
                </c:pt>
                <c:pt idx="30">
                  <c:v>5</c:v>
                </c:pt>
                <c:pt idx="31">
                  <c:v>10</c:v>
                </c:pt>
                <c:pt idx="32">
                  <c:v>20</c:v>
                </c:pt>
                <c:pt idx="33">
                  <c:v>30</c:v>
                </c:pt>
                <c:pt idx="34">
                  <c:v>3</c:v>
                </c:pt>
                <c:pt idx="35">
                  <c:v>8</c:v>
                </c:pt>
                <c:pt idx="36">
                  <c:v>15</c:v>
                </c:pt>
                <c:pt idx="37">
                  <c:v>20</c:v>
                </c:pt>
                <c:pt idx="38">
                  <c:v>30</c:v>
                </c:pt>
                <c:pt idx="39">
                  <c:v>40</c:v>
                </c:pt>
                <c:pt idx="40">
                  <c:v>50</c:v>
                </c:pt>
                <c:pt idx="41">
                  <c:v>3</c:v>
                </c:pt>
                <c:pt idx="42">
                  <c:v>3</c:v>
                </c:pt>
                <c:pt idx="43">
                  <c:v>8</c:v>
                </c:pt>
                <c:pt idx="44">
                  <c:v>15</c:v>
                </c:pt>
                <c:pt idx="45">
                  <c:v>20</c:v>
                </c:pt>
                <c:pt idx="46">
                  <c:v>30</c:v>
                </c:pt>
                <c:pt idx="47">
                  <c:v>40</c:v>
                </c:pt>
                <c:pt idx="48">
                  <c:v>3</c:v>
                </c:pt>
                <c:pt idx="49">
                  <c:v>3</c:v>
                </c:pt>
                <c:pt idx="50">
                  <c:v>8</c:v>
                </c:pt>
                <c:pt idx="51">
                  <c:v>15</c:v>
                </c:pt>
              </c:numCache>
            </c:numRef>
          </c:xVal>
          <c:yVal>
            <c:numRef>
              <c:f>'Oz Lotto Regression'!$DA$93:$DA$145</c:f>
              <c:numCache>
                <c:formatCode>_-* #,##0.0_-;\-* #,##0.0_-;_-* "-"??_-;_-@_-</c:formatCode>
                <c:ptCount val="53"/>
                <c:pt idx="0">
                  <c:v>14.5575610995611</c:v>
                </c:pt>
                <c:pt idx="1">
                  <c:v>20.429754215754212</c:v>
                </c:pt>
                <c:pt idx="2">
                  <c:v>8.3911663201663202</c:v>
                </c:pt>
                <c:pt idx="3">
                  <c:v>9.3036103026103003</c:v>
                </c:pt>
                <c:pt idx="4">
                  <c:v>12.713646107646106</c:v>
                </c:pt>
                <c:pt idx="5">
                  <c:v>22.289923538923535</c:v>
                </c:pt>
                <c:pt idx="6">
                  <c:v>29.189057750057742</c:v>
                </c:pt>
                <c:pt idx="7">
                  <c:v>8.6803522753522753</c:v>
                </c:pt>
                <c:pt idx="8">
                  <c:v>9.2930704550704544</c:v>
                </c:pt>
                <c:pt idx="9">
                  <c:v>14.653323169323169</c:v>
                </c:pt>
                <c:pt idx="10">
                  <c:v>8.3208568953568953</c:v>
                </c:pt>
                <c:pt idx="11">
                  <c:v>9.2081954261954255</c:v>
                </c:pt>
                <c:pt idx="12">
                  <c:v>12.154527258027258</c:v>
                </c:pt>
                <c:pt idx="13">
                  <c:v>14.203781011781011</c:v>
                </c:pt>
                <c:pt idx="14">
                  <c:v>21.005378840378839</c:v>
                </c:pt>
                <c:pt idx="15">
                  <c:v>26.420194848694845</c:v>
                </c:pt>
                <c:pt idx="16">
                  <c:v>8.4330546315546311</c:v>
                </c:pt>
                <c:pt idx="17">
                  <c:v>9.2870157080157067</c:v>
                </c:pt>
                <c:pt idx="18">
                  <c:v>14.501044583044585</c:v>
                </c:pt>
                <c:pt idx="19">
                  <c:v>17.853845345345345</c:v>
                </c:pt>
                <c:pt idx="20">
                  <c:v>19.880151651651651</c:v>
                </c:pt>
                <c:pt idx="21">
                  <c:v>26.490850080850084</c:v>
                </c:pt>
                <c:pt idx="22">
                  <c:v>32.184130399630398</c:v>
                </c:pt>
                <c:pt idx="23">
                  <c:v>40.500575652575648</c:v>
                </c:pt>
                <c:pt idx="24">
                  <c:v>#N/A</c:v>
                </c:pt>
                <c:pt idx="25">
                  <c:v>#N/A</c:v>
                </c:pt>
                <c:pt idx="26">
                  <c:v>9.2092929082929071</c:v>
                </c:pt>
                <c:pt idx="27">
                  <c:v>10.258208362208363</c:v>
                </c:pt>
                <c:pt idx="28">
                  <c:v>14.163772002772003</c:v>
                </c:pt>
                <c:pt idx="29">
                  <c:v>8.5277261492261491</c:v>
                </c:pt>
                <c:pt idx="30">
                  <c:v>9.3893035343035329</c:v>
                </c:pt>
                <c:pt idx="31">
                  <c:v>18.082208708708706</c:v>
                </c:pt>
                <c:pt idx="32">
                  <c:v>24.152813005313007</c:v>
                </c:pt>
                <c:pt idx="33">
                  <c:v>31.100381612381607</c:v>
                </c:pt>
                <c:pt idx="34">
                  <c:v>9.1288488103488099</c:v>
                </c:pt>
                <c:pt idx="35">
                  <c:v>11.997695888195887</c:v>
                </c:pt>
                <c:pt idx="36">
                  <c:v>14.729771309771309</c:v>
                </c:pt>
                <c:pt idx="37">
                  <c:v>20.737410487410486</c:v>
                </c:pt>
                <c:pt idx="38">
                  <c:v>26.972456802956806</c:v>
                </c:pt>
                <c:pt idx="39">
                  <c:v>30.707917417417413</c:v>
                </c:pt>
                <c:pt idx="40">
                  <c:v>44.051448371448366</c:v>
                </c:pt>
                <c:pt idx="41">
                  <c:v>9.0911240471240475</c:v>
                </c:pt>
                <c:pt idx="42">
                  <c:v>8.7944719334719323</c:v>
                </c:pt>
                <c:pt idx="43">
                  <c:v>11.943663894663892</c:v>
                </c:pt>
                <c:pt idx="44">
                  <c:v>14.858632709632708</c:v>
                </c:pt>
                <c:pt idx="45">
                  <c:v>17.741966158466155</c:v>
                </c:pt>
                <c:pt idx="46">
                  <c:v>21.23262035112035</c:v>
                </c:pt>
                <c:pt idx="47">
                  <c:v>34.128926772926768</c:v>
                </c:pt>
                <c:pt idx="48">
                  <c:v>9.1961034881034891</c:v>
                </c:pt>
                <c:pt idx="49">
                  <c:v>8.4915364980364973</c:v>
                </c:pt>
                <c:pt idx="50">
                  <c:v>11.390011550011549</c:v>
                </c:pt>
                <c:pt idx="51">
                  <c:v>16.251214599214595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4B-4DD2-A11D-0043AA74D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Backtesting!$ET$47:$ET$98</c:f>
              <c:numCache>
                <c:formatCode>_-* #,##0.0_-;\-* #,##0.0_-;_-* "-"??_-;_-@_-</c:formatCode>
                <c:ptCount val="52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  <c:pt idx="11">
                  <c:v>50</c:v>
                </c:pt>
                <c:pt idx="12">
                  <c:v>3</c:v>
                </c:pt>
                <c:pt idx="13">
                  <c:v>6</c:v>
                </c:pt>
                <c:pt idx="14">
                  <c:v>10</c:v>
                </c:pt>
                <c:pt idx="15">
                  <c:v>15</c:v>
                </c:pt>
                <c:pt idx="16">
                  <c:v>3</c:v>
                </c:pt>
                <c:pt idx="17">
                  <c:v>6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3</c:v>
                </c:pt>
                <c:pt idx="22">
                  <c:v>6</c:v>
                </c:pt>
                <c:pt idx="23">
                  <c:v>10</c:v>
                </c:pt>
                <c:pt idx="24">
                  <c:v>15</c:v>
                </c:pt>
                <c:pt idx="25">
                  <c:v>25</c:v>
                </c:pt>
                <c:pt idx="26">
                  <c:v>35</c:v>
                </c:pt>
                <c:pt idx="27">
                  <c:v>55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6</c:v>
                </c:pt>
                <c:pt idx="32">
                  <c:v>3</c:v>
                </c:pt>
                <c:pt idx="33">
                  <c:v>6</c:v>
                </c:pt>
                <c:pt idx="34">
                  <c:v>10</c:v>
                </c:pt>
                <c:pt idx="35">
                  <c:v>15</c:v>
                </c:pt>
                <c:pt idx="36">
                  <c:v>30</c:v>
                </c:pt>
                <c:pt idx="37">
                  <c:v>40</c:v>
                </c:pt>
                <c:pt idx="38">
                  <c:v>3</c:v>
                </c:pt>
                <c:pt idx="39">
                  <c:v>6</c:v>
                </c:pt>
                <c:pt idx="40">
                  <c:v>3</c:v>
                </c:pt>
                <c:pt idx="41">
                  <c:v>8</c:v>
                </c:pt>
                <c:pt idx="42">
                  <c:v>3</c:v>
                </c:pt>
                <c:pt idx="43">
                  <c:v>8</c:v>
                </c:pt>
                <c:pt idx="44">
                  <c:v>12</c:v>
                </c:pt>
                <c:pt idx="45">
                  <c:v>20</c:v>
                </c:pt>
                <c:pt idx="46">
                  <c:v>30</c:v>
                </c:pt>
                <c:pt idx="47">
                  <c:v>40</c:v>
                </c:pt>
                <c:pt idx="48">
                  <c:v>50</c:v>
                </c:pt>
                <c:pt idx="49">
                  <c:v>3</c:v>
                </c:pt>
                <c:pt idx="50">
                  <c:v>3</c:v>
                </c:pt>
                <c:pt idx="51">
                  <c:v>8</c:v>
                </c:pt>
              </c:numCache>
            </c:numRef>
          </c:xVal>
          <c:yVal>
            <c:numRef>
              <c:f>Backtesting!$ES$47:$ES$98</c:f>
              <c:numCache>
                <c:formatCode>_-* #,##0.0_-;\-* #,##0.0_-;_-* "-"??_-;_-@_-</c:formatCode>
                <c:ptCount val="52"/>
                <c:pt idx="0">
                  <c:v>14.311103305157838</c:v>
                </c:pt>
                <c:pt idx="1">
                  <c:v>15.800128126617214</c:v>
                </c:pt>
                <c:pt idx="2">
                  <c:v>13.695982549594616</c:v>
                </c:pt>
                <c:pt idx="3">
                  <c:v>12.32912110746938</c:v>
                </c:pt>
                <c:pt idx="4">
                  <c:v>17.372581597377952</c:v>
                </c:pt>
                <c:pt idx="5">
                  <c:v>13.797288766603414</c:v>
                </c:pt>
                <c:pt idx="6">
                  <c:v>13.187465068138691</c:v>
                </c:pt>
                <c:pt idx="7">
                  <c:v>16.172577453855439</c:v>
                </c:pt>
                <c:pt idx="8">
                  <c:v>18.730835321718125</c:v>
                </c:pt>
                <c:pt idx="9">
                  <c:v>25.735862268414696</c:v>
                </c:pt>
                <c:pt idx="10">
                  <c:v>42.95593276349836</c:v>
                </c:pt>
                <c:pt idx="11">
                  <c:v>69.849422718647574</c:v>
                </c:pt>
                <c:pt idx="12">
                  <c:v>14.312979346213556</c:v>
                </c:pt>
                <c:pt idx="13">
                  <c:v>17.552791894083146</c:v>
                </c:pt>
                <c:pt idx="14">
                  <c:v>25.33979689494566</c:v>
                </c:pt>
                <c:pt idx="15">
                  <c:v>28.458439261687076</c:v>
                </c:pt>
                <c:pt idx="16">
                  <c:v>12.752664964636878</c:v>
                </c:pt>
                <c:pt idx="17">
                  <c:v>16.170259991374849</c:v>
                </c:pt>
                <c:pt idx="18">
                  <c:v>13.07953752975677</c:v>
                </c:pt>
                <c:pt idx="19">
                  <c:v>17.451375321718132</c:v>
                </c:pt>
                <c:pt idx="20">
                  <c:v>25.218185292392615</c:v>
                </c:pt>
                <c:pt idx="21">
                  <c:v>13.093111238571673</c:v>
                </c:pt>
                <c:pt idx="22">
                  <c:v>17.159375049163359</c:v>
                </c:pt>
                <c:pt idx="23">
                  <c:v>19.518000077626354</c:v>
                </c:pt>
                <c:pt idx="24">
                  <c:v>23.423034712782471</c:v>
                </c:pt>
                <c:pt idx="25">
                  <c:v>27.652624450577882</c:v>
                </c:pt>
                <c:pt idx="26">
                  <c:v>46.986662149387612</c:v>
                </c:pt>
                <c:pt idx="27">
                  <c:v>80.521889218561327</c:v>
                </c:pt>
                <c:pt idx="28">
                  <c:v>14.500914517854062</c:v>
                </c:pt>
                <c:pt idx="29">
                  <c:v>16.030550110401929</c:v>
                </c:pt>
                <c:pt idx="30">
                  <c:v>12.84580488528549</c:v>
                </c:pt>
                <c:pt idx="31">
                  <c:v>16.219147414179748</c:v>
                </c:pt>
                <c:pt idx="32">
                  <c:v>14.328098030015525</c:v>
                </c:pt>
                <c:pt idx="33">
                  <c:v>17.18608104536829</c:v>
                </c:pt>
                <c:pt idx="34">
                  <c:v>21.685931050543381</c:v>
                </c:pt>
                <c:pt idx="35">
                  <c:v>27.412380840089696</c:v>
                </c:pt>
                <c:pt idx="36">
                  <c:v>42.040755794376395</c:v>
                </c:pt>
                <c:pt idx="37">
                  <c:v>52.311528797653949</c:v>
                </c:pt>
                <c:pt idx="38">
                  <c:v>15.128946850094875</c:v>
                </c:pt>
                <c:pt idx="39">
                  <c:v>18.375711785406242</c:v>
                </c:pt>
                <c:pt idx="40">
                  <c:v>12.839845696049679</c:v>
                </c:pt>
                <c:pt idx="41">
                  <c:v>17.183138970120783</c:v>
                </c:pt>
                <c:pt idx="42">
                  <c:v>11.440443356643355</c:v>
                </c:pt>
                <c:pt idx="43">
                  <c:v>15.861424030514938</c:v>
                </c:pt>
                <c:pt idx="44">
                  <c:v>17.697270947234582</c:v>
                </c:pt>
                <c:pt idx="45">
                  <c:v>26.087560584869671</c:v>
                </c:pt>
                <c:pt idx="46">
                  <c:v>36.432706166560699</c:v>
                </c:pt>
                <c:pt idx="47">
                  <c:v>46.219221614748875</c:v>
                </c:pt>
                <c:pt idx="48">
                  <c:v>56.921146598855671</c:v>
                </c:pt>
                <c:pt idx="49">
                  <c:v>12.004837380801014</c:v>
                </c:pt>
                <c:pt idx="50">
                  <c:v>11.422460775588046</c:v>
                </c:pt>
                <c:pt idx="51">
                  <c:v>16.82988989192625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D9-4DF3-8B05-FBEE539F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Backtesting!$ET$47:$ET$98</c:f>
              <c:numCache>
                <c:formatCode>_-* #,##0.0_-;\-* #,##0.0_-;_-* "-"??_-;_-@_-</c:formatCode>
                <c:ptCount val="52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10</c:v>
                </c:pt>
                <c:pt idx="9">
                  <c:v>15</c:v>
                </c:pt>
                <c:pt idx="10">
                  <c:v>30</c:v>
                </c:pt>
                <c:pt idx="11">
                  <c:v>50</c:v>
                </c:pt>
                <c:pt idx="12">
                  <c:v>3</c:v>
                </c:pt>
                <c:pt idx="13">
                  <c:v>6</c:v>
                </c:pt>
                <c:pt idx="14">
                  <c:v>10</c:v>
                </c:pt>
                <c:pt idx="15">
                  <c:v>15</c:v>
                </c:pt>
                <c:pt idx="16">
                  <c:v>3</c:v>
                </c:pt>
                <c:pt idx="17">
                  <c:v>6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3</c:v>
                </c:pt>
                <c:pt idx="22">
                  <c:v>6</c:v>
                </c:pt>
                <c:pt idx="23">
                  <c:v>10</c:v>
                </c:pt>
                <c:pt idx="24">
                  <c:v>15</c:v>
                </c:pt>
                <c:pt idx="25">
                  <c:v>25</c:v>
                </c:pt>
                <c:pt idx="26">
                  <c:v>35</c:v>
                </c:pt>
                <c:pt idx="27">
                  <c:v>55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6</c:v>
                </c:pt>
                <c:pt idx="32">
                  <c:v>3</c:v>
                </c:pt>
                <c:pt idx="33">
                  <c:v>6</c:v>
                </c:pt>
                <c:pt idx="34">
                  <c:v>10</c:v>
                </c:pt>
                <c:pt idx="35">
                  <c:v>15</c:v>
                </c:pt>
                <c:pt idx="36">
                  <c:v>30</c:v>
                </c:pt>
                <c:pt idx="37">
                  <c:v>40</c:v>
                </c:pt>
                <c:pt idx="38">
                  <c:v>3</c:v>
                </c:pt>
                <c:pt idx="39">
                  <c:v>6</c:v>
                </c:pt>
                <c:pt idx="40">
                  <c:v>3</c:v>
                </c:pt>
                <c:pt idx="41">
                  <c:v>8</c:v>
                </c:pt>
                <c:pt idx="42">
                  <c:v>3</c:v>
                </c:pt>
                <c:pt idx="43">
                  <c:v>8</c:v>
                </c:pt>
                <c:pt idx="44">
                  <c:v>12</c:v>
                </c:pt>
                <c:pt idx="45">
                  <c:v>20</c:v>
                </c:pt>
                <c:pt idx="46">
                  <c:v>30</c:v>
                </c:pt>
                <c:pt idx="47">
                  <c:v>40</c:v>
                </c:pt>
                <c:pt idx="48">
                  <c:v>50</c:v>
                </c:pt>
                <c:pt idx="49">
                  <c:v>3</c:v>
                </c:pt>
                <c:pt idx="50">
                  <c:v>3</c:v>
                </c:pt>
                <c:pt idx="51">
                  <c:v>8</c:v>
                </c:pt>
              </c:numCache>
            </c:numRef>
          </c:xVal>
          <c:yVal>
            <c:numRef>
              <c:f>Backtesting!$ES$47:$ES$98</c:f>
              <c:numCache>
                <c:formatCode>_-* #,##0.0_-;\-* #,##0.0_-;_-* "-"??_-;_-@_-</c:formatCode>
                <c:ptCount val="52"/>
                <c:pt idx="0">
                  <c:v>14.311103305157838</c:v>
                </c:pt>
                <c:pt idx="1">
                  <c:v>15.800128126617214</c:v>
                </c:pt>
                <c:pt idx="2">
                  <c:v>13.695982549594616</c:v>
                </c:pt>
                <c:pt idx="3">
                  <c:v>12.32912110746938</c:v>
                </c:pt>
                <c:pt idx="4">
                  <c:v>17.372581597377952</c:v>
                </c:pt>
                <c:pt idx="5">
                  <c:v>13.797288766603414</c:v>
                </c:pt>
                <c:pt idx="6">
                  <c:v>13.187465068138691</c:v>
                </c:pt>
                <c:pt idx="7">
                  <c:v>16.172577453855439</c:v>
                </c:pt>
                <c:pt idx="8">
                  <c:v>18.730835321718125</c:v>
                </c:pt>
                <c:pt idx="9">
                  <c:v>25.735862268414696</c:v>
                </c:pt>
                <c:pt idx="10">
                  <c:v>42.95593276349836</c:v>
                </c:pt>
                <c:pt idx="11">
                  <c:v>69.849422718647574</c:v>
                </c:pt>
                <c:pt idx="12">
                  <c:v>14.312979346213556</c:v>
                </c:pt>
                <c:pt idx="13">
                  <c:v>17.552791894083146</c:v>
                </c:pt>
                <c:pt idx="14">
                  <c:v>25.33979689494566</c:v>
                </c:pt>
                <c:pt idx="15">
                  <c:v>28.458439261687076</c:v>
                </c:pt>
                <c:pt idx="16">
                  <c:v>12.752664964636878</c:v>
                </c:pt>
                <c:pt idx="17">
                  <c:v>16.170259991374849</c:v>
                </c:pt>
                <c:pt idx="18">
                  <c:v>13.07953752975677</c:v>
                </c:pt>
                <c:pt idx="19">
                  <c:v>17.451375321718132</c:v>
                </c:pt>
                <c:pt idx="20">
                  <c:v>25.218185292392615</c:v>
                </c:pt>
                <c:pt idx="21">
                  <c:v>13.093111238571673</c:v>
                </c:pt>
                <c:pt idx="22">
                  <c:v>17.159375049163359</c:v>
                </c:pt>
                <c:pt idx="23">
                  <c:v>19.518000077626354</c:v>
                </c:pt>
                <c:pt idx="24">
                  <c:v>23.423034712782471</c:v>
                </c:pt>
                <c:pt idx="25">
                  <c:v>27.652624450577882</c:v>
                </c:pt>
                <c:pt idx="26">
                  <c:v>46.986662149387612</c:v>
                </c:pt>
                <c:pt idx="27">
                  <c:v>80.521889218561327</c:v>
                </c:pt>
                <c:pt idx="28">
                  <c:v>14.500914517854062</c:v>
                </c:pt>
                <c:pt idx="29">
                  <c:v>16.030550110401929</c:v>
                </c:pt>
                <c:pt idx="30">
                  <c:v>12.84580488528549</c:v>
                </c:pt>
                <c:pt idx="31">
                  <c:v>16.219147414179748</c:v>
                </c:pt>
                <c:pt idx="32">
                  <c:v>14.328098030015525</c:v>
                </c:pt>
                <c:pt idx="33">
                  <c:v>17.18608104536829</c:v>
                </c:pt>
                <c:pt idx="34">
                  <c:v>21.685931050543381</c:v>
                </c:pt>
                <c:pt idx="35">
                  <c:v>27.412380840089696</c:v>
                </c:pt>
                <c:pt idx="36">
                  <c:v>42.040755794376395</c:v>
                </c:pt>
                <c:pt idx="37">
                  <c:v>52.311528797653949</c:v>
                </c:pt>
                <c:pt idx="38">
                  <c:v>15.128946850094875</c:v>
                </c:pt>
                <c:pt idx="39">
                  <c:v>18.375711785406242</c:v>
                </c:pt>
                <c:pt idx="40">
                  <c:v>12.839845696049679</c:v>
                </c:pt>
                <c:pt idx="41">
                  <c:v>17.183138970120783</c:v>
                </c:pt>
                <c:pt idx="42">
                  <c:v>11.440443356643355</c:v>
                </c:pt>
                <c:pt idx="43">
                  <c:v>15.861424030514938</c:v>
                </c:pt>
                <c:pt idx="44">
                  <c:v>17.697270947234582</c:v>
                </c:pt>
                <c:pt idx="45">
                  <c:v>26.087560584869671</c:v>
                </c:pt>
                <c:pt idx="46">
                  <c:v>36.432706166560699</c:v>
                </c:pt>
                <c:pt idx="47">
                  <c:v>46.219221614748875</c:v>
                </c:pt>
                <c:pt idx="48">
                  <c:v>56.921146598855671</c:v>
                </c:pt>
                <c:pt idx="49">
                  <c:v>12.004837380801014</c:v>
                </c:pt>
                <c:pt idx="50">
                  <c:v>11.422460775588046</c:v>
                </c:pt>
                <c:pt idx="51">
                  <c:v>16.82988989192625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AB-4F03-9FC3-B334D2BD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Backtesting!$FI$47:$FI$98</c:f>
              <c:numCache>
                <c:formatCode>_-* #,##0.0_-;\-* #,##0.0_-;_-* "-"??_-;_-@_-</c:formatCode>
                <c:ptCount val="52"/>
                <c:pt idx="0">
                  <c:v>12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3</c:v>
                </c:pt>
                <c:pt idx="8">
                  <c:v>8</c:v>
                </c:pt>
                <c:pt idx="9">
                  <c:v>12</c:v>
                </c:pt>
                <c:pt idx="10">
                  <c:v>20</c:v>
                </c:pt>
                <c:pt idx="11">
                  <c:v>30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20</c:v>
                </c:pt>
                <c:pt idx="16">
                  <c:v>30</c:v>
                </c:pt>
                <c:pt idx="17">
                  <c:v>40</c:v>
                </c:pt>
                <c:pt idx="18">
                  <c:v>60</c:v>
                </c:pt>
                <c:pt idx="19">
                  <c:v>3</c:v>
                </c:pt>
                <c:pt idx="20">
                  <c:v>3</c:v>
                </c:pt>
                <c:pt idx="21">
                  <c:v>8</c:v>
                </c:pt>
                <c:pt idx="22">
                  <c:v>12</c:v>
                </c:pt>
                <c:pt idx="23">
                  <c:v>20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80</c:v>
                </c:pt>
                <c:pt idx="28">
                  <c:v>100</c:v>
                </c:pt>
                <c:pt idx="29">
                  <c:v>3</c:v>
                </c:pt>
                <c:pt idx="30">
                  <c:v>8</c:v>
                </c:pt>
                <c:pt idx="31">
                  <c:v>12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3</c:v>
                </c:pt>
                <c:pt idx="36">
                  <c:v>8</c:v>
                </c:pt>
                <c:pt idx="37">
                  <c:v>12</c:v>
                </c:pt>
                <c:pt idx="38">
                  <c:v>20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30</c:v>
                </c:pt>
                <c:pt idx="44">
                  <c:v>3</c:v>
                </c:pt>
                <c:pt idx="45">
                  <c:v>8</c:v>
                </c:pt>
                <c:pt idx="46">
                  <c:v>3</c:v>
                </c:pt>
                <c:pt idx="47">
                  <c:v>8</c:v>
                </c:pt>
                <c:pt idx="48">
                  <c:v>12</c:v>
                </c:pt>
                <c:pt idx="49">
                  <c:v>20</c:v>
                </c:pt>
                <c:pt idx="50">
                  <c:v>30</c:v>
                </c:pt>
                <c:pt idx="51">
                  <c:v>40</c:v>
                </c:pt>
              </c:numCache>
            </c:numRef>
          </c:xVal>
          <c:yVal>
            <c:numRef>
              <c:f>Backtesting!$FH$47:$FH$98</c:f>
              <c:numCache>
                <c:formatCode>_-* #,##0.0_-;\-* #,##0.0_-;_-* "-"??_-;_-@_-</c:formatCode>
                <c:ptCount val="52"/>
                <c:pt idx="0">
                  <c:v>20.852316083916079</c:v>
                </c:pt>
                <c:pt idx="1">
                  <c:v>26.842498410680225</c:v>
                </c:pt>
                <c:pt idx="2">
                  <c:v>32.449661792752693</c:v>
                </c:pt>
                <c:pt idx="3">
                  <c:v>38.67065225683406</c:v>
                </c:pt>
                <c:pt idx="4">
                  <c:v>47.637119898283515</c:v>
                </c:pt>
                <c:pt idx="5">
                  <c:v>89.658851621106137</c:v>
                </c:pt>
                <c:pt idx="6">
                  <c:v>169.38423649078192</c:v>
                </c:pt>
                <c:pt idx="7">
                  <c:v>14.031852256834073</c:v>
                </c:pt>
                <c:pt idx="8">
                  <c:v>16.733295359186265</c:v>
                </c:pt>
                <c:pt idx="9">
                  <c:v>21.606582835346465</c:v>
                </c:pt>
                <c:pt idx="10">
                  <c:v>27.308763127781301</c:v>
                </c:pt>
                <c:pt idx="11">
                  <c:v>36.523512523839784</c:v>
                </c:pt>
                <c:pt idx="12">
                  <c:v>12.986396185632547</c:v>
                </c:pt>
                <c:pt idx="13">
                  <c:v>17.248674888747615</c:v>
                </c:pt>
                <c:pt idx="14">
                  <c:v>22.858246916719636</c:v>
                </c:pt>
                <c:pt idx="15">
                  <c:v>29.451650349650347</c:v>
                </c:pt>
                <c:pt idx="16">
                  <c:v>34.304900190718364</c:v>
                </c:pt>
                <c:pt idx="17">
                  <c:v>42.745877177368079</c:v>
                </c:pt>
                <c:pt idx="18">
                  <c:v>70.047528035600749</c:v>
                </c:pt>
                <c:pt idx="19">
                  <c:v>13.689841958041953</c:v>
                </c:pt>
                <c:pt idx="20">
                  <c:v>13.612641449459627</c:v>
                </c:pt>
                <c:pt idx="21">
                  <c:v>19.569770120788299</c:v>
                </c:pt>
                <c:pt idx="22">
                  <c:v>24.628368722186906</c:v>
                </c:pt>
                <c:pt idx="23">
                  <c:v>30.784708455181175</c:v>
                </c:pt>
                <c:pt idx="24">
                  <c:v>32.972327018436104</c:v>
                </c:pt>
                <c:pt idx="25">
                  <c:v>36.354827972027962</c:v>
                </c:pt>
                <c:pt idx="26">
                  <c:v>63.766761602034322</c:v>
                </c:pt>
                <c:pt idx="27">
                  <c:v>112.3132386522568</c:v>
                </c:pt>
                <c:pt idx="28">
                  <c:v>174.14559186268272</c:v>
                </c:pt>
                <c:pt idx="29">
                  <c:v>13.937889720898571</c:v>
                </c:pt>
                <c:pt idx="30">
                  <c:v>18.140342842997711</c:v>
                </c:pt>
                <c:pt idx="31">
                  <c:v>25.118955133362217</c:v>
                </c:pt>
                <c:pt idx="32">
                  <c:v>31.354336778265978</c:v>
                </c:pt>
                <c:pt idx="33">
                  <c:v>38.283030633083733</c:v>
                </c:pt>
                <c:pt idx="34">
                  <c:v>44.982119438084034</c:v>
                </c:pt>
                <c:pt idx="35">
                  <c:v>13.444204963178414</c:v>
                </c:pt>
                <c:pt idx="36">
                  <c:v>16.484335664335664</c:v>
                </c:pt>
                <c:pt idx="37">
                  <c:v>20.282530107061081</c:v>
                </c:pt>
                <c:pt idx="38">
                  <c:v>26.225644903768799</c:v>
                </c:pt>
                <c:pt idx="39">
                  <c:v>13.585177795655671</c:v>
                </c:pt>
                <c:pt idx="40">
                  <c:v>17.74406361779813</c:v>
                </c:pt>
                <c:pt idx="41">
                  <c:v>22.274509066155083</c:v>
                </c:pt>
                <c:pt idx="42">
                  <c:v>22.688576025744165</c:v>
                </c:pt>
                <c:pt idx="43">
                  <c:v>34.273410483321989</c:v>
                </c:pt>
                <c:pt idx="44">
                  <c:v>12.230604616622315</c:v>
                </c:pt>
                <c:pt idx="45">
                  <c:v>16.70412154217464</c:v>
                </c:pt>
                <c:pt idx="46">
                  <c:v>12.325589702333064</c:v>
                </c:pt>
                <c:pt idx="47">
                  <c:v>15.336385914969984</c:v>
                </c:pt>
                <c:pt idx="48">
                  <c:v>18.797418899684388</c:v>
                </c:pt>
                <c:pt idx="49">
                  <c:v>22.750507333374586</c:v>
                </c:pt>
                <c:pt idx="50">
                  <c:v>27.826067454669225</c:v>
                </c:pt>
                <c:pt idx="51">
                  <c:v>37.957462714276872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BE-4407-8AE6-0D0C00FF4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Backtesting!$FI$47:$FI$98</c:f>
              <c:numCache>
                <c:formatCode>_-* #,##0.0_-;\-* #,##0.0_-;_-* "-"??_-;_-@_-</c:formatCode>
                <c:ptCount val="52"/>
                <c:pt idx="0">
                  <c:v>12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100</c:v>
                </c:pt>
                <c:pt idx="7">
                  <c:v>3</c:v>
                </c:pt>
                <c:pt idx="8">
                  <c:v>8</c:v>
                </c:pt>
                <c:pt idx="9">
                  <c:v>12</c:v>
                </c:pt>
                <c:pt idx="10">
                  <c:v>20</c:v>
                </c:pt>
                <c:pt idx="11">
                  <c:v>30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20</c:v>
                </c:pt>
                <c:pt idx="16">
                  <c:v>30</c:v>
                </c:pt>
                <c:pt idx="17">
                  <c:v>40</c:v>
                </c:pt>
                <c:pt idx="18">
                  <c:v>60</c:v>
                </c:pt>
                <c:pt idx="19">
                  <c:v>3</c:v>
                </c:pt>
                <c:pt idx="20">
                  <c:v>3</c:v>
                </c:pt>
                <c:pt idx="21">
                  <c:v>8</c:v>
                </c:pt>
                <c:pt idx="22">
                  <c:v>12</c:v>
                </c:pt>
                <c:pt idx="23">
                  <c:v>20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80</c:v>
                </c:pt>
                <c:pt idx="28">
                  <c:v>100</c:v>
                </c:pt>
                <c:pt idx="29">
                  <c:v>3</c:v>
                </c:pt>
                <c:pt idx="30">
                  <c:v>8</c:v>
                </c:pt>
                <c:pt idx="31">
                  <c:v>12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3</c:v>
                </c:pt>
                <c:pt idx="36">
                  <c:v>8</c:v>
                </c:pt>
                <c:pt idx="37">
                  <c:v>12</c:v>
                </c:pt>
                <c:pt idx="38">
                  <c:v>20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30</c:v>
                </c:pt>
                <c:pt idx="44">
                  <c:v>3</c:v>
                </c:pt>
                <c:pt idx="45">
                  <c:v>8</c:v>
                </c:pt>
                <c:pt idx="46">
                  <c:v>3</c:v>
                </c:pt>
                <c:pt idx="47">
                  <c:v>8</c:v>
                </c:pt>
                <c:pt idx="48">
                  <c:v>12</c:v>
                </c:pt>
                <c:pt idx="49">
                  <c:v>20</c:v>
                </c:pt>
                <c:pt idx="50">
                  <c:v>30</c:v>
                </c:pt>
                <c:pt idx="51">
                  <c:v>40</c:v>
                </c:pt>
              </c:numCache>
            </c:numRef>
          </c:xVal>
          <c:yVal>
            <c:numRef>
              <c:f>Backtesting!$FH$47:$FH$98</c:f>
              <c:numCache>
                <c:formatCode>_-* #,##0.0_-;\-* #,##0.0_-;_-* "-"??_-;_-@_-</c:formatCode>
                <c:ptCount val="52"/>
                <c:pt idx="0">
                  <c:v>20.852316083916079</c:v>
                </c:pt>
                <c:pt idx="1">
                  <c:v>26.842498410680225</c:v>
                </c:pt>
                <c:pt idx="2">
                  <c:v>32.449661792752693</c:v>
                </c:pt>
                <c:pt idx="3">
                  <c:v>38.67065225683406</c:v>
                </c:pt>
                <c:pt idx="4">
                  <c:v>47.637119898283515</c:v>
                </c:pt>
                <c:pt idx="5">
                  <c:v>89.658851621106137</c:v>
                </c:pt>
                <c:pt idx="6">
                  <c:v>169.38423649078192</c:v>
                </c:pt>
                <c:pt idx="7">
                  <c:v>14.031852256834073</c:v>
                </c:pt>
                <c:pt idx="8">
                  <c:v>16.733295359186265</c:v>
                </c:pt>
                <c:pt idx="9">
                  <c:v>21.606582835346465</c:v>
                </c:pt>
                <c:pt idx="10">
                  <c:v>27.308763127781301</c:v>
                </c:pt>
                <c:pt idx="11">
                  <c:v>36.523512523839784</c:v>
                </c:pt>
                <c:pt idx="12">
                  <c:v>12.986396185632547</c:v>
                </c:pt>
                <c:pt idx="13">
                  <c:v>17.248674888747615</c:v>
                </c:pt>
                <c:pt idx="14">
                  <c:v>22.858246916719636</c:v>
                </c:pt>
                <c:pt idx="15">
                  <c:v>29.451650349650347</c:v>
                </c:pt>
                <c:pt idx="16">
                  <c:v>34.304900190718364</c:v>
                </c:pt>
                <c:pt idx="17">
                  <c:v>42.745877177368079</c:v>
                </c:pt>
                <c:pt idx="18">
                  <c:v>70.047528035600749</c:v>
                </c:pt>
                <c:pt idx="19">
                  <c:v>13.689841958041953</c:v>
                </c:pt>
                <c:pt idx="20">
                  <c:v>13.612641449459627</c:v>
                </c:pt>
                <c:pt idx="21">
                  <c:v>19.569770120788299</c:v>
                </c:pt>
                <c:pt idx="22">
                  <c:v>24.628368722186906</c:v>
                </c:pt>
                <c:pt idx="23">
                  <c:v>30.784708455181175</c:v>
                </c:pt>
                <c:pt idx="24">
                  <c:v>32.972327018436104</c:v>
                </c:pt>
                <c:pt idx="25">
                  <c:v>36.354827972027962</c:v>
                </c:pt>
                <c:pt idx="26">
                  <c:v>63.766761602034322</c:v>
                </c:pt>
                <c:pt idx="27">
                  <c:v>112.3132386522568</c:v>
                </c:pt>
                <c:pt idx="28">
                  <c:v>174.14559186268272</c:v>
                </c:pt>
                <c:pt idx="29">
                  <c:v>13.937889720898571</c:v>
                </c:pt>
                <c:pt idx="30">
                  <c:v>18.140342842997711</c:v>
                </c:pt>
                <c:pt idx="31">
                  <c:v>25.118955133362217</c:v>
                </c:pt>
                <c:pt idx="32">
                  <c:v>31.354336778265978</c:v>
                </c:pt>
                <c:pt idx="33">
                  <c:v>38.283030633083733</c:v>
                </c:pt>
                <c:pt idx="34">
                  <c:v>44.982119438084034</c:v>
                </c:pt>
                <c:pt idx="35">
                  <c:v>13.444204963178414</c:v>
                </c:pt>
                <c:pt idx="36">
                  <c:v>16.484335664335664</c:v>
                </c:pt>
                <c:pt idx="37">
                  <c:v>20.282530107061081</c:v>
                </c:pt>
                <c:pt idx="38">
                  <c:v>26.225644903768799</c:v>
                </c:pt>
                <c:pt idx="39">
                  <c:v>13.585177795655671</c:v>
                </c:pt>
                <c:pt idx="40">
                  <c:v>17.74406361779813</c:v>
                </c:pt>
                <c:pt idx="41">
                  <c:v>22.274509066155083</c:v>
                </c:pt>
                <c:pt idx="42">
                  <c:v>22.688576025744165</c:v>
                </c:pt>
                <c:pt idx="43">
                  <c:v>34.273410483321989</c:v>
                </c:pt>
                <c:pt idx="44">
                  <c:v>12.230604616622315</c:v>
                </c:pt>
                <c:pt idx="45">
                  <c:v>16.70412154217464</c:v>
                </c:pt>
                <c:pt idx="46">
                  <c:v>12.325589702333064</c:v>
                </c:pt>
                <c:pt idx="47">
                  <c:v>15.336385914969984</c:v>
                </c:pt>
                <c:pt idx="48">
                  <c:v>18.797418899684388</c:v>
                </c:pt>
                <c:pt idx="49">
                  <c:v>22.750507333374586</c:v>
                </c:pt>
                <c:pt idx="50">
                  <c:v>27.826067454669225</c:v>
                </c:pt>
                <c:pt idx="51">
                  <c:v>37.957462714276872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3-444B-9C30-A14638502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Backtesting!$HA$47:$HA$98</c:f>
              <c:numCache>
                <c:formatCode>_-* #,##0.0_-;\-* #,##0.0_-;_-* "-"??_-;_-@_-</c:formatCode>
                <c:ptCount val="52"/>
                <c:pt idx="0">
                  <c:v>50</c:v>
                </c:pt>
                <c:pt idx="1">
                  <c:v>80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3</c:v>
                </c:pt>
                <c:pt idx="17">
                  <c:v>8</c:v>
                </c:pt>
                <c:pt idx="18">
                  <c:v>20</c:v>
                </c:pt>
                <c:pt idx="19">
                  <c:v>3</c:v>
                </c:pt>
                <c:pt idx="20">
                  <c:v>8</c:v>
                </c:pt>
                <c:pt idx="21">
                  <c:v>20</c:v>
                </c:pt>
                <c:pt idx="22">
                  <c:v>3</c:v>
                </c:pt>
                <c:pt idx="23">
                  <c:v>8</c:v>
                </c:pt>
                <c:pt idx="24">
                  <c:v>20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8</c:v>
                </c:pt>
                <c:pt idx="35">
                  <c:v>20</c:v>
                </c:pt>
                <c:pt idx="36">
                  <c:v>30</c:v>
                </c:pt>
                <c:pt idx="37">
                  <c:v>50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50</c:v>
                </c:pt>
                <c:pt idx="42">
                  <c:v>80</c:v>
                </c:pt>
                <c:pt idx="43">
                  <c:v>8</c:v>
                </c:pt>
                <c:pt idx="44">
                  <c:v>20</c:v>
                </c:pt>
                <c:pt idx="45">
                  <c:v>30</c:v>
                </c:pt>
                <c:pt idx="46">
                  <c:v>3</c:v>
                </c:pt>
                <c:pt idx="47">
                  <c:v>8</c:v>
                </c:pt>
                <c:pt idx="48">
                  <c:v>3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</c:numCache>
            </c:numRef>
          </c:xVal>
          <c:yVal>
            <c:numRef>
              <c:f>Backtesting!$GZ$47:$GZ$98</c:f>
              <c:numCache>
                <c:formatCode>_-* #,##0.0_-;\-* #,##0.0_-;_-* "-"??_-;_-@_-</c:formatCode>
                <c:ptCount val="52"/>
                <c:pt idx="0">
                  <c:v>69.318618911523259</c:v>
                </c:pt>
                <c:pt idx="1">
                  <c:v>107.88941027667983</c:v>
                </c:pt>
                <c:pt idx="2">
                  <c:v>20.009448707813924</c:v>
                </c:pt>
                <c:pt idx="3">
                  <c:v>25.6119068409851</c:v>
                </c:pt>
                <c:pt idx="4">
                  <c:v>44.346019337184551</c:v>
                </c:pt>
                <c:pt idx="5">
                  <c:v>19.730848282152632</c:v>
                </c:pt>
                <c:pt idx="6">
                  <c:v>26.811783764062021</c:v>
                </c:pt>
                <c:pt idx="7">
                  <c:v>18.946345758589239</c:v>
                </c:pt>
                <c:pt idx="8">
                  <c:v>26.767640012161749</c:v>
                </c:pt>
                <c:pt idx="9">
                  <c:v>40.517600243235023</c:v>
                </c:pt>
                <c:pt idx="10">
                  <c:v>59.511774764366059</c:v>
                </c:pt>
                <c:pt idx="11">
                  <c:v>82.205458680449993</c:v>
                </c:pt>
                <c:pt idx="12">
                  <c:v>19.672046457889937</c:v>
                </c:pt>
                <c:pt idx="13">
                  <c:v>27.468281909394953</c:v>
                </c:pt>
                <c:pt idx="14">
                  <c:v>42.908867619337187</c:v>
                </c:pt>
                <c:pt idx="15">
                  <c:v>61.499423776223779</c:v>
                </c:pt>
                <c:pt idx="16">
                  <c:v>19.054887686226817</c:v>
                </c:pt>
                <c:pt idx="17">
                  <c:v>24.929902341137119</c:v>
                </c:pt>
                <c:pt idx="18">
                  <c:v>39.323627363940403</c:v>
                </c:pt>
                <c:pt idx="19">
                  <c:v>17.49003441775616</c:v>
                </c:pt>
                <c:pt idx="20">
                  <c:v>23.485624323502588</c:v>
                </c:pt>
                <c:pt idx="21">
                  <c:v>40.190379811492861</c:v>
                </c:pt>
                <c:pt idx="22">
                  <c:v>17.815226512617816</c:v>
                </c:pt>
                <c:pt idx="23">
                  <c:v>25.066381757373062</c:v>
                </c:pt>
                <c:pt idx="24">
                  <c:v>40.397165825478872</c:v>
                </c:pt>
                <c:pt idx="25">
                  <c:v>19.022130495591366</c:v>
                </c:pt>
                <c:pt idx="26">
                  <c:v>25.387217756156883</c:v>
                </c:pt>
                <c:pt idx="27">
                  <c:v>17.082868713894804</c:v>
                </c:pt>
                <c:pt idx="28">
                  <c:v>24.054723502584363</c:v>
                </c:pt>
                <c:pt idx="29">
                  <c:v>39.055239160839157</c:v>
                </c:pt>
                <c:pt idx="30">
                  <c:v>22.19027935542718</c:v>
                </c:pt>
                <c:pt idx="31">
                  <c:v>36.953457707509884</c:v>
                </c:pt>
                <c:pt idx="32">
                  <c:v>48.994890605047111</c:v>
                </c:pt>
                <c:pt idx="33">
                  <c:v>78.306876740650651</c:v>
                </c:pt>
                <c:pt idx="34">
                  <c:v>22.972673761021586</c:v>
                </c:pt>
                <c:pt idx="35">
                  <c:v>37.058402918820313</c:v>
                </c:pt>
                <c:pt idx="36">
                  <c:v>45.393461356035267</c:v>
                </c:pt>
                <c:pt idx="37">
                  <c:v>69.99746646397081</c:v>
                </c:pt>
                <c:pt idx="38">
                  <c:v>23.50473821830343</c:v>
                </c:pt>
                <c:pt idx="39">
                  <c:v>37.212500334448158</c:v>
                </c:pt>
                <c:pt idx="40">
                  <c:v>41.866552508361195</c:v>
                </c:pt>
                <c:pt idx="41">
                  <c:v>63.615309698996647</c:v>
                </c:pt>
                <c:pt idx="42">
                  <c:v>118.500310611128</c:v>
                </c:pt>
                <c:pt idx="43">
                  <c:v>24.573953906962604</c:v>
                </c:pt>
                <c:pt idx="44">
                  <c:v>37.110605290361804</c:v>
                </c:pt>
                <c:pt idx="45">
                  <c:v>47.890415810276679</c:v>
                </c:pt>
                <c:pt idx="46">
                  <c:v>18.569740589844933</c:v>
                </c:pt>
                <c:pt idx="47">
                  <c:v>25.429040072970505</c:v>
                </c:pt>
                <c:pt idx="48">
                  <c:v>17.730661964122834</c:v>
                </c:pt>
                <c:pt idx="49">
                  <c:v>23.443848707813927</c:v>
                </c:pt>
                <c:pt idx="50">
                  <c:v>36.861438491942835</c:v>
                </c:pt>
                <c:pt idx="51">
                  <c:v>55.754455457585884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E-48A7-889D-4CE6BAC34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Backtesting!$HA$47:$HA$98</c:f>
              <c:numCache>
                <c:formatCode>_-* #,##0.0_-;\-* #,##0.0_-;_-* "-"??_-;_-@_-</c:formatCode>
                <c:ptCount val="52"/>
                <c:pt idx="0">
                  <c:v>50</c:v>
                </c:pt>
                <c:pt idx="1">
                  <c:v>80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3</c:v>
                </c:pt>
                <c:pt idx="17">
                  <c:v>8</c:v>
                </c:pt>
                <c:pt idx="18">
                  <c:v>20</c:v>
                </c:pt>
                <c:pt idx="19">
                  <c:v>3</c:v>
                </c:pt>
                <c:pt idx="20">
                  <c:v>8</c:v>
                </c:pt>
                <c:pt idx="21">
                  <c:v>20</c:v>
                </c:pt>
                <c:pt idx="22">
                  <c:v>3</c:v>
                </c:pt>
                <c:pt idx="23">
                  <c:v>8</c:v>
                </c:pt>
                <c:pt idx="24">
                  <c:v>20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8</c:v>
                </c:pt>
                <c:pt idx="35">
                  <c:v>20</c:v>
                </c:pt>
                <c:pt idx="36">
                  <c:v>30</c:v>
                </c:pt>
                <c:pt idx="37">
                  <c:v>50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50</c:v>
                </c:pt>
                <c:pt idx="42">
                  <c:v>80</c:v>
                </c:pt>
                <c:pt idx="43">
                  <c:v>8</c:v>
                </c:pt>
                <c:pt idx="44">
                  <c:v>20</c:v>
                </c:pt>
                <c:pt idx="45">
                  <c:v>30</c:v>
                </c:pt>
                <c:pt idx="46">
                  <c:v>3</c:v>
                </c:pt>
                <c:pt idx="47">
                  <c:v>8</c:v>
                </c:pt>
                <c:pt idx="48">
                  <c:v>3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</c:numCache>
            </c:numRef>
          </c:xVal>
          <c:yVal>
            <c:numRef>
              <c:f>Backtesting!$GZ$47:$GZ$98</c:f>
              <c:numCache>
                <c:formatCode>_-* #,##0.0_-;\-* #,##0.0_-;_-* "-"??_-;_-@_-</c:formatCode>
                <c:ptCount val="52"/>
                <c:pt idx="0">
                  <c:v>69.318618911523259</c:v>
                </c:pt>
                <c:pt idx="1">
                  <c:v>107.88941027667983</c:v>
                </c:pt>
                <c:pt idx="2">
                  <c:v>20.009448707813924</c:v>
                </c:pt>
                <c:pt idx="3">
                  <c:v>25.6119068409851</c:v>
                </c:pt>
                <c:pt idx="4">
                  <c:v>44.346019337184551</c:v>
                </c:pt>
                <c:pt idx="5">
                  <c:v>19.730848282152632</c:v>
                </c:pt>
                <c:pt idx="6">
                  <c:v>26.811783764062021</c:v>
                </c:pt>
                <c:pt idx="7">
                  <c:v>18.946345758589239</c:v>
                </c:pt>
                <c:pt idx="8">
                  <c:v>26.767640012161749</c:v>
                </c:pt>
                <c:pt idx="9">
                  <c:v>40.517600243235023</c:v>
                </c:pt>
                <c:pt idx="10">
                  <c:v>59.511774764366059</c:v>
                </c:pt>
                <c:pt idx="11">
                  <c:v>82.205458680449993</c:v>
                </c:pt>
                <c:pt idx="12">
                  <c:v>19.672046457889937</c:v>
                </c:pt>
                <c:pt idx="13">
                  <c:v>27.468281909394953</c:v>
                </c:pt>
                <c:pt idx="14">
                  <c:v>42.908867619337187</c:v>
                </c:pt>
                <c:pt idx="15">
                  <c:v>61.499423776223779</c:v>
                </c:pt>
                <c:pt idx="16">
                  <c:v>19.054887686226817</c:v>
                </c:pt>
                <c:pt idx="17">
                  <c:v>24.929902341137119</c:v>
                </c:pt>
                <c:pt idx="18">
                  <c:v>39.323627363940403</c:v>
                </c:pt>
                <c:pt idx="19">
                  <c:v>17.49003441775616</c:v>
                </c:pt>
                <c:pt idx="20">
                  <c:v>23.485624323502588</c:v>
                </c:pt>
                <c:pt idx="21">
                  <c:v>40.190379811492861</c:v>
                </c:pt>
                <c:pt idx="22">
                  <c:v>17.815226512617816</c:v>
                </c:pt>
                <c:pt idx="23">
                  <c:v>25.066381757373062</c:v>
                </c:pt>
                <c:pt idx="24">
                  <c:v>40.397165825478872</c:v>
                </c:pt>
                <c:pt idx="25">
                  <c:v>19.022130495591366</c:v>
                </c:pt>
                <c:pt idx="26">
                  <c:v>25.387217756156883</c:v>
                </c:pt>
                <c:pt idx="27">
                  <c:v>17.082868713894804</c:v>
                </c:pt>
                <c:pt idx="28">
                  <c:v>24.054723502584363</c:v>
                </c:pt>
                <c:pt idx="29">
                  <c:v>39.055239160839157</c:v>
                </c:pt>
                <c:pt idx="30">
                  <c:v>22.19027935542718</c:v>
                </c:pt>
                <c:pt idx="31">
                  <c:v>36.953457707509884</c:v>
                </c:pt>
                <c:pt idx="32">
                  <c:v>48.994890605047111</c:v>
                </c:pt>
                <c:pt idx="33">
                  <c:v>78.306876740650651</c:v>
                </c:pt>
                <c:pt idx="34">
                  <c:v>22.972673761021586</c:v>
                </c:pt>
                <c:pt idx="35">
                  <c:v>37.058402918820313</c:v>
                </c:pt>
                <c:pt idx="36">
                  <c:v>45.393461356035267</c:v>
                </c:pt>
                <c:pt idx="37">
                  <c:v>69.99746646397081</c:v>
                </c:pt>
                <c:pt idx="38">
                  <c:v>23.50473821830343</c:v>
                </c:pt>
                <c:pt idx="39">
                  <c:v>37.212500334448158</c:v>
                </c:pt>
                <c:pt idx="40">
                  <c:v>41.866552508361195</c:v>
                </c:pt>
                <c:pt idx="41">
                  <c:v>63.615309698996647</c:v>
                </c:pt>
                <c:pt idx="42">
                  <c:v>118.500310611128</c:v>
                </c:pt>
                <c:pt idx="43">
                  <c:v>24.573953906962604</c:v>
                </c:pt>
                <c:pt idx="44">
                  <c:v>37.110605290361804</c:v>
                </c:pt>
                <c:pt idx="45">
                  <c:v>47.890415810276679</c:v>
                </c:pt>
                <c:pt idx="46">
                  <c:v>18.569740589844933</c:v>
                </c:pt>
                <c:pt idx="47">
                  <c:v>25.429040072970505</c:v>
                </c:pt>
                <c:pt idx="48">
                  <c:v>17.730661964122834</c:v>
                </c:pt>
                <c:pt idx="49">
                  <c:v>23.443848707813927</c:v>
                </c:pt>
                <c:pt idx="50">
                  <c:v>36.861438491942835</c:v>
                </c:pt>
                <c:pt idx="51">
                  <c:v>55.754455457585884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3B-4B40-975C-30700EFD7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533611111111113"/>
                  <c:y val="-0.268821527777777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Backtesting!$HP$47:$HP$99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3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3</c:v>
                </c:pt>
                <c:pt idx="18">
                  <c:v>8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22">
                  <c:v>80</c:v>
                </c:pt>
                <c:pt idx="23">
                  <c:v>3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60</c:v>
                </c:pt>
                <c:pt idx="28">
                  <c:v>3</c:v>
                </c:pt>
                <c:pt idx="29">
                  <c:v>8</c:v>
                </c:pt>
                <c:pt idx="30">
                  <c:v>20</c:v>
                </c:pt>
                <c:pt idx="31">
                  <c:v>40</c:v>
                </c:pt>
                <c:pt idx="32">
                  <c:v>60</c:v>
                </c:pt>
                <c:pt idx="33">
                  <c:v>80</c:v>
                </c:pt>
                <c:pt idx="34">
                  <c:v>120</c:v>
                </c:pt>
                <c:pt idx="35">
                  <c:v>3</c:v>
                </c:pt>
                <c:pt idx="36">
                  <c:v>8</c:v>
                </c:pt>
                <c:pt idx="37">
                  <c:v>20</c:v>
                </c:pt>
                <c:pt idx="38">
                  <c:v>3</c:v>
                </c:pt>
                <c:pt idx="39">
                  <c:v>8</c:v>
                </c:pt>
                <c:pt idx="40">
                  <c:v>20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80</c:v>
                </c:pt>
                <c:pt idx="47">
                  <c:v>4</c:v>
                </c:pt>
                <c:pt idx="48">
                  <c:v>4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Backtesting!$HO$47:$HO$99</c:f>
              <c:numCache>
                <c:formatCode>_-* #,##0.0_-;\-* #,##0.0_-;_-* "-"??_-;_-@_-</c:formatCode>
                <c:ptCount val="53"/>
                <c:pt idx="0">
                  <c:v>77.623219458802055</c:v>
                </c:pt>
                <c:pt idx="1">
                  <c:v>18.162558102766802</c:v>
                </c:pt>
                <c:pt idx="2">
                  <c:v>25.998846336272418</c:v>
                </c:pt>
                <c:pt idx="3">
                  <c:v>41.039352751596226</c:v>
                </c:pt>
                <c:pt idx="4">
                  <c:v>57.263651200972937</c:v>
                </c:pt>
                <c:pt idx="5">
                  <c:v>80.09238577075098</c:v>
                </c:pt>
                <c:pt idx="6">
                  <c:v>125.40573986013986</c:v>
                </c:pt>
                <c:pt idx="7">
                  <c:v>20.220383581635755</c:v>
                </c:pt>
                <c:pt idx="8">
                  <c:v>29.212562359379749</c:v>
                </c:pt>
                <c:pt idx="9">
                  <c:v>43.186218060200659</c:v>
                </c:pt>
                <c:pt idx="10">
                  <c:v>19.506276923076921</c:v>
                </c:pt>
                <c:pt idx="11">
                  <c:v>25.355454910307085</c:v>
                </c:pt>
                <c:pt idx="12">
                  <c:v>19.222718151413801</c:v>
                </c:pt>
                <c:pt idx="13">
                  <c:v>26.314208574034662</c:v>
                </c:pt>
                <c:pt idx="14">
                  <c:v>42.338397567649736</c:v>
                </c:pt>
                <c:pt idx="15">
                  <c:v>59.016362663423536</c:v>
                </c:pt>
                <c:pt idx="16">
                  <c:v>83.423387290969913</c:v>
                </c:pt>
                <c:pt idx="17">
                  <c:v>18.862208574034657</c:v>
                </c:pt>
                <c:pt idx="18">
                  <c:v>25.128435147461236</c:v>
                </c:pt>
                <c:pt idx="19">
                  <c:v>41.533547217999399</c:v>
                </c:pt>
                <c:pt idx="20">
                  <c:v>57.357794101550631</c:v>
                </c:pt>
                <c:pt idx="21">
                  <c:v>81.402100334448164</c:v>
                </c:pt>
                <c:pt idx="22">
                  <c:v>109.81424530252357</c:v>
                </c:pt>
                <c:pt idx="23">
                  <c:v>18.912447065977499</c:v>
                </c:pt>
                <c:pt idx="24">
                  <c:v>26.709691456369718</c:v>
                </c:pt>
                <c:pt idx="25">
                  <c:v>40.654796959562177</c:v>
                </c:pt>
                <c:pt idx="26">
                  <c:v>45.526023472179993</c:v>
                </c:pt>
                <c:pt idx="27">
                  <c:v>76.041502462754636</c:v>
                </c:pt>
                <c:pt idx="28">
                  <c:v>18.115088355123142</c:v>
                </c:pt>
                <c:pt idx="29">
                  <c:v>23.312285071450287</c:v>
                </c:pt>
                <c:pt idx="30">
                  <c:v>34.469990878686531</c:v>
                </c:pt>
                <c:pt idx="31">
                  <c:v>56.254159197324419</c:v>
                </c:pt>
                <c:pt idx="32">
                  <c:v>79.133284037701429</c:v>
                </c:pt>
                <c:pt idx="33">
                  <c:v>115.9472403770143</c:v>
                </c:pt>
                <c:pt idx="34">
                  <c:v>244.63164487686225</c:v>
                </c:pt>
                <c:pt idx="35">
                  <c:v>19.764375068409851</c:v>
                </c:pt>
                <c:pt idx="36">
                  <c:v>26.335124840377009</c:v>
                </c:pt>
                <c:pt idx="37">
                  <c:v>40.906184493767107</c:v>
                </c:pt>
                <c:pt idx="38">
                  <c:v>19.376209911827303</c:v>
                </c:pt>
                <c:pt idx="39">
                  <c:v>27.161959987838248</c:v>
                </c:pt>
                <c:pt idx="40">
                  <c:v>42.925571784736995</c:v>
                </c:pt>
                <c:pt idx="41">
                  <c:v>20.606947765278193</c:v>
                </c:pt>
                <c:pt idx="42">
                  <c:v>24.23271170568562</c:v>
                </c:pt>
                <c:pt idx="43">
                  <c:v>39.401901124961988</c:v>
                </c:pt>
                <c:pt idx="44">
                  <c:v>58.067244025539672</c:v>
                </c:pt>
                <c:pt idx="45">
                  <c:v>83.810205168744289</c:v>
                </c:pt>
                <c:pt idx="46">
                  <c:v>116.72520401337792</c:v>
                </c:pt>
                <c:pt idx="47">
                  <c:v>21.016983155974454</c:v>
                </c:pt>
                <c:pt idx="48">
                  <c:v>21.125759318941927</c:v>
                </c:pt>
                <c:pt idx="49">
                  <c:v>27.291882760717545</c:v>
                </c:pt>
                <c:pt idx="50">
                  <c:v>41.963661416844026</c:v>
                </c:pt>
                <c:pt idx="51">
                  <c:v>57.463937245363326</c:v>
                </c:pt>
                <c:pt idx="52">
                  <c:v>77.836461903314074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AD-49BF-874D-23B70035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69842094017094"/>
                  <c:y val="-0.10951041666666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Backtesting!$HP$47:$HP$99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3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3</c:v>
                </c:pt>
                <c:pt idx="18">
                  <c:v>8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22">
                  <c:v>80</c:v>
                </c:pt>
                <c:pt idx="23">
                  <c:v>3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60</c:v>
                </c:pt>
                <c:pt idx="28">
                  <c:v>3</c:v>
                </c:pt>
                <c:pt idx="29">
                  <c:v>8</c:v>
                </c:pt>
                <c:pt idx="30">
                  <c:v>20</c:v>
                </c:pt>
                <c:pt idx="31">
                  <c:v>40</c:v>
                </c:pt>
                <c:pt idx="32">
                  <c:v>60</c:v>
                </c:pt>
                <c:pt idx="33">
                  <c:v>80</c:v>
                </c:pt>
                <c:pt idx="34">
                  <c:v>120</c:v>
                </c:pt>
                <c:pt idx="35">
                  <c:v>3</c:v>
                </c:pt>
                <c:pt idx="36">
                  <c:v>8</c:v>
                </c:pt>
                <c:pt idx="37">
                  <c:v>20</c:v>
                </c:pt>
                <c:pt idx="38">
                  <c:v>3</c:v>
                </c:pt>
                <c:pt idx="39">
                  <c:v>8</c:v>
                </c:pt>
                <c:pt idx="40">
                  <c:v>20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80</c:v>
                </c:pt>
                <c:pt idx="47">
                  <c:v>4</c:v>
                </c:pt>
                <c:pt idx="48">
                  <c:v>4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Backtesting!$HO$47:$HO$99</c:f>
              <c:numCache>
                <c:formatCode>_-* #,##0.0_-;\-* #,##0.0_-;_-* "-"??_-;_-@_-</c:formatCode>
                <c:ptCount val="53"/>
                <c:pt idx="0">
                  <c:v>77.623219458802055</c:v>
                </c:pt>
                <c:pt idx="1">
                  <c:v>18.162558102766802</c:v>
                </c:pt>
                <c:pt idx="2">
                  <c:v>25.998846336272418</c:v>
                </c:pt>
                <c:pt idx="3">
                  <c:v>41.039352751596226</c:v>
                </c:pt>
                <c:pt idx="4">
                  <c:v>57.263651200972937</c:v>
                </c:pt>
                <c:pt idx="5">
                  <c:v>80.09238577075098</c:v>
                </c:pt>
                <c:pt idx="6">
                  <c:v>125.40573986013986</c:v>
                </c:pt>
                <c:pt idx="7">
                  <c:v>20.220383581635755</c:v>
                </c:pt>
                <c:pt idx="8">
                  <c:v>29.212562359379749</c:v>
                </c:pt>
                <c:pt idx="9">
                  <c:v>43.186218060200659</c:v>
                </c:pt>
                <c:pt idx="10">
                  <c:v>19.506276923076921</c:v>
                </c:pt>
                <c:pt idx="11">
                  <c:v>25.355454910307085</c:v>
                </c:pt>
                <c:pt idx="12">
                  <c:v>19.222718151413801</c:v>
                </c:pt>
                <c:pt idx="13">
                  <c:v>26.314208574034662</c:v>
                </c:pt>
                <c:pt idx="14">
                  <c:v>42.338397567649736</c:v>
                </c:pt>
                <c:pt idx="15">
                  <c:v>59.016362663423536</c:v>
                </c:pt>
                <c:pt idx="16">
                  <c:v>83.423387290969913</c:v>
                </c:pt>
                <c:pt idx="17">
                  <c:v>18.862208574034657</c:v>
                </c:pt>
                <c:pt idx="18">
                  <c:v>25.128435147461236</c:v>
                </c:pt>
                <c:pt idx="19">
                  <c:v>41.533547217999399</c:v>
                </c:pt>
                <c:pt idx="20">
                  <c:v>57.357794101550631</c:v>
                </c:pt>
                <c:pt idx="21">
                  <c:v>81.402100334448164</c:v>
                </c:pt>
                <c:pt idx="22">
                  <c:v>109.81424530252357</c:v>
                </c:pt>
                <c:pt idx="23">
                  <c:v>18.912447065977499</c:v>
                </c:pt>
                <c:pt idx="24">
                  <c:v>26.709691456369718</c:v>
                </c:pt>
                <c:pt idx="25">
                  <c:v>40.654796959562177</c:v>
                </c:pt>
                <c:pt idx="26">
                  <c:v>45.526023472179993</c:v>
                </c:pt>
                <c:pt idx="27">
                  <c:v>76.041502462754636</c:v>
                </c:pt>
                <c:pt idx="28">
                  <c:v>18.115088355123142</c:v>
                </c:pt>
                <c:pt idx="29">
                  <c:v>23.312285071450287</c:v>
                </c:pt>
                <c:pt idx="30">
                  <c:v>34.469990878686531</c:v>
                </c:pt>
                <c:pt idx="31">
                  <c:v>56.254159197324419</c:v>
                </c:pt>
                <c:pt idx="32">
                  <c:v>79.133284037701429</c:v>
                </c:pt>
                <c:pt idx="33">
                  <c:v>115.9472403770143</c:v>
                </c:pt>
                <c:pt idx="34">
                  <c:v>244.63164487686225</c:v>
                </c:pt>
                <c:pt idx="35">
                  <c:v>19.764375068409851</c:v>
                </c:pt>
                <c:pt idx="36">
                  <c:v>26.335124840377009</c:v>
                </c:pt>
                <c:pt idx="37">
                  <c:v>40.906184493767107</c:v>
                </c:pt>
                <c:pt idx="38">
                  <c:v>19.376209911827303</c:v>
                </c:pt>
                <c:pt idx="39">
                  <c:v>27.161959987838248</c:v>
                </c:pt>
                <c:pt idx="40">
                  <c:v>42.925571784736995</c:v>
                </c:pt>
                <c:pt idx="41">
                  <c:v>20.606947765278193</c:v>
                </c:pt>
                <c:pt idx="42">
                  <c:v>24.23271170568562</c:v>
                </c:pt>
                <c:pt idx="43">
                  <c:v>39.401901124961988</c:v>
                </c:pt>
                <c:pt idx="44">
                  <c:v>58.067244025539672</c:v>
                </c:pt>
                <c:pt idx="45">
                  <c:v>83.810205168744289</c:v>
                </c:pt>
                <c:pt idx="46">
                  <c:v>116.72520401337792</c:v>
                </c:pt>
                <c:pt idx="47">
                  <c:v>21.016983155974454</c:v>
                </c:pt>
                <c:pt idx="48">
                  <c:v>21.125759318941927</c:v>
                </c:pt>
                <c:pt idx="49">
                  <c:v>27.291882760717545</c:v>
                </c:pt>
                <c:pt idx="50">
                  <c:v>41.963661416844026</c:v>
                </c:pt>
                <c:pt idx="51">
                  <c:v>57.463937245363326</c:v>
                </c:pt>
                <c:pt idx="52">
                  <c:v>77.836461903314074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6F-46ED-9972-22BFCDFBE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24850427350427"/>
                  <c:y val="-0.136664583333333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Backtesting!$IL$67:$IL$119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160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100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</c:numCache>
            </c:numRef>
          </c:xVal>
          <c:yVal>
            <c:numRef>
              <c:f>Backtesting!$IK$67:$IK$119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183.08447309212528</c:v>
                </c:pt>
                <c:pt idx="16">
                  <c:v>284.83741380358765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137.55484439039225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FA-49DF-9610-BEF78E4DD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461666666666667"/>
                  <c:y val="-6.627916666666666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Backtesting!$IL$67:$IL$119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160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100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</c:numCache>
            </c:numRef>
          </c:xVal>
          <c:yVal>
            <c:numRef>
              <c:f>Backtesting!$IK$67:$IK$119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183.08447309212528</c:v>
                </c:pt>
                <c:pt idx="16">
                  <c:v>284.83741380358765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137.55484439039225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3F-4A06-987A-1D5A51A9A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1233803418803419"/>
                  <c:y val="-5.2590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Backtesting!$IL$67:$IL$119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160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100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</c:numCache>
            </c:numRef>
          </c:xVal>
          <c:yVal>
            <c:numRef>
              <c:f>Backtesting!$IK$67:$IK$119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183.08447309212528</c:v>
                </c:pt>
                <c:pt idx="16">
                  <c:v>284.83741380358765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137.55484439039225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AC-437F-8533-352290080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Backtesting!$GE$47:$GE$98</c:f>
              <c:numCache>
                <c:formatCode>_-* #,##0.0_-;\-* #,##0.0_-;_-* "-"??_-;_-@_-</c:formatCode>
                <c:ptCount val="52"/>
                <c:pt idx="0">
                  <c:v>60</c:v>
                </c:pt>
                <c:pt idx="1">
                  <c:v>80</c:v>
                </c:pt>
                <c:pt idx="2">
                  <c:v>110</c:v>
                </c:pt>
                <c:pt idx="3">
                  <c:v>3</c:v>
                </c:pt>
                <c:pt idx="4">
                  <c:v>8</c:v>
                </c:pt>
                <c:pt idx="5">
                  <c:v>12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100</c:v>
                </c:pt>
                <c:pt idx="11">
                  <c:v>150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8</c:v>
                </c:pt>
                <c:pt idx="17">
                  <c:v>12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3</c:v>
                </c:pt>
                <c:pt idx="22">
                  <c:v>8</c:v>
                </c:pt>
                <c:pt idx="23">
                  <c:v>12</c:v>
                </c:pt>
                <c:pt idx="24">
                  <c:v>15</c:v>
                </c:pt>
                <c:pt idx="25">
                  <c:v>20</c:v>
                </c:pt>
                <c:pt idx="26">
                  <c:v>3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40</c:v>
                </c:pt>
                <c:pt idx="31">
                  <c:v>60</c:v>
                </c:pt>
                <c:pt idx="32">
                  <c:v>3</c:v>
                </c:pt>
                <c:pt idx="33">
                  <c:v>8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60</c:v>
                </c:pt>
                <c:pt idx="38">
                  <c:v>80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15</c:v>
                </c:pt>
                <c:pt idx="48">
                  <c:v>3</c:v>
                </c:pt>
                <c:pt idx="49">
                  <c:v>8</c:v>
                </c:pt>
                <c:pt idx="50">
                  <c:v>15</c:v>
                </c:pt>
                <c:pt idx="51">
                  <c:v>30</c:v>
                </c:pt>
              </c:numCache>
            </c:numRef>
          </c:xVal>
          <c:yVal>
            <c:numRef>
              <c:f>Backtesting!$GD$47:$GD$98</c:f>
              <c:numCache>
                <c:formatCode>_-* #,##0.0_-;\-* #,##0.0_-;_-* "-"??_-;_-@_-</c:formatCode>
                <c:ptCount val="52"/>
                <c:pt idx="0">
                  <c:v>52.868604987932429</c:v>
                </c:pt>
                <c:pt idx="1">
                  <c:v>73.766786311034096</c:v>
                </c:pt>
                <c:pt idx="2">
                  <c:v>149.65972894362272</c:v>
                </c:pt>
                <c:pt idx="3">
                  <c:v>14.254130329847143</c:v>
                </c:pt>
                <c:pt idx="4">
                  <c:v>17.621573612228481</c:v>
                </c:pt>
                <c:pt idx="5">
                  <c:v>22.977947397735008</c:v>
                </c:pt>
                <c:pt idx="6">
                  <c:v>29.967446995482394</c:v>
                </c:pt>
                <c:pt idx="7">
                  <c:v>39.864962683334355</c:v>
                </c:pt>
                <c:pt idx="8">
                  <c:v>55.027958165728073</c:v>
                </c:pt>
                <c:pt idx="9">
                  <c:v>82.565532768116853</c:v>
                </c:pt>
                <c:pt idx="10">
                  <c:v>124.36185927346989</c:v>
                </c:pt>
                <c:pt idx="11">
                  <c:v>202.66496689151555</c:v>
                </c:pt>
                <c:pt idx="12">
                  <c:v>15.306639767312332</c:v>
                </c:pt>
                <c:pt idx="13">
                  <c:v>18.203091032860947</c:v>
                </c:pt>
                <c:pt idx="14">
                  <c:v>21.62795791818801</c:v>
                </c:pt>
                <c:pt idx="15">
                  <c:v>14.675381397363697</c:v>
                </c:pt>
                <c:pt idx="16">
                  <c:v>19.900891144253976</c:v>
                </c:pt>
                <c:pt idx="17">
                  <c:v>22.777251067516556</c:v>
                </c:pt>
                <c:pt idx="18">
                  <c:v>30.483818305588219</c:v>
                </c:pt>
                <c:pt idx="19">
                  <c:v>40.529243888854509</c:v>
                </c:pt>
                <c:pt idx="20">
                  <c:v>48.609266415000924</c:v>
                </c:pt>
                <c:pt idx="21">
                  <c:v>15.126397920663408</c:v>
                </c:pt>
                <c:pt idx="22">
                  <c:v>20.501358252367101</c:v>
                </c:pt>
                <c:pt idx="23">
                  <c:v>25.306949439940592</c:v>
                </c:pt>
                <c:pt idx="24">
                  <c:v>25.742781855312831</c:v>
                </c:pt>
                <c:pt idx="25">
                  <c:v>25.073378303112815</c:v>
                </c:pt>
                <c:pt idx="26">
                  <c:v>14.302579986385295</c:v>
                </c:pt>
                <c:pt idx="27">
                  <c:v>20.379060090352123</c:v>
                </c:pt>
                <c:pt idx="28">
                  <c:v>25.817218392227243</c:v>
                </c:pt>
                <c:pt idx="29">
                  <c:v>34.282351135590076</c:v>
                </c:pt>
                <c:pt idx="30">
                  <c:v>45.674629370629361</c:v>
                </c:pt>
                <c:pt idx="31">
                  <c:v>67.313625100563158</c:v>
                </c:pt>
                <c:pt idx="32">
                  <c:v>14.466345689708522</c:v>
                </c:pt>
                <c:pt idx="33">
                  <c:v>21.31719914867741</c:v>
                </c:pt>
                <c:pt idx="34">
                  <c:v>28.132182912739434</c:v>
                </c:pt>
                <c:pt idx="35">
                  <c:v>36.338271571906361</c:v>
                </c:pt>
                <c:pt idx="36">
                  <c:v>47.382249437519008</c:v>
                </c:pt>
                <c:pt idx="37">
                  <c:v>63.68030355731225</c:v>
                </c:pt>
                <c:pt idx="38">
                  <c:v>82.611427667984188</c:v>
                </c:pt>
                <c:pt idx="39">
                  <c:v>15.454267436910914</c:v>
                </c:pt>
                <c:pt idx="40">
                  <c:v>21.964242505320762</c:v>
                </c:pt>
                <c:pt idx="41">
                  <c:v>28.686509212526602</c:v>
                </c:pt>
                <c:pt idx="42">
                  <c:v>40.886779446640311</c:v>
                </c:pt>
                <c:pt idx="43">
                  <c:v>17.546634478564911</c:v>
                </c:pt>
                <c:pt idx="44">
                  <c:v>22.952706354515055</c:v>
                </c:pt>
                <c:pt idx="45">
                  <c:v>17.170624749163878</c:v>
                </c:pt>
                <c:pt idx="46">
                  <c:v>24.236348555792038</c:v>
                </c:pt>
                <c:pt idx="47">
                  <c:v>37.016112131346915</c:v>
                </c:pt>
                <c:pt idx="48">
                  <c:v>18.06607941623594</c:v>
                </c:pt>
                <c:pt idx="49">
                  <c:v>24.991572879294623</c:v>
                </c:pt>
                <c:pt idx="50">
                  <c:v>31.885473031316504</c:v>
                </c:pt>
                <c:pt idx="51">
                  <c:v>48.173921070234115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F1-42DC-A80B-374183DC3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Backtesting!$GE$47:$GE$98</c:f>
              <c:numCache>
                <c:formatCode>_-* #,##0.0_-;\-* #,##0.0_-;_-* "-"??_-;_-@_-</c:formatCode>
                <c:ptCount val="52"/>
                <c:pt idx="0">
                  <c:v>60</c:v>
                </c:pt>
                <c:pt idx="1">
                  <c:v>80</c:v>
                </c:pt>
                <c:pt idx="2">
                  <c:v>110</c:v>
                </c:pt>
                <c:pt idx="3">
                  <c:v>3</c:v>
                </c:pt>
                <c:pt idx="4">
                  <c:v>8</c:v>
                </c:pt>
                <c:pt idx="5">
                  <c:v>12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100</c:v>
                </c:pt>
                <c:pt idx="11">
                  <c:v>150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8</c:v>
                </c:pt>
                <c:pt idx="17">
                  <c:v>12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3</c:v>
                </c:pt>
                <c:pt idx="22">
                  <c:v>8</c:v>
                </c:pt>
                <c:pt idx="23">
                  <c:v>12</c:v>
                </c:pt>
                <c:pt idx="24">
                  <c:v>15</c:v>
                </c:pt>
                <c:pt idx="25">
                  <c:v>20</c:v>
                </c:pt>
                <c:pt idx="26">
                  <c:v>3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40</c:v>
                </c:pt>
                <c:pt idx="31">
                  <c:v>60</c:v>
                </c:pt>
                <c:pt idx="32">
                  <c:v>3</c:v>
                </c:pt>
                <c:pt idx="33">
                  <c:v>8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60</c:v>
                </c:pt>
                <c:pt idx="38">
                  <c:v>80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15</c:v>
                </c:pt>
                <c:pt idx="48">
                  <c:v>3</c:v>
                </c:pt>
                <c:pt idx="49">
                  <c:v>8</c:v>
                </c:pt>
                <c:pt idx="50">
                  <c:v>15</c:v>
                </c:pt>
                <c:pt idx="51">
                  <c:v>30</c:v>
                </c:pt>
              </c:numCache>
            </c:numRef>
          </c:xVal>
          <c:yVal>
            <c:numRef>
              <c:f>Backtesting!$GD$47:$GD$98</c:f>
              <c:numCache>
                <c:formatCode>_-* #,##0.0_-;\-* #,##0.0_-;_-* "-"??_-;_-@_-</c:formatCode>
                <c:ptCount val="52"/>
                <c:pt idx="0">
                  <c:v>52.868604987932429</c:v>
                </c:pt>
                <c:pt idx="1">
                  <c:v>73.766786311034096</c:v>
                </c:pt>
                <c:pt idx="2">
                  <c:v>149.65972894362272</c:v>
                </c:pt>
                <c:pt idx="3">
                  <c:v>14.254130329847143</c:v>
                </c:pt>
                <c:pt idx="4">
                  <c:v>17.621573612228481</c:v>
                </c:pt>
                <c:pt idx="5">
                  <c:v>22.977947397735008</c:v>
                </c:pt>
                <c:pt idx="6">
                  <c:v>29.967446995482394</c:v>
                </c:pt>
                <c:pt idx="7">
                  <c:v>39.864962683334355</c:v>
                </c:pt>
                <c:pt idx="8">
                  <c:v>55.027958165728073</c:v>
                </c:pt>
                <c:pt idx="9">
                  <c:v>82.565532768116853</c:v>
                </c:pt>
                <c:pt idx="10">
                  <c:v>124.36185927346989</c:v>
                </c:pt>
                <c:pt idx="11">
                  <c:v>202.66496689151555</c:v>
                </c:pt>
                <c:pt idx="12">
                  <c:v>15.306639767312332</c:v>
                </c:pt>
                <c:pt idx="13">
                  <c:v>18.203091032860947</c:v>
                </c:pt>
                <c:pt idx="14">
                  <c:v>21.62795791818801</c:v>
                </c:pt>
                <c:pt idx="15">
                  <c:v>14.675381397363697</c:v>
                </c:pt>
                <c:pt idx="16">
                  <c:v>19.900891144253976</c:v>
                </c:pt>
                <c:pt idx="17">
                  <c:v>22.777251067516556</c:v>
                </c:pt>
                <c:pt idx="18">
                  <c:v>30.483818305588219</c:v>
                </c:pt>
                <c:pt idx="19">
                  <c:v>40.529243888854509</c:v>
                </c:pt>
                <c:pt idx="20">
                  <c:v>48.609266415000924</c:v>
                </c:pt>
                <c:pt idx="21">
                  <c:v>15.126397920663408</c:v>
                </c:pt>
                <c:pt idx="22">
                  <c:v>20.501358252367101</c:v>
                </c:pt>
                <c:pt idx="23">
                  <c:v>25.306949439940592</c:v>
                </c:pt>
                <c:pt idx="24">
                  <c:v>25.742781855312831</c:v>
                </c:pt>
                <c:pt idx="25">
                  <c:v>25.073378303112815</c:v>
                </c:pt>
                <c:pt idx="26">
                  <c:v>14.302579986385295</c:v>
                </c:pt>
                <c:pt idx="27">
                  <c:v>20.379060090352123</c:v>
                </c:pt>
                <c:pt idx="28">
                  <c:v>25.817218392227243</c:v>
                </c:pt>
                <c:pt idx="29">
                  <c:v>34.282351135590076</c:v>
                </c:pt>
                <c:pt idx="30">
                  <c:v>45.674629370629361</c:v>
                </c:pt>
                <c:pt idx="31">
                  <c:v>67.313625100563158</c:v>
                </c:pt>
                <c:pt idx="32">
                  <c:v>14.466345689708522</c:v>
                </c:pt>
                <c:pt idx="33">
                  <c:v>21.31719914867741</c:v>
                </c:pt>
                <c:pt idx="34">
                  <c:v>28.132182912739434</c:v>
                </c:pt>
                <c:pt idx="35">
                  <c:v>36.338271571906361</c:v>
                </c:pt>
                <c:pt idx="36">
                  <c:v>47.382249437519008</c:v>
                </c:pt>
                <c:pt idx="37">
                  <c:v>63.68030355731225</c:v>
                </c:pt>
                <c:pt idx="38">
                  <c:v>82.611427667984188</c:v>
                </c:pt>
                <c:pt idx="39">
                  <c:v>15.454267436910914</c:v>
                </c:pt>
                <c:pt idx="40">
                  <c:v>21.964242505320762</c:v>
                </c:pt>
                <c:pt idx="41">
                  <c:v>28.686509212526602</c:v>
                </c:pt>
                <c:pt idx="42">
                  <c:v>40.886779446640311</c:v>
                </c:pt>
                <c:pt idx="43">
                  <c:v>17.546634478564911</c:v>
                </c:pt>
                <c:pt idx="44">
                  <c:v>22.952706354515055</c:v>
                </c:pt>
                <c:pt idx="45">
                  <c:v>17.170624749163878</c:v>
                </c:pt>
                <c:pt idx="46">
                  <c:v>24.236348555792038</c:v>
                </c:pt>
                <c:pt idx="47">
                  <c:v>37.016112131346915</c:v>
                </c:pt>
                <c:pt idx="48">
                  <c:v>18.06607941623594</c:v>
                </c:pt>
                <c:pt idx="49">
                  <c:v>24.991572879294623</c:v>
                </c:pt>
                <c:pt idx="50">
                  <c:v>31.885473031316504</c:v>
                </c:pt>
                <c:pt idx="51">
                  <c:v>48.173921070234115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B0-432F-AF69-5C8845740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Backtesting!$NL$47:$NL$99</c:f>
              <c:numCache>
                <c:formatCode>_-* #,##0.0_-;\-* #,##0.0_-;_-* "-"??_-;_-@_-</c:formatCode>
                <c:ptCount val="53"/>
                <c:pt idx="0">
                  <c:v>6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50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15</c:v>
                </c:pt>
                <c:pt idx="9">
                  <c:v>30</c:v>
                </c:pt>
                <c:pt idx="10">
                  <c:v>3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15</c:v>
                </c:pt>
                <c:pt idx="22">
                  <c:v>30</c:v>
                </c:pt>
                <c:pt idx="23">
                  <c:v>50</c:v>
                </c:pt>
                <c:pt idx="24">
                  <c:v>3</c:v>
                </c:pt>
                <c:pt idx="25">
                  <c:v>6</c:v>
                </c:pt>
                <c:pt idx="26">
                  <c:v>10</c:v>
                </c:pt>
                <c:pt idx="27">
                  <c:v>15</c:v>
                </c:pt>
                <c:pt idx="28">
                  <c:v>3</c:v>
                </c:pt>
                <c:pt idx="29">
                  <c:v>6</c:v>
                </c:pt>
                <c:pt idx="30">
                  <c:v>3</c:v>
                </c:pt>
                <c:pt idx="31">
                  <c:v>6</c:v>
                </c:pt>
                <c:pt idx="32">
                  <c:v>10</c:v>
                </c:pt>
                <c:pt idx="33">
                  <c:v>3</c:v>
                </c:pt>
                <c:pt idx="34">
                  <c:v>6</c:v>
                </c:pt>
                <c:pt idx="35">
                  <c:v>10</c:v>
                </c:pt>
              </c:numCache>
            </c:numRef>
          </c:xVal>
          <c:yVal>
            <c:numRef>
              <c:f>Backtesting!$NK$47:$NK$99</c:f>
              <c:numCache>
                <c:formatCode>_-* #,##0.0_-;\-* #,##0.0_-;_-* "-"??_-;_-@_-</c:formatCode>
                <c:ptCount val="53"/>
                <c:pt idx="0">
                  <c:v>17.646640000000001</c:v>
                </c:pt>
                <c:pt idx="1">
                  <c:v>23.499739999999999</c:v>
                </c:pt>
                <c:pt idx="2">
                  <c:v>26.247979999999998</c:v>
                </c:pt>
                <c:pt idx="3">
                  <c:v>42.723999999999997</c:v>
                </c:pt>
                <c:pt idx="4">
                  <c:v>67.043239999999997</c:v>
                </c:pt>
                <c:pt idx="5">
                  <c:v>13.68488</c:v>
                </c:pt>
                <c:pt idx="6">
                  <c:v>16.170660000000002</c:v>
                </c:pt>
                <c:pt idx="7">
                  <c:v>23.254439999999999</c:v>
                </c:pt>
                <c:pt idx="8">
                  <c:v>30.271339999999999</c:v>
                </c:pt>
                <c:pt idx="9">
                  <c:v>43.455060000000003</c:v>
                </c:pt>
                <c:pt idx="10">
                  <c:v>12.797510000000001</c:v>
                </c:pt>
                <c:pt idx="11">
                  <c:v>17.675350000000002</c:v>
                </c:pt>
                <c:pt idx="12">
                  <c:v>14.26502</c:v>
                </c:pt>
                <c:pt idx="13">
                  <c:v>15.74925</c:v>
                </c:pt>
                <c:pt idx="14">
                  <c:v>13.65188</c:v>
                </c:pt>
                <c:pt idx="15">
                  <c:v>12.28942</c:v>
                </c:pt>
                <c:pt idx="16">
                  <c:v>17.31664</c:v>
                </c:pt>
                <c:pt idx="17">
                  <c:v>13.75286</c:v>
                </c:pt>
                <c:pt idx="18">
                  <c:v>13.145</c:v>
                </c:pt>
                <c:pt idx="19">
                  <c:v>16.1205</c:v>
                </c:pt>
                <c:pt idx="20">
                  <c:v>18.67052</c:v>
                </c:pt>
                <c:pt idx="21">
                  <c:v>25.652989999999999</c:v>
                </c:pt>
                <c:pt idx="22">
                  <c:v>42.817610000000002</c:v>
                </c:pt>
                <c:pt idx="23">
                  <c:v>69.624499999999998</c:v>
                </c:pt>
                <c:pt idx="24">
                  <c:v>14.26689</c:v>
                </c:pt>
                <c:pt idx="25">
                  <c:v>17.496269999999999</c:v>
                </c:pt>
                <c:pt idx="26">
                  <c:v>25.258199999999999</c:v>
                </c:pt>
                <c:pt idx="27">
                  <c:v>28.366800000000001</c:v>
                </c:pt>
                <c:pt idx="28">
                  <c:v>12.711600000000001</c:v>
                </c:pt>
                <c:pt idx="29">
                  <c:v>16.118189999999998</c:v>
                </c:pt>
                <c:pt idx="30">
                  <c:v>13.037419999999999</c:v>
                </c:pt>
                <c:pt idx="31">
                  <c:v>17.39518</c:v>
                </c:pt>
                <c:pt idx="32">
                  <c:v>25.136980000000001</c:v>
                </c:pt>
                <c:pt idx="33">
                  <c:v>13.05095</c:v>
                </c:pt>
                <c:pt idx="34">
                  <c:v>17.104120000000002</c:v>
                </c:pt>
                <c:pt idx="35">
                  <c:v>19.45515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5A-45B8-BADF-38D07A3A9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Backtesting!$NL$47:$NL$99</c:f>
              <c:numCache>
                <c:formatCode>_-* #,##0.0_-;\-* #,##0.0_-;_-* "-"??_-;_-@_-</c:formatCode>
                <c:ptCount val="53"/>
                <c:pt idx="0">
                  <c:v>6</c:v>
                </c:pt>
                <c:pt idx="1">
                  <c:v>10</c:v>
                </c:pt>
                <c:pt idx="2">
                  <c:v>15</c:v>
                </c:pt>
                <c:pt idx="3">
                  <c:v>30</c:v>
                </c:pt>
                <c:pt idx="4">
                  <c:v>50</c:v>
                </c:pt>
                <c:pt idx="5">
                  <c:v>3</c:v>
                </c:pt>
                <c:pt idx="6">
                  <c:v>6</c:v>
                </c:pt>
                <c:pt idx="7">
                  <c:v>10</c:v>
                </c:pt>
                <c:pt idx="8">
                  <c:v>15</c:v>
                </c:pt>
                <c:pt idx="9">
                  <c:v>30</c:v>
                </c:pt>
                <c:pt idx="10">
                  <c:v>3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  <c:pt idx="19">
                  <c:v>6</c:v>
                </c:pt>
                <c:pt idx="20">
                  <c:v>10</c:v>
                </c:pt>
                <c:pt idx="21">
                  <c:v>15</c:v>
                </c:pt>
                <c:pt idx="22">
                  <c:v>30</c:v>
                </c:pt>
                <c:pt idx="23">
                  <c:v>50</c:v>
                </c:pt>
                <c:pt idx="24">
                  <c:v>3</c:v>
                </c:pt>
                <c:pt idx="25">
                  <c:v>6</c:v>
                </c:pt>
                <c:pt idx="26">
                  <c:v>10</c:v>
                </c:pt>
                <c:pt idx="27">
                  <c:v>15</c:v>
                </c:pt>
                <c:pt idx="28">
                  <c:v>3</c:v>
                </c:pt>
                <c:pt idx="29">
                  <c:v>6</c:v>
                </c:pt>
                <c:pt idx="30">
                  <c:v>3</c:v>
                </c:pt>
                <c:pt idx="31">
                  <c:v>6</c:v>
                </c:pt>
                <c:pt idx="32">
                  <c:v>10</c:v>
                </c:pt>
                <c:pt idx="33">
                  <c:v>3</c:v>
                </c:pt>
                <c:pt idx="34">
                  <c:v>6</c:v>
                </c:pt>
                <c:pt idx="35">
                  <c:v>10</c:v>
                </c:pt>
              </c:numCache>
            </c:numRef>
          </c:xVal>
          <c:yVal>
            <c:numRef>
              <c:f>Backtesting!$NK$47:$NK$99</c:f>
              <c:numCache>
                <c:formatCode>_-* #,##0.0_-;\-* #,##0.0_-;_-* "-"??_-;_-@_-</c:formatCode>
                <c:ptCount val="53"/>
                <c:pt idx="0">
                  <c:v>17.646640000000001</c:v>
                </c:pt>
                <c:pt idx="1">
                  <c:v>23.499739999999999</c:v>
                </c:pt>
                <c:pt idx="2">
                  <c:v>26.247979999999998</c:v>
                </c:pt>
                <c:pt idx="3">
                  <c:v>42.723999999999997</c:v>
                </c:pt>
                <c:pt idx="4">
                  <c:v>67.043239999999997</c:v>
                </c:pt>
                <c:pt idx="5">
                  <c:v>13.68488</c:v>
                </c:pt>
                <c:pt idx="6">
                  <c:v>16.170660000000002</c:v>
                </c:pt>
                <c:pt idx="7">
                  <c:v>23.254439999999999</c:v>
                </c:pt>
                <c:pt idx="8">
                  <c:v>30.271339999999999</c:v>
                </c:pt>
                <c:pt idx="9">
                  <c:v>43.455060000000003</c:v>
                </c:pt>
                <c:pt idx="10">
                  <c:v>12.797510000000001</c:v>
                </c:pt>
                <c:pt idx="11">
                  <c:v>17.675350000000002</c:v>
                </c:pt>
                <c:pt idx="12">
                  <c:v>14.26502</c:v>
                </c:pt>
                <c:pt idx="13">
                  <c:v>15.74925</c:v>
                </c:pt>
                <c:pt idx="14">
                  <c:v>13.65188</c:v>
                </c:pt>
                <c:pt idx="15">
                  <c:v>12.28942</c:v>
                </c:pt>
                <c:pt idx="16">
                  <c:v>17.31664</c:v>
                </c:pt>
                <c:pt idx="17">
                  <c:v>13.75286</c:v>
                </c:pt>
                <c:pt idx="18">
                  <c:v>13.145</c:v>
                </c:pt>
                <c:pt idx="19">
                  <c:v>16.1205</c:v>
                </c:pt>
                <c:pt idx="20">
                  <c:v>18.67052</c:v>
                </c:pt>
                <c:pt idx="21">
                  <c:v>25.652989999999999</c:v>
                </c:pt>
                <c:pt idx="22">
                  <c:v>42.817610000000002</c:v>
                </c:pt>
                <c:pt idx="23">
                  <c:v>69.624499999999998</c:v>
                </c:pt>
                <c:pt idx="24">
                  <c:v>14.26689</c:v>
                </c:pt>
                <c:pt idx="25">
                  <c:v>17.496269999999999</c:v>
                </c:pt>
                <c:pt idx="26">
                  <c:v>25.258199999999999</c:v>
                </c:pt>
                <c:pt idx="27">
                  <c:v>28.366800000000001</c:v>
                </c:pt>
                <c:pt idx="28">
                  <c:v>12.711600000000001</c:v>
                </c:pt>
                <c:pt idx="29">
                  <c:v>16.118189999999998</c:v>
                </c:pt>
                <c:pt idx="30">
                  <c:v>13.037419999999999</c:v>
                </c:pt>
                <c:pt idx="31">
                  <c:v>17.39518</c:v>
                </c:pt>
                <c:pt idx="32">
                  <c:v>25.136980000000001</c:v>
                </c:pt>
                <c:pt idx="33">
                  <c:v>13.05095</c:v>
                </c:pt>
                <c:pt idx="34">
                  <c:v>17.104120000000002</c:v>
                </c:pt>
                <c:pt idx="35">
                  <c:v>19.45515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AF-437C-AE57-A01EF23B4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Backtesting!$OA$47:$OA$99</c:f>
              <c:numCache>
                <c:formatCode>_-* #,##0.0_-;\-* #,##0.0_-;_-* "-"??_-;_-@_-</c:formatCode>
                <c:ptCount val="53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12</c:v>
                </c:pt>
                <c:pt idx="12">
                  <c:v>20</c:v>
                </c:pt>
                <c:pt idx="13">
                  <c:v>30</c:v>
                </c:pt>
                <c:pt idx="14">
                  <c:v>40</c:v>
                </c:pt>
                <c:pt idx="15">
                  <c:v>50</c:v>
                </c:pt>
                <c:pt idx="16">
                  <c:v>80</c:v>
                </c:pt>
                <c:pt idx="17">
                  <c:v>100</c:v>
                </c:pt>
                <c:pt idx="18">
                  <c:v>3</c:v>
                </c:pt>
                <c:pt idx="19">
                  <c:v>8</c:v>
                </c:pt>
                <c:pt idx="20">
                  <c:v>12</c:v>
                </c:pt>
                <c:pt idx="21">
                  <c:v>20</c:v>
                </c:pt>
                <c:pt idx="22">
                  <c:v>30</c:v>
                </c:pt>
                <c:pt idx="23">
                  <c:v>3</c:v>
                </c:pt>
                <c:pt idx="24">
                  <c:v>8</c:v>
                </c:pt>
                <c:pt idx="25">
                  <c:v>12</c:v>
                </c:pt>
                <c:pt idx="26">
                  <c:v>20</c:v>
                </c:pt>
                <c:pt idx="27">
                  <c:v>30</c:v>
                </c:pt>
                <c:pt idx="28">
                  <c:v>40</c:v>
                </c:pt>
                <c:pt idx="29">
                  <c:v>60</c:v>
                </c:pt>
                <c:pt idx="30">
                  <c:v>3</c:v>
                </c:pt>
                <c:pt idx="31">
                  <c:v>3</c:v>
                </c:pt>
                <c:pt idx="32">
                  <c:v>8</c:v>
                </c:pt>
                <c:pt idx="33">
                  <c:v>12</c:v>
                </c:pt>
                <c:pt idx="34">
                  <c:v>20</c:v>
                </c:pt>
                <c:pt idx="35">
                  <c:v>25</c:v>
                </c:pt>
              </c:numCache>
            </c:numRef>
          </c:xVal>
          <c:yVal>
            <c:numRef>
              <c:f>Backtesting!$NZ$47:$NZ$99</c:f>
              <c:numCache>
                <c:formatCode>_-* #,##0.0_-;\-* #,##0.0_-;_-* "-"??_-;_-@_-</c:formatCode>
                <c:ptCount val="53"/>
                <c:pt idx="0">
                  <c:v>18.243324000000001</c:v>
                </c:pt>
                <c:pt idx="1">
                  <c:v>11.782121999999999</c:v>
                </c:pt>
                <c:pt idx="2">
                  <c:v>16.804853999999999</c:v>
                </c:pt>
                <c:pt idx="3">
                  <c:v>17.618040000000001</c:v>
                </c:pt>
                <c:pt idx="4">
                  <c:v>26.383103999999999</c:v>
                </c:pt>
                <c:pt idx="5">
                  <c:v>36.245220000000003</c:v>
                </c:pt>
                <c:pt idx="6">
                  <c:v>46.268706000000002</c:v>
                </c:pt>
                <c:pt idx="7">
                  <c:v>56.733600000000003</c:v>
                </c:pt>
                <c:pt idx="8">
                  <c:v>11.832018</c:v>
                </c:pt>
                <c:pt idx="9">
                  <c:v>11.01375</c:v>
                </c:pt>
                <c:pt idx="10">
                  <c:v>16.538214</c:v>
                </c:pt>
                <c:pt idx="11">
                  <c:v>20.156862</c:v>
                </c:pt>
                <c:pt idx="12">
                  <c:v>27.395676000000002</c:v>
                </c:pt>
                <c:pt idx="13">
                  <c:v>32.154144000000002</c:v>
                </c:pt>
                <c:pt idx="14">
                  <c:v>38.903700000000001</c:v>
                </c:pt>
                <c:pt idx="15">
                  <c:v>47.926296000000001</c:v>
                </c:pt>
                <c:pt idx="16">
                  <c:v>90.542231999999998</c:v>
                </c:pt>
                <c:pt idx="17">
                  <c:v>168.61891199999999</c:v>
                </c:pt>
                <c:pt idx="18">
                  <c:v>14.740043999999999</c:v>
                </c:pt>
                <c:pt idx="19">
                  <c:v>17.328102000000001</c:v>
                </c:pt>
                <c:pt idx="20">
                  <c:v>21.834251999999999</c:v>
                </c:pt>
                <c:pt idx="21">
                  <c:v>28.53378</c:v>
                </c:pt>
                <c:pt idx="22">
                  <c:v>37.562184000000002</c:v>
                </c:pt>
                <c:pt idx="23">
                  <c:v>12.930785999999999</c:v>
                </c:pt>
                <c:pt idx="24">
                  <c:v>18.459935999999999</c:v>
                </c:pt>
                <c:pt idx="25">
                  <c:v>24.480720000000002</c:v>
                </c:pt>
                <c:pt idx="26">
                  <c:v>29.189556</c:v>
                </c:pt>
                <c:pt idx="27">
                  <c:v>34.647557999999997</c:v>
                </c:pt>
                <c:pt idx="28">
                  <c:v>42.118955999999997</c:v>
                </c:pt>
                <c:pt idx="29">
                  <c:v>69.371610000000004</c:v>
                </c:pt>
                <c:pt idx="30">
                  <c:v>13.565772000000001</c:v>
                </c:pt>
                <c:pt idx="31">
                  <c:v>13.172082</c:v>
                </c:pt>
                <c:pt idx="32">
                  <c:v>19.567152</c:v>
                </c:pt>
                <c:pt idx="33">
                  <c:v>24.038585999999999</c:v>
                </c:pt>
                <c:pt idx="34">
                  <c:v>31.84929</c:v>
                </c:pt>
                <c:pt idx="35">
                  <c:v>32.226612000000003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62-47C3-A093-349742E8F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Backtesting!$OA$47:$OA$99</c:f>
              <c:numCache>
                <c:formatCode>_-* #,##0.0_-;\-* #,##0.0_-;_-* "-"??_-;_-@_-</c:formatCode>
                <c:ptCount val="53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12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3</c:v>
                </c:pt>
                <c:pt idx="9">
                  <c:v>3</c:v>
                </c:pt>
                <c:pt idx="10">
                  <c:v>8</c:v>
                </c:pt>
                <c:pt idx="11">
                  <c:v>12</c:v>
                </c:pt>
                <c:pt idx="12">
                  <c:v>20</c:v>
                </c:pt>
                <c:pt idx="13">
                  <c:v>30</c:v>
                </c:pt>
                <c:pt idx="14">
                  <c:v>40</c:v>
                </c:pt>
                <c:pt idx="15">
                  <c:v>50</c:v>
                </c:pt>
                <c:pt idx="16">
                  <c:v>80</c:v>
                </c:pt>
                <c:pt idx="17">
                  <c:v>100</c:v>
                </c:pt>
                <c:pt idx="18">
                  <c:v>3</c:v>
                </c:pt>
                <c:pt idx="19">
                  <c:v>8</c:v>
                </c:pt>
                <c:pt idx="20">
                  <c:v>12</c:v>
                </c:pt>
                <c:pt idx="21">
                  <c:v>20</c:v>
                </c:pt>
                <c:pt idx="22">
                  <c:v>30</c:v>
                </c:pt>
                <c:pt idx="23">
                  <c:v>3</c:v>
                </c:pt>
                <c:pt idx="24">
                  <c:v>8</c:v>
                </c:pt>
                <c:pt idx="25">
                  <c:v>12</c:v>
                </c:pt>
                <c:pt idx="26">
                  <c:v>20</c:v>
                </c:pt>
                <c:pt idx="27">
                  <c:v>30</c:v>
                </c:pt>
                <c:pt idx="28">
                  <c:v>40</c:v>
                </c:pt>
                <c:pt idx="29">
                  <c:v>60</c:v>
                </c:pt>
                <c:pt idx="30">
                  <c:v>3</c:v>
                </c:pt>
                <c:pt idx="31">
                  <c:v>3</c:v>
                </c:pt>
                <c:pt idx="32">
                  <c:v>8</c:v>
                </c:pt>
                <c:pt idx="33">
                  <c:v>12</c:v>
                </c:pt>
                <c:pt idx="34">
                  <c:v>20</c:v>
                </c:pt>
                <c:pt idx="35">
                  <c:v>25</c:v>
                </c:pt>
              </c:numCache>
            </c:numRef>
          </c:xVal>
          <c:yVal>
            <c:numRef>
              <c:f>Backtesting!$NZ$47:$NZ$99</c:f>
              <c:numCache>
                <c:formatCode>_-* #,##0.0_-;\-* #,##0.0_-;_-* "-"??_-;_-@_-</c:formatCode>
                <c:ptCount val="53"/>
                <c:pt idx="0">
                  <c:v>18.243324000000001</c:v>
                </c:pt>
                <c:pt idx="1">
                  <c:v>11.782121999999999</c:v>
                </c:pt>
                <c:pt idx="2">
                  <c:v>16.804853999999999</c:v>
                </c:pt>
                <c:pt idx="3">
                  <c:v>17.618040000000001</c:v>
                </c:pt>
                <c:pt idx="4">
                  <c:v>26.383103999999999</c:v>
                </c:pt>
                <c:pt idx="5">
                  <c:v>36.245220000000003</c:v>
                </c:pt>
                <c:pt idx="6">
                  <c:v>46.268706000000002</c:v>
                </c:pt>
                <c:pt idx="7">
                  <c:v>56.733600000000003</c:v>
                </c:pt>
                <c:pt idx="8">
                  <c:v>11.832018</c:v>
                </c:pt>
                <c:pt idx="9">
                  <c:v>11.01375</c:v>
                </c:pt>
                <c:pt idx="10">
                  <c:v>16.538214</c:v>
                </c:pt>
                <c:pt idx="11">
                  <c:v>20.156862</c:v>
                </c:pt>
                <c:pt idx="12">
                  <c:v>27.395676000000002</c:v>
                </c:pt>
                <c:pt idx="13">
                  <c:v>32.154144000000002</c:v>
                </c:pt>
                <c:pt idx="14">
                  <c:v>38.903700000000001</c:v>
                </c:pt>
                <c:pt idx="15">
                  <c:v>47.926296000000001</c:v>
                </c:pt>
                <c:pt idx="16">
                  <c:v>90.542231999999998</c:v>
                </c:pt>
                <c:pt idx="17">
                  <c:v>168.61891199999999</c:v>
                </c:pt>
                <c:pt idx="18">
                  <c:v>14.740043999999999</c:v>
                </c:pt>
                <c:pt idx="19">
                  <c:v>17.328102000000001</c:v>
                </c:pt>
                <c:pt idx="20">
                  <c:v>21.834251999999999</c:v>
                </c:pt>
                <c:pt idx="21">
                  <c:v>28.53378</c:v>
                </c:pt>
                <c:pt idx="22">
                  <c:v>37.562184000000002</c:v>
                </c:pt>
                <c:pt idx="23">
                  <c:v>12.930785999999999</c:v>
                </c:pt>
                <c:pt idx="24">
                  <c:v>18.459935999999999</c:v>
                </c:pt>
                <c:pt idx="25">
                  <c:v>24.480720000000002</c:v>
                </c:pt>
                <c:pt idx="26">
                  <c:v>29.189556</c:v>
                </c:pt>
                <c:pt idx="27">
                  <c:v>34.647557999999997</c:v>
                </c:pt>
                <c:pt idx="28">
                  <c:v>42.118955999999997</c:v>
                </c:pt>
                <c:pt idx="29">
                  <c:v>69.371610000000004</c:v>
                </c:pt>
                <c:pt idx="30">
                  <c:v>13.565772000000001</c:v>
                </c:pt>
                <c:pt idx="31">
                  <c:v>13.172082</c:v>
                </c:pt>
                <c:pt idx="32">
                  <c:v>19.567152</c:v>
                </c:pt>
                <c:pt idx="33">
                  <c:v>24.038585999999999</c:v>
                </c:pt>
                <c:pt idx="34">
                  <c:v>31.84929</c:v>
                </c:pt>
                <c:pt idx="35">
                  <c:v>32.226612000000003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E-4637-99F2-480E72677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952264957264957"/>
                  <c:y val="-8.22034722222222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Backtesting!$IS$69:$IS$121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#N/A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#N/A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Backtesting!$IR$69:$IR$121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#N/A</c:v>
                </c:pt>
                <c:pt idx="16">
                  <c:v>#N/A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#N/A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#N/A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68-4BD9-AFE8-096FEDDA5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Jackpot ($m)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Entries (m's)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8077222222222223"/>
                  <c:y val="-7.78173611111111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Backtesting!$IS$69:$IS$121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#N/A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#N/A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Backtesting!$IR$69:$IR$121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#N/A</c:v>
                </c:pt>
                <c:pt idx="16">
                  <c:v>#N/A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#N/A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#N/A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C1-4032-AC17-7F357211B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810482905982906"/>
                  <c:y val="-2.99270833333333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Backtesting!$IS$69:$IS$121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#N/A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#N/A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Backtesting!$IR$69:$IR$121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#N/A</c:v>
                </c:pt>
                <c:pt idx="16">
                  <c:v>#N/A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#N/A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#N/A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3A-445C-ABE4-7D6945FFD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018311965811969"/>
                  <c:y val="-0.114389930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Backtesting!$FP$49:$FP$101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#N/A</c:v>
                </c:pt>
                <c:pt idx="7">
                  <c:v>3</c:v>
                </c:pt>
                <c:pt idx="8">
                  <c:v>8</c:v>
                </c:pt>
                <c:pt idx="9">
                  <c:v>12</c:v>
                </c:pt>
                <c:pt idx="10">
                  <c:v>20</c:v>
                </c:pt>
                <c:pt idx="11">
                  <c:v>30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20</c:v>
                </c:pt>
                <c:pt idx="16">
                  <c:v>30</c:v>
                </c:pt>
                <c:pt idx="17">
                  <c:v>40</c:v>
                </c:pt>
                <c:pt idx="18">
                  <c:v>60</c:v>
                </c:pt>
                <c:pt idx="19">
                  <c:v>3</c:v>
                </c:pt>
                <c:pt idx="20">
                  <c:v>3</c:v>
                </c:pt>
                <c:pt idx="21">
                  <c:v>8</c:v>
                </c:pt>
                <c:pt idx="22">
                  <c:v>12</c:v>
                </c:pt>
                <c:pt idx="23">
                  <c:v>20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80</c:v>
                </c:pt>
                <c:pt idx="28">
                  <c:v>#N/A</c:v>
                </c:pt>
                <c:pt idx="29">
                  <c:v>3</c:v>
                </c:pt>
                <c:pt idx="30">
                  <c:v>8</c:v>
                </c:pt>
                <c:pt idx="31">
                  <c:v>12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3</c:v>
                </c:pt>
                <c:pt idx="36">
                  <c:v>8</c:v>
                </c:pt>
                <c:pt idx="37">
                  <c:v>12</c:v>
                </c:pt>
                <c:pt idx="38">
                  <c:v>20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30</c:v>
                </c:pt>
                <c:pt idx="44">
                  <c:v>3</c:v>
                </c:pt>
                <c:pt idx="45">
                  <c:v>8</c:v>
                </c:pt>
                <c:pt idx="46">
                  <c:v>3</c:v>
                </c:pt>
                <c:pt idx="47">
                  <c:v>8</c:v>
                </c:pt>
                <c:pt idx="48">
                  <c:v>12</c:v>
                </c:pt>
                <c:pt idx="49">
                  <c:v>20</c:v>
                </c:pt>
                <c:pt idx="50">
                  <c:v>30</c:v>
                </c:pt>
                <c:pt idx="51">
                  <c:v>40</c:v>
                </c:pt>
                <c:pt idx="52">
                  <c:v>#N/A</c:v>
                </c:pt>
              </c:numCache>
            </c:numRef>
          </c:xVal>
          <c:yVal>
            <c:numRef>
              <c:f>Backtesting!$FO$49:$FO$101</c:f>
              <c:numCache>
                <c:formatCode>_-* #,##0.0_-;\-* #,##0.0_-;_-* "-"??_-;_-@_-</c:formatCode>
                <c:ptCount val="53"/>
                <c:pt idx="0">
                  <c:v>20.852316083916079</c:v>
                </c:pt>
                <c:pt idx="1">
                  <c:v>26.842498410680225</c:v>
                </c:pt>
                <c:pt idx="2">
                  <c:v>32.449661792752693</c:v>
                </c:pt>
                <c:pt idx="3">
                  <c:v>38.67065225683406</c:v>
                </c:pt>
                <c:pt idx="4">
                  <c:v>47.637119898283515</c:v>
                </c:pt>
                <c:pt idx="5">
                  <c:v>89.658851621106137</c:v>
                </c:pt>
                <c:pt idx="6">
                  <c:v>#N/A</c:v>
                </c:pt>
                <c:pt idx="7">
                  <c:v>14.031852256834073</c:v>
                </c:pt>
                <c:pt idx="8">
                  <c:v>16.733295359186265</c:v>
                </c:pt>
                <c:pt idx="9">
                  <c:v>21.606582835346465</c:v>
                </c:pt>
                <c:pt idx="10">
                  <c:v>27.308763127781301</c:v>
                </c:pt>
                <c:pt idx="11">
                  <c:v>36.523512523839784</c:v>
                </c:pt>
                <c:pt idx="12">
                  <c:v>12.986396185632547</c:v>
                </c:pt>
                <c:pt idx="13">
                  <c:v>17.248674888747615</c:v>
                </c:pt>
                <c:pt idx="14">
                  <c:v>22.858246916719636</c:v>
                </c:pt>
                <c:pt idx="15">
                  <c:v>29.451650349650347</c:v>
                </c:pt>
                <c:pt idx="16">
                  <c:v>34.304900190718364</c:v>
                </c:pt>
                <c:pt idx="17">
                  <c:v>42.745877177368079</c:v>
                </c:pt>
                <c:pt idx="18">
                  <c:v>70.047528035600749</c:v>
                </c:pt>
                <c:pt idx="19">
                  <c:v>13.689841958041953</c:v>
                </c:pt>
                <c:pt idx="20">
                  <c:v>13.612641449459627</c:v>
                </c:pt>
                <c:pt idx="21">
                  <c:v>19.569770120788299</c:v>
                </c:pt>
                <c:pt idx="22">
                  <c:v>24.628368722186906</c:v>
                </c:pt>
                <c:pt idx="23">
                  <c:v>30.784708455181175</c:v>
                </c:pt>
                <c:pt idx="24">
                  <c:v>32.972327018436104</c:v>
                </c:pt>
                <c:pt idx="25">
                  <c:v>36.354827972027962</c:v>
                </c:pt>
                <c:pt idx="26">
                  <c:v>63.766761602034322</c:v>
                </c:pt>
                <c:pt idx="27">
                  <c:v>112.3132386522568</c:v>
                </c:pt>
                <c:pt idx="28">
                  <c:v>#N/A</c:v>
                </c:pt>
                <c:pt idx="29">
                  <c:v>13.937889720898571</c:v>
                </c:pt>
                <c:pt idx="30">
                  <c:v>18.140342842997711</c:v>
                </c:pt>
                <c:pt idx="31">
                  <c:v>25.118955133362217</c:v>
                </c:pt>
                <c:pt idx="32">
                  <c:v>31.354336778265978</c:v>
                </c:pt>
                <c:pt idx="33">
                  <c:v>38.283030633083733</c:v>
                </c:pt>
                <c:pt idx="34">
                  <c:v>44.982119438084034</c:v>
                </c:pt>
                <c:pt idx="35">
                  <c:v>13.444204963178414</c:v>
                </c:pt>
                <c:pt idx="36">
                  <c:v>16.484335664335664</c:v>
                </c:pt>
                <c:pt idx="37">
                  <c:v>20.282530107061081</c:v>
                </c:pt>
                <c:pt idx="38">
                  <c:v>26.225644903768799</c:v>
                </c:pt>
                <c:pt idx="39">
                  <c:v>13.585177795655671</c:v>
                </c:pt>
                <c:pt idx="40">
                  <c:v>17.74406361779813</c:v>
                </c:pt>
                <c:pt idx="41">
                  <c:v>22.274509066155083</c:v>
                </c:pt>
                <c:pt idx="42">
                  <c:v>22.688576025744165</c:v>
                </c:pt>
                <c:pt idx="43">
                  <c:v>34.273410483321989</c:v>
                </c:pt>
                <c:pt idx="44">
                  <c:v>12.230604616622315</c:v>
                </c:pt>
                <c:pt idx="45">
                  <c:v>16.70412154217464</c:v>
                </c:pt>
                <c:pt idx="46">
                  <c:v>12.325589702333064</c:v>
                </c:pt>
                <c:pt idx="47">
                  <c:v>15.336385914969984</c:v>
                </c:pt>
                <c:pt idx="48">
                  <c:v>18.797418899684388</c:v>
                </c:pt>
                <c:pt idx="49">
                  <c:v>22.750507333374586</c:v>
                </c:pt>
                <c:pt idx="50">
                  <c:v>27.826067454669225</c:v>
                </c:pt>
                <c:pt idx="51">
                  <c:v>37.957462714276872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C3-4EC3-ACDD-4B76A8C5C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7542735042734"/>
                  <c:y val="-5.38149305555555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Backtesting!$FP$49:$FP$101</c:f>
              <c:numCache>
                <c:formatCode>_-* #,##0.0_-;\-* #,##0.0_-;_-* "-"??_-;_-@_-</c:formatCode>
                <c:ptCount val="53"/>
                <c:pt idx="0">
                  <c:v>12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#N/A</c:v>
                </c:pt>
                <c:pt idx="7">
                  <c:v>3</c:v>
                </c:pt>
                <c:pt idx="8">
                  <c:v>8</c:v>
                </c:pt>
                <c:pt idx="9">
                  <c:v>12</c:v>
                </c:pt>
                <c:pt idx="10">
                  <c:v>20</c:v>
                </c:pt>
                <c:pt idx="11">
                  <c:v>30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20</c:v>
                </c:pt>
                <c:pt idx="16">
                  <c:v>30</c:v>
                </c:pt>
                <c:pt idx="17">
                  <c:v>40</c:v>
                </c:pt>
                <c:pt idx="18">
                  <c:v>60</c:v>
                </c:pt>
                <c:pt idx="19">
                  <c:v>3</c:v>
                </c:pt>
                <c:pt idx="20">
                  <c:v>3</c:v>
                </c:pt>
                <c:pt idx="21">
                  <c:v>8</c:v>
                </c:pt>
                <c:pt idx="22">
                  <c:v>12</c:v>
                </c:pt>
                <c:pt idx="23">
                  <c:v>20</c:v>
                </c:pt>
                <c:pt idx="24">
                  <c:v>25</c:v>
                </c:pt>
                <c:pt idx="25">
                  <c:v>30</c:v>
                </c:pt>
                <c:pt idx="26">
                  <c:v>50</c:v>
                </c:pt>
                <c:pt idx="27">
                  <c:v>80</c:v>
                </c:pt>
                <c:pt idx="28">
                  <c:v>#N/A</c:v>
                </c:pt>
                <c:pt idx="29">
                  <c:v>3</c:v>
                </c:pt>
                <c:pt idx="30">
                  <c:v>8</c:v>
                </c:pt>
                <c:pt idx="31">
                  <c:v>12</c:v>
                </c:pt>
                <c:pt idx="32">
                  <c:v>20</c:v>
                </c:pt>
                <c:pt idx="33">
                  <c:v>30</c:v>
                </c:pt>
                <c:pt idx="34">
                  <c:v>40</c:v>
                </c:pt>
                <c:pt idx="35">
                  <c:v>3</c:v>
                </c:pt>
                <c:pt idx="36">
                  <c:v>8</c:v>
                </c:pt>
                <c:pt idx="37">
                  <c:v>12</c:v>
                </c:pt>
                <c:pt idx="38">
                  <c:v>20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30</c:v>
                </c:pt>
                <c:pt idx="44">
                  <c:v>3</c:v>
                </c:pt>
                <c:pt idx="45">
                  <c:v>8</c:v>
                </c:pt>
                <c:pt idx="46">
                  <c:v>3</c:v>
                </c:pt>
                <c:pt idx="47">
                  <c:v>8</c:v>
                </c:pt>
                <c:pt idx="48">
                  <c:v>12</c:v>
                </c:pt>
                <c:pt idx="49">
                  <c:v>20</c:v>
                </c:pt>
                <c:pt idx="50">
                  <c:v>30</c:v>
                </c:pt>
                <c:pt idx="51">
                  <c:v>40</c:v>
                </c:pt>
                <c:pt idx="52">
                  <c:v>#N/A</c:v>
                </c:pt>
              </c:numCache>
            </c:numRef>
          </c:xVal>
          <c:yVal>
            <c:numRef>
              <c:f>Backtesting!$FO$49:$FO$101</c:f>
              <c:numCache>
                <c:formatCode>_-* #,##0.0_-;\-* #,##0.0_-;_-* "-"??_-;_-@_-</c:formatCode>
                <c:ptCount val="53"/>
                <c:pt idx="0">
                  <c:v>20.852316083916079</c:v>
                </c:pt>
                <c:pt idx="1">
                  <c:v>26.842498410680225</c:v>
                </c:pt>
                <c:pt idx="2">
                  <c:v>32.449661792752693</c:v>
                </c:pt>
                <c:pt idx="3">
                  <c:v>38.67065225683406</c:v>
                </c:pt>
                <c:pt idx="4">
                  <c:v>47.637119898283515</c:v>
                </c:pt>
                <c:pt idx="5">
                  <c:v>89.658851621106137</c:v>
                </c:pt>
                <c:pt idx="6">
                  <c:v>#N/A</c:v>
                </c:pt>
                <c:pt idx="7">
                  <c:v>14.031852256834073</c:v>
                </c:pt>
                <c:pt idx="8">
                  <c:v>16.733295359186265</c:v>
                </c:pt>
                <c:pt idx="9">
                  <c:v>21.606582835346465</c:v>
                </c:pt>
                <c:pt idx="10">
                  <c:v>27.308763127781301</c:v>
                </c:pt>
                <c:pt idx="11">
                  <c:v>36.523512523839784</c:v>
                </c:pt>
                <c:pt idx="12">
                  <c:v>12.986396185632547</c:v>
                </c:pt>
                <c:pt idx="13">
                  <c:v>17.248674888747615</c:v>
                </c:pt>
                <c:pt idx="14">
                  <c:v>22.858246916719636</c:v>
                </c:pt>
                <c:pt idx="15">
                  <c:v>29.451650349650347</c:v>
                </c:pt>
                <c:pt idx="16">
                  <c:v>34.304900190718364</c:v>
                </c:pt>
                <c:pt idx="17">
                  <c:v>42.745877177368079</c:v>
                </c:pt>
                <c:pt idx="18">
                  <c:v>70.047528035600749</c:v>
                </c:pt>
                <c:pt idx="19">
                  <c:v>13.689841958041953</c:v>
                </c:pt>
                <c:pt idx="20">
                  <c:v>13.612641449459627</c:v>
                </c:pt>
                <c:pt idx="21">
                  <c:v>19.569770120788299</c:v>
                </c:pt>
                <c:pt idx="22">
                  <c:v>24.628368722186906</c:v>
                </c:pt>
                <c:pt idx="23">
                  <c:v>30.784708455181175</c:v>
                </c:pt>
                <c:pt idx="24">
                  <c:v>32.972327018436104</c:v>
                </c:pt>
                <c:pt idx="25">
                  <c:v>36.354827972027962</c:v>
                </c:pt>
                <c:pt idx="26">
                  <c:v>63.766761602034322</c:v>
                </c:pt>
                <c:pt idx="27">
                  <c:v>112.3132386522568</c:v>
                </c:pt>
                <c:pt idx="28">
                  <c:v>#N/A</c:v>
                </c:pt>
                <c:pt idx="29">
                  <c:v>13.937889720898571</c:v>
                </c:pt>
                <c:pt idx="30">
                  <c:v>18.140342842997711</c:v>
                </c:pt>
                <c:pt idx="31">
                  <c:v>25.118955133362217</c:v>
                </c:pt>
                <c:pt idx="32">
                  <c:v>31.354336778265978</c:v>
                </c:pt>
                <c:pt idx="33">
                  <c:v>38.283030633083733</c:v>
                </c:pt>
                <c:pt idx="34">
                  <c:v>44.982119438084034</c:v>
                </c:pt>
                <c:pt idx="35">
                  <c:v>13.444204963178414</c:v>
                </c:pt>
                <c:pt idx="36">
                  <c:v>16.484335664335664</c:v>
                </c:pt>
                <c:pt idx="37">
                  <c:v>20.282530107061081</c:v>
                </c:pt>
                <c:pt idx="38">
                  <c:v>26.225644903768799</c:v>
                </c:pt>
                <c:pt idx="39">
                  <c:v>13.585177795655671</c:v>
                </c:pt>
                <c:pt idx="40">
                  <c:v>17.74406361779813</c:v>
                </c:pt>
                <c:pt idx="41">
                  <c:v>22.274509066155083</c:v>
                </c:pt>
                <c:pt idx="42">
                  <c:v>22.688576025744165</c:v>
                </c:pt>
                <c:pt idx="43">
                  <c:v>34.273410483321989</c:v>
                </c:pt>
                <c:pt idx="44">
                  <c:v>12.230604616622315</c:v>
                </c:pt>
                <c:pt idx="45">
                  <c:v>16.70412154217464</c:v>
                </c:pt>
                <c:pt idx="46">
                  <c:v>12.325589702333064</c:v>
                </c:pt>
                <c:pt idx="47">
                  <c:v>15.336385914969984</c:v>
                </c:pt>
                <c:pt idx="48">
                  <c:v>18.797418899684388</c:v>
                </c:pt>
                <c:pt idx="49">
                  <c:v>22.750507333374586</c:v>
                </c:pt>
                <c:pt idx="50">
                  <c:v>27.826067454669225</c:v>
                </c:pt>
                <c:pt idx="51">
                  <c:v>37.957462714276872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2C-44EC-921A-9AEFBA4AB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Backtesting!$GL$49:$GL$101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80</c:v>
                </c:pt>
                <c:pt idx="2">
                  <c:v>#N/A</c:v>
                </c:pt>
                <c:pt idx="3">
                  <c:v>3</c:v>
                </c:pt>
                <c:pt idx="4">
                  <c:v>8</c:v>
                </c:pt>
                <c:pt idx="5">
                  <c:v>12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#N/A</c:v>
                </c:pt>
                <c:pt idx="11">
                  <c:v>#N/A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8</c:v>
                </c:pt>
                <c:pt idx="17">
                  <c:v>12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3</c:v>
                </c:pt>
                <c:pt idx="22">
                  <c:v>8</c:v>
                </c:pt>
                <c:pt idx="23">
                  <c:v>12</c:v>
                </c:pt>
                <c:pt idx="24">
                  <c:v>15</c:v>
                </c:pt>
                <c:pt idx="25">
                  <c:v>20</c:v>
                </c:pt>
                <c:pt idx="26">
                  <c:v>3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40</c:v>
                </c:pt>
                <c:pt idx="31">
                  <c:v>60</c:v>
                </c:pt>
                <c:pt idx="32">
                  <c:v>3</c:v>
                </c:pt>
                <c:pt idx="33">
                  <c:v>8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60</c:v>
                </c:pt>
                <c:pt idx="38">
                  <c:v>80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15</c:v>
                </c:pt>
                <c:pt idx="48">
                  <c:v>3</c:v>
                </c:pt>
                <c:pt idx="49">
                  <c:v>8</c:v>
                </c:pt>
                <c:pt idx="50">
                  <c:v>15</c:v>
                </c:pt>
                <c:pt idx="51">
                  <c:v>30</c:v>
                </c:pt>
                <c:pt idx="52">
                  <c:v>#N/A</c:v>
                </c:pt>
              </c:numCache>
            </c:numRef>
          </c:xVal>
          <c:yVal>
            <c:numRef>
              <c:f>Backtesting!$GK$49:$GK$101</c:f>
              <c:numCache>
                <c:formatCode>_-* #,##0.0_-;\-* #,##0.0_-;_-* "-"??_-;_-@_-</c:formatCode>
                <c:ptCount val="53"/>
                <c:pt idx="0">
                  <c:v>52.868604987932429</c:v>
                </c:pt>
                <c:pt idx="1">
                  <c:v>73.766786311034096</c:v>
                </c:pt>
                <c:pt idx="2">
                  <c:v>#N/A</c:v>
                </c:pt>
                <c:pt idx="3">
                  <c:v>14.254130329847143</c:v>
                </c:pt>
                <c:pt idx="4">
                  <c:v>17.621573612228481</c:v>
                </c:pt>
                <c:pt idx="5">
                  <c:v>22.977947397735008</c:v>
                </c:pt>
                <c:pt idx="6">
                  <c:v>29.967446995482394</c:v>
                </c:pt>
                <c:pt idx="7">
                  <c:v>39.864962683334355</c:v>
                </c:pt>
                <c:pt idx="8">
                  <c:v>55.027958165728073</c:v>
                </c:pt>
                <c:pt idx="9">
                  <c:v>82.565532768116853</c:v>
                </c:pt>
                <c:pt idx="10">
                  <c:v>#N/A</c:v>
                </c:pt>
                <c:pt idx="11">
                  <c:v>#N/A</c:v>
                </c:pt>
                <c:pt idx="12">
                  <c:v>15.306639767312332</c:v>
                </c:pt>
                <c:pt idx="13">
                  <c:v>18.203091032860947</c:v>
                </c:pt>
                <c:pt idx="14">
                  <c:v>21.62795791818801</c:v>
                </c:pt>
                <c:pt idx="15">
                  <c:v>14.675381397363697</c:v>
                </c:pt>
                <c:pt idx="16">
                  <c:v>19.900891144253976</c:v>
                </c:pt>
                <c:pt idx="17">
                  <c:v>22.777251067516556</c:v>
                </c:pt>
                <c:pt idx="18">
                  <c:v>30.483818305588219</c:v>
                </c:pt>
                <c:pt idx="19">
                  <c:v>40.529243888854509</c:v>
                </c:pt>
                <c:pt idx="20">
                  <c:v>48.609266415000924</c:v>
                </c:pt>
                <c:pt idx="21">
                  <c:v>15.126397920663408</c:v>
                </c:pt>
                <c:pt idx="22">
                  <c:v>20.501358252367101</c:v>
                </c:pt>
                <c:pt idx="23">
                  <c:v>25.306949439940592</c:v>
                </c:pt>
                <c:pt idx="24">
                  <c:v>25.742781855312831</c:v>
                </c:pt>
                <c:pt idx="25">
                  <c:v>25.073378303112815</c:v>
                </c:pt>
                <c:pt idx="26">
                  <c:v>14.302579986385295</c:v>
                </c:pt>
                <c:pt idx="27">
                  <c:v>20.379060090352123</c:v>
                </c:pt>
                <c:pt idx="28">
                  <c:v>25.817218392227243</c:v>
                </c:pt>
                <c:pt idx="29">
                  <c:v>34.282351135590076</c:v>
                </c:pt>
                <c:pt idx="30">
                  <c:v>45.674629370629361</c:v>
                </c:pt>
                <c:pt idx="31">
                  <c:v>67.313625100563158</c:v>
                </c:pt>
                <c:pt idx="32">
                  <c:v>14.466345689708522</c:v>
                </c:pt>
                <c:pt idx="33">
                  <c:v>21.31719914867741</c:v>
                </c:pt>
                <c:pt idx="34">
                  <c:v>28.132182912739434</c:v>
                </c:pt>
                <c:pt idx="35">
                  <c:v>36.338271571906361</c:v>
                </c:pt>
                <c:pt idx="36">
                  <c:v>47.382249437519008</c:v>
                </c:pt>
                <c:pt idx="37">
                  <c:v>63.68030355731225</c:v>
                </c:pt>
                <c:pt idx="38">
                  <c:v>82.611427667984188</c:v>
                </c:pt>
                <c:pt idx="39">
                  <c:v>15.454267436910914</c:v>
                </c:pt>
                <c:pt idx="40">
                  <c:v>21.964242505320762</c:v>
                </c:pt>
                <c:pt idx="41">
                  <c:v>28.686509212526602</c:v>
                </c:pt>
                <c:pt idx="42">
                  <c:v>40.886779446640311</c:v>
                </c:pt>
                <c:pt idx="43">
                  <c:v>17.546634478564911</c:v>
                </c:pt>
                <c:pt idx="44">
                  <c:v>22.952706354515055</c:v>
                </c:pt>
                <c:pt idx="45">
                  <c:v>17.170624749163878</c:v>
                </c:pt>
                <c:pt idx="46">
                  <c:v>24.236348555792038</c:v>
                </c:pt>
                <c:pt idx="47">
                  <c:v>37.016112131346915</c:v>
                </c:pt>
                <c:pt idx="48">
                  <c:v>18.06607941623594</c:v>
                </c:pt>
                <c:pt idx="49">
                  <c:v>24.991572879294623</c:v>
                </c:pt>
                <c:pt idx="50">
                  <c:v>31.885473031316504</c:v>
                </c:pt>
                <c:pt idx="51">
                  <c:v>48.173921070234115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CD-4B1A-989D-ED96456E6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Backtesting!$GL$49:$GL$101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80</c:v>
                </c:pt>
                <c:pt idx="2">
                  <c:v>#N/A</c:v>
                </c:pt>
                <c:pt idx="3">
                  <c:v>3</c:v>
                </c:pt>
                <c:pt idx="4">
                  <c:v>8</c:v>
                </c:pt>
                <c:pt idx="5">
                  <c:v>12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#N/A</c:v>
                </c:pt>
                <c:pt idx="11">
                  <c:v>#N/A</c:v>
                </c:pt>
                <c:pt idx="12">
                  <c:v>3</c:v>
                </c:pt>
                <c:pt idx="13">
                  <c:v>8</c:v>
                </c:pt>
                <c:pt idx="14">
                  <c:v>12</c:v>
                </c:pt>
                <c:pt idx="15">
                  <c:v>3</c:v>
                </c:pt>
                <c:pt idx="16">
                  <c:v>8</c:v>
                </c:pt>
                <c:pt idx="17">
                  <c:v>12</c:v>
                </c:pt>
                <c:pt idx="18">
                  <c:v>20</c:v>
                </c:pt>
                <c:pt idx="19">
                  <c:v>30</c:v>
                </c:pt>
                <c:pt idx="20">
                  <c:v>40</c:v>
                </c:pt>
                <c:pt idx="21">
                  <c:v>3</c:v>
                </c:pt>
                <c:pt idx="22">
                  <c:v>8</c:v>
                </c:pt>
                <c:pt idx="23">
                  <c:v>12</c:v>
                </c:pt>
                <c:pt idx="24">
                  <c:v>15</c:v>
                </c:pt>
                <c:pt idx="25">
                  <c:v>20</c:v>
                </c:pt>
                <c:pt idx="26">
                  <c:v>3</c:v>
                </c:pt>
                <c:pt idx="27">
                  <c:v>8</c:v>
                </c:pt>
                <c:pt idx="28">
                  <c:v>12</c:v>
                </c:pt>
                <c:pt idx="29">
                  <c:v>20</c:v>
                </c:pt>
                <c:pt idx="30">
                  <c:v>40</c:v>
                </c:pt>
                <c:pt idx="31">
                  <c:v>60</c:v>
                </c:pt>
                <c:pt idx="32">
                  <c:v>3</c:v>
                </c:pt>
                <c:pt idx="33">
                  <c:v>8</c:v>
                </c:pt>
                <c:pt idx="34">
                  <c:v>12</c:v>
                </c:pt>
                <c:pt idx="35">
                  <c:v>20</c:v>
                </c:pt>
                <c:pt idx="36">
                  <c:v>40</c:v>
                </c:pt>
                <c:pt idx="37">
                  <c:v>60</c:v>
                </c:pt>
                <c:pt idx="38">
                  <c:v>80</c:v>
                </c:pt>
                <c:pt idx="39">
                  <c:v>3</c:v>
                </c:pt>
                <c:pt idx="40">
                  <c:v>8</c:v>
                </c:pt>
                <c:pt idx="41">
                  <c:v>12</c:v>
                </c:pt>
                <c:pt idx="42">
                  <c:v>20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8</c:v>
                </c:pt>
                <c:pt idx="47">
                  <c:v>15</c:v>
                </c:pt>
                <c:pt idx="48">
                  <c:v>3</c:v>
                </c:pt>
                <c:pt idx="49">
                  <c:v>8</c:v>
                </c:pt>
                <c:pt idx="50">
                  <c:v>15</c:v>
                </c:pt>
                <c:pt idx="51">
                  <c:v>30</c:v>
                </c:pt>
                <c:pt idx="52">
                  <c:v>#N/A</c:v>
                </c:pt>
              </c:numCache>
            </c:numRef>
          </c:xVal>
          <c:yVal>
            <c:numRef>
              <c:f>Backtesting!$GK$49:$GK$101</c:f>
              <c:numCache>
                <c:formatCode>_-* #,##0.0_-;\-* #,##0.0_-;_-* "-"??_-;_-@_-</c:formatCode>
                <c:ptCount val="53"/>
                <c:pt idx="0">
                  <c:v>52.868604987932429</c:v>
                </c:pt>
                <c:pt idx="1">
                  <c:v>73.766786311034096</c:v>
                </c:pt>
                <c:pt idx="2">
                  <c:v>#N/A</c:v>
                </c:pt>
                <c:pt idx="3">
                  <c:v>14.254130329847143</c:v>
                </c:pt>
                <c:pt idx="4">
                  <c:v>17.621573612228481</c:v>
                </c:pt>
                <c:pt idx="5">
                  <c:v>22.977947397735008</c:v>
                </c:pt>
                <c:pt idx="6">
                  <c:v>29.967446995482394</c:v>
                </c:pt>
                <c:pt idx="7">
                  <c:v>39.864962683334355</c:v>
                </c:pt>
                <c:pt idx="8">
                  <c:v>55.027958165728073</c:v>
                </c:pt>
                <c:pt idx="9">
                  <c:v>82.565532768116853</c:v>
                </c:pt>
                <c:pt idx="10">
                  <c:v>#N/A</c:v>
                </c:pt>
                <c:pt idx="11">
                  <c:v>#N/A</c:v>
                </c:pt>
                <c:pt idx="12">
                  <c:v>15.306639767312332</c:v>
                </c:pt>
                <c:pt idx="13">
                  <c:v>18.203091032860947</c:v>
                </c:pt>
                <c:pt idx="14">
                  <c:v>21.62795791818801</c:v>
                </c:pt>
                <c:pt idx="15">
                  <c:v>14.675381397363697</c:v>
                </c:pt>
                <c:pt idx="16">
                  <c:v>19.900891144253976</c:v>
                </c:pt>
                <c:pt idx="17">
                  <c:v>22.777251067516556</c:v>
                </c:pt>
                <c:pt idx="18">
                  <c:v>30.483818305588219</c:v>
                </c:pt>
                <c:pt idx="19">
                  <c:v>40.529243888854509</c:v>
                </c:pt>
                <c:pt idx="20">
                  <c:v>48.609266415000924</c:v>
                </c:pt>
                <c:pt idx="21">
                  <c:v>15.126397920663408</c:v>
                </c:pt>
                <c:pt idx="22">
                  <c:v>20.501358252367101</c:v>
                </c:pt>
                <c:pt idx="23">
                  <c:v>25.306949439940592</c:v>
                </c:pt>
                <c:pt idx="24">
                  <c:v>25.742781855312831</c:v>
                </c:pt>
                <c:pt idx="25">
                  <c:v>25.073378303112815</c:v>
                </c:pt>
                <c:pt idx="26">
                  <c:v>14.302579986385295</c:v>
                </c:pt>
                <c:pt idx="27">
                  <c:v>20.379060090352123</c:v>
                </c:pt>
                <c:pt idx="28">
                  <c:v>25.817218392227243</c:v>
                </c:pt>
                <c:pt idx="29">
                  <c:v>34.282351135590076</c:v>
                </c:pt>
                <c:pt idx="30">
                  <c:v>45.674629370629361</c:v>
                </c:pt>
                <c:pt idx="31">
                  <c:v>67.313625100563158</c:v>
                </c:pt>
                <c:pt idx="32">
                  <c:v>14.466345689708522</c:v>
                </c:pt>
                <c:pt idx="33">
                  <c:v>21.31719914867741</c:v>
                </c:pt>
                <c:pt idx="34">
                  <c:v>28.132182912739434</c:v>
                </c:pt>
                <c:pt idx="35">
                  <c:v>36.338271571906361</c:v>
                </c:pt>
                <c:pt idx="36">
                  <c:v>47.382249437519008</c:v>
                </c:pt>
                <c:pt idx="37">
                  <c:v>63.68030355731225</c:v>
                </c:pt>
                <c:pt idx="38">
                  <c:v>82.611427667984188</c:v>
                </c:pt>
                <c:pt idx="39">
                  <c:v>15.454267436910914</c:v>
                </c:pt>
                <c:pt idx="40">
                  <c:v>21.964242505320762</c:v>
                </c:pt>
                <c:pt idx="41">
                  <c:v>28.686509212526602</c:v>
                </c:pt>
                <c:pt idx="42">
                  <c:v>40.886779446640311</c:v>
                </c:pt>
                <c:pt idx="43">
                  <c:v>17.546634478564911</c:v>
                </c:pt>
                <c:pt idx="44">
                  <c:v>22.952706354515055</c:v>
                </c:pt>
                <c:pt idx="45">
                  <c:v>17.170624749163878</c:v>
                </c:pt>
                <c:pt idx="46">
                  <c:v>24.236348555792038</c:v>
                </c:pt>
                <c:pt idx="47">
                  <c:v>37.016112131346915</c:v>
                </c:pt>
                <c:pt idx="48">
                  <c:v>18.06607941623594</c:v>
                </c:pt>
                <c:pt idx="49">
                  <c:v>24.991572879294623</c:v>
                </c:pt>
                <c:pt idx="50">
                  <c:v>31.885473031316504</c:v>
                </c:pt>
                <c:pt idx="51">
                  <c:v>48.173921070234115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C8-4E95-B830-189F7A946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Backtesting!$HW$49:$HW$101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3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3</c:v>
                </c:pt>
                <c:pt idx="18">
                  <c:v>8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22">
                  <c:v>80</c:v>
                </c:pt>
                <c:pt idx="23">
                  <c:v>3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60</c:v>
                </c:pt>
                <c:pt idx="28">
                  <c:v>3</c:v>
                </c:pt>
                <c:pt idx="29">
                  <c:v>8</c:v>
                </c:pt>
                <c:pt idx="30">
                  <c:v>20</c:v>
                </c:pt>
                <c:pt idx="31">
                  <c:v>40</c:v>
                </c:pt>
                <c:pt idx="32">
                  <c:v>60</c:v>
                </c:pt>
                <c:pt idx="33">
                  <c:v>80</c:v>
                </c:pt>
                <c:pt idx="34">
                  <c:v>#N/A</c:v>
                </c:pt>
                <c:pt idx="35">
                  <c:v>3</c:v>
                </c:pt>
                <c:pt idx="36">
                  <c:v>8</c:v>
                </c:pt>
                <c:pt idx="37">
                  <c:v>20</c:v>
                </c:pt>
                <c:pt idx="38">
                  <c:v>3</c:v>
                </c:pt>
                <c:pt idx="39">
                  <c:v>8</c:v>
                </c:pt>
                <c:pt idx="40">
                  <c:v>20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80</c:v>
                </c:pt>
                <c:pt idx="47">
                  <c:v>4</c:v>
                </c:pt>
                <c:pt idx="48">
                  <c:v>4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Backtesting!$HV$49:$HV$101</c:f>
              <c:numCache>
                <c:formatCode>_-* #,##0.0_-;\-* #,##0.0_-;_-* "-"??_-;_-@_-</c:formatCode>
                <c:ptCount val="53"/>
                <c:pt idx="0">
                  <c:v>77.623219458802055</c:v>
                </c:pt>
                <c:pt idx="1">
                  <c:v>18.162558102766802</c:v>
                </c:pt>
                <c:pt idx="2">
                  <c:v>25.998846336272418</c:v>
                </c:pt>
                <c:pt idx="3">
                  <c:v>41.039352751596226</c:v>
                </c:pt>
                <c:pt idx="4">
                  <c:v>57.263651200972937</c:v>
                </c:pt>
                <c:pt idx="5">
                  <c:v>80.09238577075098</c:v>
                </c:pt>
                <c:pt idx="6">
                  <c:v>125.40573986013986</c:v>
                </c:pt>
                <c:pt idx="7">
                  <c:v>20.220383581635755</c:v>
                </c:pt>
                <c:pt idx="8">
                  <c:v>29.212562359379749</c:v>
                </c:pt>
                <c:pt idx="9">
                  <c:v>43.186218060200659</c:v>
                </c:pt>
                <c:pt idx="10">
                  <c:v>19.506276923076921</c:v>
                </c:pt>
                <c:pt idx="11">
                  <c:v>25.355454910307085</c:v>
                </c:pt>
                <c:pt idx="12">
                  <c:v>19.222718151413801</c:v>
                </c:pt>
                <c:pt idx="13">
                  <c:v>26.314208574034662</c:v>
                </c:pt>
                <c:pt idx="14">
                  <c:v>42.338397567649736</c:v>
                </c:pt>
                <c:pt idx="15">
                  <c:v>59.016362663423536</c:v>
                </c:pt>
                <c:pt idx="16">
                  <c:v>83.423387290969913</c:v>
                </c:pt>
                <c:pt idx="17">
                  <c:v>18.862208574034657</c:v>
                </c:pt>
                <c:pt idx="18">
                  <c:v>25.128435147461236</c:v>
                </c:pt>
                <c:pt idx="19">
                  <c:v>41.533547217999399</c:v>
                </c:pt>
                <c:pt idx="20">
                  <c:v>57.357794101550631</c:v>
                </c:pt>
                <c:pt idx="21">
                  <c:v>81.402100334448164</c:v>
                </c:pt>
                <c:pt idx="22">
                  <c:v>109.81424530252357</c:v>
                </c:pt>
                <c:pt idx="23">
                  <c:v>18.912447065977499</c:v>
                </c:pt>
                <c:pt idx="24">
                  <c:v>26.709691456369718</c:v>
                </c:pt>
                <c:pt idx="25">
                  <c:v>40.654796959562177</c:v>
                </c:pt>
                <c:pt idx="26">
                  <c:v>45.526023472179993</c:v>
                </c:pt>
                <c:pt idx="27">
                  <c:v>76.041502462754636</c:v>
                </c:pt>
                <c:pt idx="28">
                  <c:v>18.115088355123142</c:v>
                </c:pt>
                <c:pt idx="29">
                  <c:v>23.312285071450287</c:v>
                </c:pt>
                <c:pt idx="30">
                  <c:v>34.469990878686531</c:v>
                </c:pt>
                <c:pt idx="31">
                  <c:v>56.254159197324419</c:v>
                </c:pt>
                <c:pt idx="32">
                  <c:v>79.133284037701429</c:v>
                </c:pt>
                <c:pt idx="33">
                  <c:v>115.9472403770143</c:v>
                </c:pt>
                <c:pt idx="34">
                  <c:v>#N/A</c:v>
                </c:pt>
                <c:pt idx="35">
                  <c:v>19.764375068409851</c:v>
                </c:pt>
                <c:pt idx="36">
                  <c:v>26.335124840377009</c:v>
                </c:pt>
                <c:pt idx="37">
                  <c:v>40.906184493767107</c:v>
                </c:pt>
                <c:pt idx="38">
                  <c:v>19.376209911827303</c:v>
                </c:pt>
                <c:pt idx="39">
                  <c:v>27.161959987838248</c:v>
                </c:pt>
                <c:pt idx="40">
                  <c:v>42.925571784736995</c:v>
                </c:pt>
                <c:pt idx="41">
                  <c:v>20.606947765278193</c:v>
                </c:pt>
                <c:pt idx="42">
                  <c:v>24.23271170568562</c:v>
                </c:pt>
                <c:pt idx="43">
                  <c:v>39.401901124961988</c:v>
                </c:pt>
                <c:pt idx="44">
                  <c:v>58.067244025539672</c:v>
                </c:pt>
                <c:pt idx="45">
                  <c:v>83.810205168744289</c:v>
                </c:pt>
                <c:pt idx="46">
                  <c:v>116.72520401337792</c:v>
                </c:pt>
                <c:pt idx="47">
                  <c:v>21.016983155974454</c:v>
                </c:pt>
                <c:pt idx="48">
                  <c:v>21.125759318941927</c:v>
                </c:pt>
                <c:pt idx="49">
                  <c:v>27.291882760717545</c:v>
                </c:pt>
                <c:pt idx="50">
                  <c:v>41.963661416844026</c:v>
                </c:pt>
                <c:pt idx="51">
                  <c:v>57.463937245363326</c:v>
                </c:pt>
                <c:pt idx="52">
                  <c:v>77.836461903314074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6B-4528-93CA-56A7AC5DE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Backtesting!$HW$49:$HW$101</c:f>
              <c:numCache>
                <c:formatCode>_-* #,##0.0_-;\-* #,##0.0_-;_-* "-"??_-;_-@_-</c:formatCode>
                <c:ptCount val="53"/>
                <c:pt idx="0">
                  <c:v>60</c:v>
                </c:pt>
                <c:pt idx="1">
                  <c:v>3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80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3</c:v>
                </c:pt>
                <c:pt idx="11">
                  <c:v>8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3</c:v>
                </c:pt>
                <c:pt idx="18">
                  <c:v>8</c:v>
                </c:pt>
                <c:pt idx="19">
                  <c:v>20</c:v>
                </c:pt>
                <c:pt idx="20">
                  <c:v>40</c:v>
                </c:pt>
                <c:pt idx="21">
                  <c:v>60</c:v>
                </c:pt>
                <c:pt idx="22">
                  <c:v>80</c:v>
                </c:pt>
                <c:pt idx="23">
                  <c:v>3</c:v>
                </c:pt>
                <c:pt idx="24">
                  <c:v>8</c:v>
                </c:pt>
                <c:pt idx="25">
                  <c:v>20</c:v>
                </c:pt>
                <c:pt idx="26">
                  <c:v>30</c:v>
                </c:pt>
                <c:pt idx="27">
                  <c:v>60</c:v>
                </c:pt>
                <c:pt idx="28">
                  <c:v>3</c:v>
                </c:pt>
                <c:pt idx="29">
                  <c:v>8</c:v>
                </c:pt>
                <c:pt idx="30">
                  <c:v>20</c:v>
                </c:pt>
                <c:pt idx="31">
                  <c:v>40</c:v>
                </c:pt>
                <c:pt idx="32">
                  <c:v>60</c:v>
                </c:pt>
                <c:pt idx="33">
                  <c:v>80</c:v>
                </c:pt>
                <c:pt idx="34">
                  <c:v>#N/A</c:v>
                </c:pt>
                <c:pt idx="35">
                  <c:v>3</c:v>
                </c:pt>
                <c:pt idx="36">
                  <c:v>8</c:v>
                </c:pt>
                <c:pt idx="37">
                  <c:v>20</c:v>
                </c:pt>
                <c:pt idx="38">
                  <c:v>3</c:v>
                </c:pt>
                <c:pt idx="39">
                  <c:v>8</c:v>
                </c:pt>
                <c:pt idx="40">
                  <c:v>20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40</c:v>
                </c:pt>
                <c:pt idx="45">
                  <c:v>60</c:v>
                </c:pt>
                <c:pt idx="46">
                  <c:v>80</c:v>
                </c:pt>
                <c:pt idx="47">
                  <c:v>4</c:v>
                </c:pt>
                <c:pt idx="48">
                  <c:v>4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Backtesting!$HV$49:$HV$101</c:f>
              <c:numCache>
                <c:formatCode>_-* #,##0.0_-;\-* #,##0.0_-;_-* "-"??_-;_-@_-</c:formatCode>
                <c:ptCount val="53"/>
                <c:pt idx="0">
                  <c:v>77.623219458802055</c:v>
                </c:pt>
                <c:pt idx="1">
                  <c:v>18.162558102766802</c:v>
                </c:pt>
                <c:pt idx="2">
                  <c:v>25.998846336272418</c:v>
                </c:pt>
                <c:pt idx="3">
                  <c:v>41.039352751596226</c:v>
                </c:pt>
                <c:pt idx="4">
                  <c:v>57.263651200972937</c:v>
                </c:pt>
                <c:pt idx="5">
                  <c:v>80.09238577075098</c:v>
                </c:pt>
                <c:pt idx="6">
                  <c:v>125.40573986013986</c:v>
                </c:pt>
                <c:pt idx="7">
                  <c:v>20.220383581635755</c:v>
                </c:pt>
                <c:pt idx="8">
                  <c:v>29.212562359379749</c:v>
                </c:pt>
                <c:pt idx="9">
                  <c:v>43.186218060200659</c:v>
                </c:pt>
                <c:pt idx="10">
                  <c:v>19.506276923076921</c:v>
                </c:pt>
                <c:pt idx="11">
                  <c:v>25.355454910307085</c:v>
                </c:pt>
                <c:pt idx="12">
                  <c:v>19.222718151413801</c:v>
                </c:pt>
                <c:pt idx="13">
                  <c:v>26.314208574034662</c:v>
                </c:pt>
                <c:pt idx="14">
                  <c:v>42.338397567649736</c:v>
                </c:pt>
                <c:pt idx="15">
                  <c:v>59.016362663423536</c:v>
                </c:pt>
                <c:pt idx="16">
                  <c:v>83.423387290969913</c:v>
                </c:pt>
                <c:pt idx="17">
                  <c:v>18.862208574034657</c:v>
                </c:pt>
                <c:pt idx="18">
                  <c:v>25.128435147461236</c:v>
                </c:pt>
                <c:pt idx="19">
                  <c:v>41.533547217999399</c:v>
                </c:pt>
                <c:pt idx="20">
                  <c:v>57.357794101550631</c:v>
                </c:pt>
                <c:pt idx="21">
                  <c:v>81.402100334448164</c:v>
                </c:pt>
                <c:pt idx="22">
                  <c:v>109.81424530252357</c:v>
                </c:pt>
                <c:pt idx="23">
                  <c:v>18.912447065977499</c:v>
                </c:pt>
                <c:pt idx="24">
                  <c:v>26.709691456369718</c:v>
                </c:pt>
                <c:pt idx="25">
                  <c:v>40.654796959562177</c:v>
                </c:pt>
                <c:pt idx="26">
                  <c:v>45.526023472179993</c:v>
                </c:pt>
                <c:pt idx="27">
                  <c:v>76.041502462754636</c:v>
                </c:pt>
                <c:pt idx="28">
                  <c:v>18.115088355123142</c:v>
                </c:pt>
                <c:pt idx="29">
                  <c:v>23.312285071450287</c:v>
                </c:pt>
                <c:pt idx="30">
                  <c:v>34.469990878686531</c:v>
                </c:pt>
                <c:pt idx="31">
                  <c:v>56.254159197324419</c:v>
                </c:pt>
                <c:pt idx="32">
                  <c:v>79.133284037701429</c:v>
                </c:pt>
                <c:pt idx="33">
                  <c:v>115.9472403770143</c:v>
                </c:pt>
                <c:pt idx="34">
                  <c:v>#N/A</c:v>
                </c:pt>
                <c:pt idx="35">
                  <c:v>19.764375068409851</c:v>
                </c:pt>
                <c:pt idx="36">
                  <c:v>26.335124840377009</c:v>
                </c:pt>
                <c:pt idx="37">
                  <c:v>40.906184493767107</c:v>
                </c:pt>
                <c:pt idx="38">
                  <c:v>19.376209911827303</c:v>
                </c:pt>
                <c:pt idx="39">
                  <c:v>27.161959987838248</c:v>
                </c:pt>
                <c:pt idx="40">
                  <c:v>42.925571784736995</c:v>
                </c:pt>
                <c:pt idx="41">
                  <c:v>20.606947765278193</c:v>
                </c:pt>
                <c:pt idx="42">
                  <c:v>24.23271170568562</c:v>
                </c:pt>
                <c:pt idx="43">
                  <c:v>39.401901124961988</c:v>
                </c:pt>
                <c:pt idx="44">
                  <c:v>58.067244025539672</c:v>
                </c:pt>
                <c:pt idx="45">
                  <c:v>83.810205168744289</c:v>
                </c:pt>
                <c:pt idx="46">
                  <c:v>116.72520401337792</c:v>
                </c:pt>
                <c:pt idx="47">
                  <c:v>21.016983155974454</c:v>
                </c:pt>
                <c:pt idx="48">
                  <c:v>21.125759318941927</c:v>
                </c:pt>
                <c:pt idx="49">
                  <c:v>27.291882760717545</c:v>
                </c:pt>
                <c:pt idx="50">
                  <c:v>41.963661416844026</c:v>
                </c:pt>
                <c:pt idx="51">
                  <c:v>57.463937245363326</c:v>
                </c:pt>
                <c:pt idx="52">
                  <c:v>77.836461903314074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E5-4EB5-9136-2AD571721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Backtesting!$AL$47:$AL$98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30</c:v>
                </c:pt>
                <c:pt idx="2">
                  <c:v>4</c:v>
                </c:pt>
                <c:pt idx="3">
                  <c:v>8</c:v>
                </c:pt>
                <c:pt idx="4">
                  <c:v>20</c:v>
                </c:pt>
                <c:pt idx="5">
                  <c:v>4</c:v>
                </c:pt>
                <c:pt idx="6">
                  <c:v>4</c:v>
                </c:pt>
                <c:pt idx="7">
                  <c:v>12</c:v>
                </c:pt>
                <c:pt idx="8">
                  <c:v>20</c:v>
                </c:pt>
                <c:pt idx="9">
                  <c:v>40</c:v>
                </c:pt>
                <c:pt idx="10">
                  <c:v>60</c:v>
                </c:pt>
                <c:pt idx="11">
                  <c:v>100</c:v>
                </c:pt>
                <c:pt idx="12">
                  <c:v>4</c:v>
                </c:pt>
                <c:pt idx="13">
                  <c:v>12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100</c:v>
                </c:pt>
                <c:pt idx="18">
                  <c:v>4</c:v>
                </c:pt>
                <c:pt idx="19">
                  <c:v>12</c:v>
                </c:pt>
                <c:pt idx="20">
                  <c:v>20</c:v>
                </c:pt>
                <c:pt idx="21">
                  <c:v>40</c:v>
                </c:pt>
                <c:pt idx="22">
                  <c:v>4</c:v>
                </c:pt>
                <c:pt idx="23">
                  <c:v>12</c:v>
                </c:pt>
                <c:pt idx="24">
                  <c:v>20</c:v>
                </c:pt>
                <c:pt idx="25">
                  <c:v>40</c:v>
                </c:pt>
                <c:pt idx="26">
                  <c:v>60</c:v>
                </c:pt>
              </c:numCache>
            </c:numRef>
          </c:xVal>
          <c:yVal>
            <c:numRef>
              <c:f>Backtesting!$AK$47:$AK$98</c:f>
              <c:numCache>
                <c:formatCode>_-* #,##0.0_-;\-* #,##0.0_-;_-* "-"??_-;_-@_-</c:formatCode>
                <c:ptCount val="52"/>
                <c:pt idx="0">
                  <c:v>41.047026208574025</c:v>
                </c:pt>
                <c:pt idx="1">
                  <c:v>49.471698145332923</c:v>
                </c:pt>
                <c:pt idx="2">
                  <c:v>21.741040681058067</c:v>
                </c:pt>
                <c:pt idx="3">
                  <c:v>27.045895287321372</c:v>
                </c:pt>
                <c:pt idx="4">
                  <c:v>41.813564487686222</c:v>
                </c:pt>
                <c:pt idx="5">
                  <c:v>19.348700760109455</c:v>
                </c:pt>
                <c:pt idx="6">
                  <c:v>19.409982487078139</c:v>
                </c:pt>
                <c:pt idx="7">
                  <c:v>30.887849079219787</c:v>
                </c:pt>
                <c:pt idx="8">
                  <c:v>40.719506810504527</c:v>
                </c:pt>
                <c:pt idx="9">
                  <c:v>56.400732701318518</c:v>
                </c:pt>
                <c:pt idx="10">
                  <c:v>87.731429334205075</c:v>
                </c:pt>
                <c:pt idx="11">
                  <c:v>169.14758330609132</c:v>
                </c:pt>
                <c:pt idx="12">
                  <c:v>19.52442312302496</c:v>
                </c:pt>
                <c:pt idx="13">
                  <c:v>31.154789255748071</c:v>
                </c:pt>
                <c:pt idx="14">
                  <c:v>40.570238531110391</c:v>
                </c:pt>
                <c:pt idx="15">
                  <c:v>60.8369621880789</c:v>
                </c:pt>
                <c:pt idx="16">
                  <c:v>84.639629072681714</c:v>
                </c:pt>
                <c:pt idx="17">
                  <c:v>156.82348817696416</c:v>
                </c:pt>
                <c:pt idx="18">
                  <c:v>20.677774436090228</c:v>
                </c:pt>
                <c:pt idx="19">
                  <c:v>30.840203334423013</c:v>
                </c:pt>
                <c:pt idx="20">
                  <c:v>42.995307072027899</c:v>
                </c:pt>
                <c:pt idx="21">
                  <c:v>59.703342595619482</c:v>
                </c:pt>
                <c:pt idx="22">
                  <c:v>20.222166067342272</c:v>
                </c:pt>
                <c:pt idx="23">
                  <c:v>32.237415277323748</c:v>
                </c:pt>
                <c:pt idx="24">
                  <c:v>41.746812901819773</c:v>
                </c:pt>
                <c:pt idx="25">
                  <c:v>56.641298899422473</c:v>
                </c:pt>
                <c:pt idx="26">
                  <c:v>85.3851064618067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D0-48EB-9F33-FFB1CB33B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Backtesting!$AL$47:$AL$98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30</c:v>
                </c:pt>
                <c:pt idx="2">
                  <c:v>4</c:v>
                </c:pt>
                <c:pt idx="3">
                  <c:v>8</c:v>
                </c:pt>
                <c:pt idx="4">
                  <c:v>20</c:v>
                </c:pt>
                <c:pt idx="5">
                  <c:v>4</c:v>
                </c:pt>
                <c:pt idx="6">
                  <c:v>4</c:v>
                </c:pt>
                <c:pt idx="7">
                  <c:v>12</c:v>
                </c:pt>
                <c:pt idx="8">
                  <c:v>20</c:v>
                </c:pt>
                <c:pt idx="9">
                  <c:v>40</c:v>
                </c:pt>
                <c:pt idx="10">
                  <c:v>60</c:v>
                </c:pt>
                <c:pt idx="11">
                  <c:v>100</c:v>
                </c:pt>
                <c:pt idx="12">
                  <c:v>4</c:v>
                </c:pt>
                <c:pt idx="13">
                  <c:v>12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100</c:v>
                </c:pt>
                <c:pt idx="18">
                  <c:v>4</c:v>
                </c:pt>
                <c:pt idx="19">
                  <c:v>12</c:v>
                </c:pt>
                <c:pt idx="20">
                  <c:v>20</c:v>
                </c:pt>
                <c:pt idx="21">
                  <c:v>40</c:v>
                </c:pt>
                <c:pt idx="22">
                  <c:v>4</c:v>
                </c:pt>
                <c:pt idx="23">
                  <c:v>12</c:v>
                </c:pt>
                <c:pt idx="24">
                  <c:v>20</c:v>
                </c:pt>
                <c:pt idx="25">
                  <c:v>40</c:v>
                </c:pt>
                <c:pt idx="26">
                  <c:v>60</c:v>
                </c:pt>
              </c:numCache>
            </c:numRef>
          </c:xVal>
          <c:yVal>
            <c:numRef>
              <c:f>Backtesting!$AK$47:$AK$98</c:f>
              <c:numCache>
                <c:formatCode>_-* #,##0.0_-;\-* #,##0.0_-;_-* "-"??_-;_-@_-</c:formatCode>
                <c:ptCount val="52"/>
                <c:pt idx="0">
                  <c:v>41.047026208574025</c:v>
                </c:pt>
                <c:pt idx="1">
                  <c:v>49.471698145332923</c:v>
                </c:pt>
                <c:pt idx="2">
                  <c:v>21.741040681058067</c:v>
                </c:pt>
                <c:pt idx="3">
                  <c:v>27.045895287321372</c:v>
                </c:pt>
                <c:pt idx="4">
                  <c:v>41.813564487686222</c:v>
                </c:pt>
                <c:pt idx="5">
                  <c:v>19.348700760109455</c:v>
                </c:pt>
                <c:pt idx="6">
                  <c:v>19.409982487078139</c:v>
                </c:pt>
                <c:pt idx="7">
                  <c:v>30.887849079219787</c:v>
                </c:pt>
                <c:pt idx="8">
                  <c:v>40.719506810504527</c:v>
                </c:pt>
                <c:pt idx="9">
                  <c:v>56.400732701318518</c:v>
                </c:pt>
                <c:pt idx="10">
                  <c:v>87.731429334205075</c:v>
                </c:pt>
                <c:pt idx="11">
                  <c:v>169.14758330609132</c:v>
                </c:pt>
                <c:pt idx="12">
                  <c:v>19.52442312302496</c:v>
                </c:pt>
                <c:pt idx="13">
                  <c:v>31.154789255748071</c:v>
                </c:pt>
                <c:pt idx="14">
                  <c:v>40.570238531110391</c:v>
                </c:pt>
                <c:pt idx="15">
                  <c:v>60.8369621880789</c:v>
                </c:pt>
                <c:pt idx="16">
                  <c:v>84.639629072681714</c:v>
                </c:pt>
                <c:pt idx="17">
                  <c:v>156.82348817696416</c:v>
                </c:pt>
                <c:pt idx="18">
                  <c:v>20.677774436090228</c:v>
                </c:pt>
                <c:pt idx="19">
                  <c:v>30.840203334423013</c:v>
                </c:pt>
                <c:pt idx="20">
                  <c:v>42.995307072027899</c:v>
                </c:pt>
                <c:pt idx="21">
                  <c:v>59.703342595619482</c:v>
                </c:pt>
                <c:pt idx="22">
                  <c:v>20.222166067342272</c:v>
                </c:pt>
                <c:pt idx="23">
                  <c:v>32.237415277323748</c:v>
                </c:pt>
                <c:pt idx="24">
                  <c:v>41.746812901819773</c:v>
                </c:pt>
                <c:pt idx="25">
                  <c:v>56.641298899422473</c:v>
                </c:pt>
                <c:pt idx="26">
                  <c:v>85.3851064618067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5C-4A64-9883-CF5F54577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Backtesting!$AS$49:$AS$100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30</c:v>
                </c:pt>
                <c:pt idx="2">
                  <c:v>4</c:v>
                </c:pt>
                <c:pt idx="3">
                  <c:v>8</c:v>
                </c:pt>
                <c:pt idx="4">
                  <c:v>20</c:v>
                </c:pt>
                <c:pt idx="5">
                  <c:v>4</c:v>
                </c:pt>
                <c:pt idx="6">
                  <c:v>4</c:v>
                </c:pt>
                <c:pt idx="7">
                  <c:v>12</c:v>
                </c:pt>
                <c:pt idx="8">
                  <c:v>20</c:v>
                </c:pt>
                <c:pt idx="9">
                  <c:v>40</c:v>
                </c:pt>
                <c:pt idx="10">
                  <c:v>60</c:v>
                </c:pt>
                <c:pt idx="11">
                  <c:v>#N/A</c:v>
                </c:pt>
                <c:pt idx="12">
                  <c:v>4</c:v>
                </c:pt>
                <c:pt idx="13">
                  <c:v>12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#N/A</c:v>
                </c:pt>
                <c:pt idx="18">
                  <c:v>4</c:v>
                </c:pt>
                <c:pt idx="19">
                  <c:v>12</c:v>
                </c:pt>
                <c:pt idx="20">
                  <c:v>20</c:v>
                </c:pt>
                <c:pt idx="21">
                  <c:v>40</c:v>
                </c:pt>
                <c:pt idx="22">
                  <c:v>4</c:v>
                </c:pt>
                <c:pt idx="23">
                  <c:v>12</c:v>
                </c:pt>
                <c:pt idx="24">
                  <c:v>20</c:v>
                </c:pt>
                <c:pt idx="25">
                  <c:v>40</c:v>
                </c:pt>
                <c:pt idx="26">
                  <c:v>60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Backtesting!$AR$49:$AR$100</c:f>
              <c:numCache>
                <c:formatCode>_-* #,##0.0_-;\-* #,##0.0_-;_-* "-"??_-;_-@_-</c:formatCode>
                <c:ptCount val="52"/>
                <c:pt idx="0">
                  <c:v>41.047026208574025</c:v>
                </c:pt>
                <c:pt idx="1">
                  <c:v>49.471698145332923</c:v>
                </c:pt>
                <c:pt idx="2">
                  <c:v>21.741040681058067</c:v>
                </c:pt>
                <c:pt idx="3">
                  <c:v>27.045895287321372</c:v>
                </c:pt>
                <c:pt idx="4">
                  <c:v>41.813564487686222</c:v>
                </c:pt>
                <c:pt idx="5">
                  <c:v>19.348700760109455</c:v>
                </c:pt>
                <c:pt idx="6">
                  <c:v>19.409982487078139</c:v>
                </c:pt>
                <c:pt idx="7">
                  <c:v>30.887849079219787</c:v>
                </c:pt>
                <c:pt idx="8">
                  <c:v>40.719506810504527</c:v>
                </c:pt>
                <c:pt idx="9">
                  <c:v>56.400732701318518</c:v>
                </c:pt>
                <c:pt idx="10">
                  <c:v>87.731429334205075</c:v>
                </c:pt>
                <c:pt idx="11">
                  <c:v>#N/A</c:v>
                </c:pt>
                <c:pt idx="12">
                  <c:v>19.52442312302496</c:v>
                </c:pt>
                <c:pt idx="13">
                  <c:v>31.154789255748071</c:v>
                </c:pt>
                <c:pt idx="14">
                  <c:v>40.570238531110391</c:v>
                </c:pt>
                <c:pt idx="15">
                  <c:v>60.8369621880789</c:v>
                </c:pt>
                <c:pt idx="16">
                  <c:v>84.639629072681714</c:v>
                </c:pt>
                <c:pt idx="17">
                  <c:v>#N/A</c:v>
                </c:pt>
                <c:pt idx="18">
                  <c:v>20.677774436090228</c:v>
                </c:pt>
                <c:pt idx="19">
                  <c:v>30.840203334423013</c:v>
                </c:pt>
                <c:pt idx="20">
                  <c:v>42.995307072027899</c:v>
                </c:pt>
                <c:pt idx="21">
                  <c:v>59.703342595619482</c:v>
                </c:pt>
                <c:pt idx="22">
                  <c:v>20.222166067342272</c:v>
                </c:pt>
                <c:pt idx="23">
                  <c:v>32.237415277323748</c:v>
                </c:pt>
                <c:pt idx="24">
                  <c:v>41.746812901819773</c:v>
                </c:pt>
                <c:pt idx="25">
                  <c:v>56.641298899422473</c:v>
                </c:pt>
                <c:pt idx="26">
                  <c:v>85.3851064618067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17-40BE-B0C2-A583B49FB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Backtesting!$AS$49:$AS$100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30</c:v>
                </c:pt>
                <c:pt idx="2">
                  <c:v>4</c:v>
                </c:pt>
                <c:pt idx="3">
                  <c:v>8</c:v>
                </c:pt>
                <c:pt idx="4">
                  <c:v>20</c:v>
                </c:pt>
                <c:pt idx="5">
                  <c:v>4</c:v>
                </c:pt>
                <c:pt idx="6">
                  <c:v>4</c:v>
                </c:pt>
                <c:pt idx="7">
                  <c:v>12</c:v>
                </c:pt>
                <c:pt idx="8">
                  <c:v>20</c:v>
                </c:pt>
                <c:pt idx="9">
                  <c:v>40</c:v>
                </c:pt>
                <c:pt idx="10">
                  <c:v>60</c:v>
                </c:pt>
                <c:pt idx="11">
                  <c:v>#N/A</c:v>
                </c:pt>
                <c:pt idx="12">
                  <c:v>4</c:v>
                </c:pt>
                <c:pt idx="13">
                  <c:v>12</c:v>
                </c:pt>
                <c:pt idx="14">
                  <c:v>20</c:v>
                </c:pt>
                <c:pt idx="15">
                  <c:v>40</c:v>
                </c:pt>
                <c:pt idx="16">
                  <c:v>60</c:v>
                </c:pt>
                <c:pt idx="17">
                  <c:v>#N/A</c:v>
                </c:pt>
                <c:pt idx="18">
                  <c:v>4</c:v>
                </c:pt>
                <c:pt idx="19">
                  <c:v>12</c:v>
                </c:pt>
                <c:pt idx="20">
                  <c:v>20</c:v>
                </c:pt>
                <c:pt idx="21">
                  <c:v>40</c:v>
                </c:pt>
                <c:pt idx="22">
                  <c:v>4</c:v>
                </c:pt>
                <c:pt idx="23">
                  <c:v>12</c:v>
                </c:pt>
                <c:pt idx="24">
                  <c:v>20</c:v>
                </c:pt>
                <c:pt idx="25">
                  <c:v>40</c:v>
                </c:pt>
                <c:pt idx="26">
                  <c:v>60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Backtesting!$AR$49:$AR$100</c:f>
              <c:numCache>
                <c:formatCode>_-* #,##0.0_-;\-* #,##0.0_-;_-* "-"??_-;_-@_-</c:formatCode>
                <c:ptCount val="52"/>
                <c:pt idx="0">
                  <c:v>41.047026208574025</c:v>
                </c:pt>
                <c:pt idx="1">
                  <c:v>49.471698145332923</c:v>
                </c:pt>
                <c:pt idx="2">
                  <c:v>21.741040681058067</c:v>
                </c:pt>
                <c:pt idx="3">
                  <c:v>27.045895287321372</c:v>
                </c:pt>
                <c:pt idx="4">
                  <c:v>41.813564487686222</c:v>
                </c:pt>
                <c:pt idx="5">
                  <c:v>19.348700760109455</c:v>
                </c:pt>
                <c:pt idx="6">
                  <c:v>19.409982487078139</c:v>
                </c:pt>
                <c:pt idx="7">
                  <c:v>30.887849079219787</c:v>
                </c:pt>
                <c:pt idx="8">
                  <c:v>40.719506810504527</c:v>
                </c:pt>
                <c:pt idx="9">
                  <c:v>56.400732701318518</c:v>
                </c:pt>
                <c:pt idx="10">
                  <c:v>87.731429334205075</c:v>
                </c:pt>
                <c:pt idx="11">
                  <c:v>#N/A</c:v>
                </c:pt>
                <c:pt idx="12">
                  <c:v>19.52442312302496</c:v>
                </c:pt>
                <c:pt idx="13">
                  <c:v>31.154789255748071</c:v>
                </c:pt>
                <c:pt idx="14">
                  <c:v>40.570238531110391</c:v>
                </c:pt>
                <c:pt idx="15">
                  <c:v>60.8369621880789</c:v>
                </c:pt>
                <c:pt idx="16">
                  <c:v>84.639629072681714</c:v>
                </c:pt>
                <c:pt idx="17">
                  <c:v>#N/A</c:v>
                </c:pt>
                <c:pt idx="18">
                  <c:v>20.677774436090228</c:v>
                </c:pt>
                <c:pt idx="19">
                  <c:v>30.840203334423013</c:v>
                </c:pt>
                <c:pt idx="20">
                  <c:v>42.995307072027899</c:v>
                </c:pt>
                <c:pt idx="21">
                  <c:v>59.703342595619482</c:v>
                </c:pt>
                <c:pt idx="22">
                  <c:v>20.222166067342272</c:v>
                </c:pt>
                <c:pt idx="23">
                  <c:v>32.237415277323748</c:v>
                </c:pt>
                <c:pt idx="24">
                  <c:v>41.746812901819773</c:v>
                </c:pt>
                <c:pt idx="25">
                  <c:v>56.641298899422473</c:v>
                </c:pt>
                <c:pt idx="26">
                  <c:v>85.3851064618067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3-44AD-BA3F-A314B97E6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Backtesting!$BI$47:$BI$98</c:f>
              <c:numCache>
                <c:formatCode>_-* #,##0.0_-;\-* #,##0.0_-;_-* "-"??_-;_-@_-</c:formatCode>
                <c:ptCount val="52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  <c:pt idx="3">
                  <c:v>160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100</c:v>
                </c:pt>
                <c:pt idx="13">
                  <c:v>4</c:v>
                </c:pt>
                <c:pt idx="14">
                  <c:v>4</c:v>
                </c:pt>
                <c:pt idx="15">
                  <c:v>8</c:v>
                </c:pt>
                <c:pt idx="16">
                  <c:v>20</c:v>
                </c:pt>
                <c:pt idx="17">
                  <c:v>40</c:v>
                </c:pt>
                <c:pt idx="18">
                  <c:v>4</c:v>
                </c:pt>
                <c:pt idx="19">
                  <c:v>8</c:v>
                </c:pt>
                <c:pt idx="20">
                  <c:v>20</c:v>
                </c:pt>
                <c:pt idx="21">
                  <c:v>40</c:v>
                </c:pt>
                <c:pt idx="22">
                  <c:v>4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20</c:v>
                </c:pt>
                <c:pt idx="27">
                  <c:v>30</c:v>
                </c:pt>
                <c:pt idx="28">
                  <c:v>4</c:v>
                </c:pt>
                <c:pt idx="29">
                  <c:v>8</c:v>
                </c:pt>
                <c:pt idx="30">
                  <c:v>20</c:v>
                </c:pt>
                <c:pt idx="31">
                  <c:v>4</c:v>
                </c:pt>
                <c:pt idx="32">
                  <c:v>4</c:v>
                </c:pt>
                <c:pt idx="33">
                  <c:v>12</c:v>
                </c:pt>
                <c:pt idx="34">
                  <c:v>20</c:v>
                </c:pt>
                <c:pt idx="35">
                  <c:v>40</c:v>
                </c:pt>
                <c:pt idx="36">
                  <c:v>60</c:v>
                </c:pt>
                <c:pt idx="37">
                  <c:v>100</c:v>
                </c:pt>
                <c:pt idx="38">
                  <c:v>4</c:v>
                </c:pt>
                <c:pt idx="39">
                  <c:v>12</c:v>
                </c:pt>
                <c:pt idx="40">
                  <c:v>20</c:v>
                </c:pt>
                <c:pt idx="41">
                  <c:v>40</c:v>
                </c:pt>
                <c:pt idx="42">
                  <c:v>60</c:v>
                </c:pt>
                <c:pt idx="43">
                  <c:v>100</c:v>
                </c:pt>
                <c:pt idx="44">
                  <c:v>4</c:v>
                </c:pt>
                <c:pt idx="45">
                  <c:v>12</c:v>
                </c:pt>
                <c:pt idx="46">
                  <c:v>20</c:v>
                </c:pt>
                <c:pt idx="47">
                  <c:v>40</c:v>
                </c:pt>
                <c:pt idx="48">
                  <c:v>4</c:v>
                </c:pt>
                <c:pt idx="49">
                  <c:v>12</c:v>
                </c:pt>
                <c:pt idx="50">
                  <c:v>20</c:v>
                </c:pt>
                <c:pt idx="51">
                  <c:v>40</c:v>
                </c:pt>
              </c:numCache>
            </c:numRef>
          </c:xVal>
          <c:yVal>
            <c:numRef>
              <c:f>Backtesting!$BH$47:$BH$98</c:f>
              <c:numCache>
                <c:formatCode>_-* #,##0.0_-;\-* #,##0.0_-;_-* "-"??_-;_-@_-</c:formatCode>
                <c:ptCount val="52"/>
                <c:pt idx="0">
                  <c:v>47.423181270903001</c:v>
                </c:pt>
                <c:pt idx="1">
                  <c:v>77.692655761629666</c:v>
                </c:pt>
                <c:pt idx="2">
                  <c:v>183.08447309212528</c:v>
                </c:pt>
                <c:pt idx="3">
                  <c:v>284.83741380358765</c:v>
                </c:pt>
                <c:pt idx="4">
                  <c:v>27.003392885375497</c:v>
                </c:pt>
                <c:pt idx="5">
                  <c:v>44.321005290361803</c:v>
                </c:pt>
                <c:pt idx="6">
                  <c:v>51.026175372453629</c:v>
                </c:pt>
                <c:pt idx="7">
                  <c:v>71.266594101550623</c:v>
                </c:pt>
                <c:pt idx="8">
                  <c:v>25.213057950744904</c:v>
                </c:pt>
                <c:pt idx="9">
                  <c:v>38.341626147765275</c:v>
                </c:pt>
                <c:pt idx="10">
                  <c:v>50.094358163575549</c:v>
                </c:pt>
                <c:pt idx="11">
                  <c:v>75.733957798723026</c:v>
                </c:pt>
                <c:pt idx="12">
                  <c:v>137.55484439039225</c:v>
                </c:pt>
                <c:pt idx="13">
                  <c:v>20.659761872909698</c:v>
                </c:pt>
                <c:pt idx="14">
                  <c:v>22.177022316813623</c:v>
                </c:pt>
                <c:pt idx="15">
                  <c:v>28.696273517786555</c:v>
                </c:pt>
                <c:pt idx="16">
                  <c:v>41.97672252964427</c:v>
                </c:pt>
                <c:pt idx="17">
                  <c:v>59.808873700212828</c:v>
                </c:pt>
                <c:pt idx="18">
                  <c:v>20.069480449984798</c:v>
                </c:pt>
                <c:pt idx="19">
                  <c:v>27.295176771055036</c:v>
                </c:pt>
                <c:pt idx="20">
                  <c:v>43.788940346609913</c:v>
                </c:pt>
                <c:pt idx="21">
                  <c:v>60.656023107327449</c:v>
                </c:pt>
                <c:pt idx="22">
                  <c:v>20.922155062328976</c:v>
                </c:pt>
                <c:pt idx="23">
                  <c:v>22.050697598054121</c:v>
                </c:pt>
                <c:pt idx="24">
                  <c:v>25.902576588628762</c:v>
                </c:pt>
                <c:pt idx="25">
                  <c:v>25.590152994831257</c:v>
                </c:pt>
                <c:pt idx="26">
                  <c:v>41.047026208574025</c:v>
                </c:pt>
                <c:pt idx="27">
                  <c:v>49.471698145332923</c:v>
                </c:pt>
                <c:pt idx="28">
                  <c:v>21.741040681058067</c:v>
                </c:pt>
                <c:pt idx="29">
                  <c:v>27.045895287321372</c:v>
                </c:pt>
                <c:pt idx="30">
                  <c:v>41.813564487686222</c:v>
                </c:pt>
                <c:pt idx="31">
                  <c:v>19.348700760109455</c:v>
                </c:pt>
                <c:pt idx="32">
                  <c:v>19.409982487078139</c:v>
                </c:pt>
                <c:pt idx="33">
                  <c:v>30.887849079219787</c:v>
                </c:pt>
                <c:pt idx="34">
                  <c:v>40.719506810504527</c:v>
                </c:pt>
                <c:pt idx="35">
                  <c:v>56.400732701318518</c:v>
                </c:pt>
                <c:pt idx="36">
                  <c:v>87.731429334205075</c:v>
                </c:pt>
                <c:pt idx="37">
                  <c:v>169.14758330609132</c:v>
                </c:pt>
                <c:pt idx="38">
                  <c:v>19.52442312302496</c:v>
                </c:pt>
                <c:pt idx="39">
                  <c:v>31.154789255748071</c:v>
                </c:pt>
                <c:pt idx="40">
                  <c:v>40.570238531110391</c:v>
                </c:pt>
                <c:pt idx="41">
                  <c:v>60.8369621880789</c:v>
                </c:pt>
                <c:pt idx="42">
                  <c:v>84.639629072681714</c:v>
                </c:pt>
                <c:pt idx="43">
                  <c:v>156.82348817696416</c:v>
                </c:pt>
                <c:pt idx="44">
                  <c:v>20.677774436090228</c:v>
                </c:pt>
                <c:pt idx="45">
                  <c:v>30.840203334423013</c:v>
                </c:pt>
                <c:pt idx="46">
                  <c:v>42.995307072027899</c:v>
                </c:pt>
                <c:pt idx="47">
                  <c:v>59.703342595619482</c:v>
                </c:pt>
                <c:pt idx="48">
                  <c:v>20.222166067342272</c:v>
                </c:pt>
                <c:pt idx="49">
                  <c:v>32.237415277323748</c:v>
                </c:pt>
                <c:pt idx="50">
                  <c:v>41.746812901819773</c:v>
                </c:pt>
                <c:pt idx="51">
                  <c:v>56.641298899422473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EB-4D74-8B81-201CE30A8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Backtesting!$BI$47:$BI$98</c:f>
              <c:numCache>
                <c:formatCode>_-* #,##0.0_-;\-* #,##0.0_-;_-* "-"??_-;_-@_-</c:formatCode>
                <c:ptCount val="52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  <c:pt idx="3">
                  <c:v>160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100</c:v>
                </c:pt>
                <c:pt idx="13">
                  <c:v>4</c:v>
                </c:pt>
                <c:pt idx="14">
                  <c:v>4</c:v>
                </c:pt>
                <c:pt idx="15">
                  <c:v>8</c:v>
                </c:pt>
                <c:pt idx="16">
                  <c:v>20</c:v>
                </c:pt>
                <c:pt idx="17">
                  <c:v>40</c:v>
                </c:pt>
                <c:pt idx="18">
                  <c:v>4</c:v>
                </c:pt>
                <c:pt idx="19">
                  <c:v>8</c:v>
                </c:pt>
                <c:pt idx="20">
                  <c:v>20</c:v>
                </c:pt>
                <c:pt idx="21">
                  <c:v>40</c:v>
                </c:pt>
                <c:pt idx="22">
                  <c:v>4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20</c:v>
                </c:pt>
                <c:pt idx="27">
                  <c:v>30</c:v>
                </c:pt>
                <c:pt idx="28">
                  <c:v>4</c:v>
                </c:pt>
                <c:pt idx="29">
                  <c:v>8</c:v>
                </c:pt>
                <c:pt idx="30">
                  <c:v>20</c:v>
                </c:pt>
                <c:pt idx="31">
                  <c:v>4</c:v>
                </c:pt>
                <c:pt idx="32">
                  <c:v>4</c:v>
                </c:pt>
                <c:pt idx="33">
                  <c:v>12</c:v>
                </c:pt>
                <c:pt idx="34">
                  <c:v>20</c:v>
                </c:pt>
                <c:pt idx="35">
                  <c:v>40</c:v>
                </c:pt>
                <c:pt idx="36">
                  <c:v>60</c:v>
                </c:pt>
                <c:pt idx="37">
                  <c:v>100</c:v>
                </c:pt>
                <c:pt idx="38">
                  <c:v>4</c:v>
                </c:pt>
                <c:pt idx="39">
                  <c:v>12</c:v>
                </c:pt>
                <c:pt idx="40">
                  <c:v>20</c:v>
                </c:pt>
                <c:pt idx="41">
                  <c:v>40</c:v>
                </c:pt>
                <c:pt idx="42">
                  <c:v>60</c:v>
                </c:pt>
                <c:pt idx="43">
                  <c:v>100</c:v>
                </c:pt>
                <c:pt idx="44">
                  <c:v>4</c:v>
                </c:pt>
                <c:pt idx="45">
                  <c:v>12</c:v>
                </c:pt>
                <c:pt idx="46">
                  <c:v>20</c:v>
                </c:pt>
                <c:pt idx="47">
                  <c:v>40</c:v>
                </c:pt>
                <c:pt idx="48">
                  <c:v>4</c:v>
                </c:pt>
                <c:pt idx="49">
                  <c:v>12</c:v>
                </c:pt>
                <c:pt idx="50">
                  <c:v>20</c:v>
                </c:pt>
                <c:pt idx="51">
                  <c:v>40</c:v>
                </c:pt>
              </c:numCache>
            </c:numRef>
          </c:xVal>
          <c:yVal>
            <c:numRef>
              <c:f>Backtesting!$BH$47:$BH$98</c:f>
              <c:numCache>
                <c:formatCode>_-* #,##0.0_-;\-* #,##0.0_-;_-* "-"??_-;_-@_-</c:formatCode>
                <c:ptCount val="52"/>
                <c:pt idx="0">
                  <c:v>47.423181270903001</c:v>
                </c:pt>
                <c:pt idx="1">
                  <c:v>77.692655761629666</c:v>
                </c:pt>
                <c:pt idx="2">
                  <c:v>183.08447309212528</c:v>
                </c:pt>
                <c:pt idx="3">
                  <c:v>284.83741380358765</c:v>
                </c:pt>
                <c:pt idx="4">
                  <c:v>27.003392885375497</c:v>
                </c:pt>
                <c:pt idx="5">
                  <c:v>44.321005290361803</c:v>
                </c:pt>
                <c:pt idx="6">
                  <c:v>51.026175372453629</c:v>
                </c:pt>
                <c:pt idx="7">
                  <c:v>71.266594101550623</c:v>
                </c:pt>
                <c:pt idx="8">
                  <c:v>25.213057950744904</c:v>
                </c:pt>
                <c:pt idx="9">
                  <c:v>38.341626147765275</c:v>
                </c:pt>
                <c:pt idx="10">
                  <c:v>50.094358163575549</c:v>
                </c:pt>
                <c:pt idx="11">
                  <c:v>75.733957798723026</c:v>
                </c:pt>
                <c:pt idx="12">
                  <c:v>137.55484439039225</c:v>
                </c:pt>
                <c:pt idx="13">
                  <c:v>20.659761872909698</c:v>
                </c:pt>
                <c:pt idx="14">
                  <c:v>22.177022316813623</c:v>
                </c:pt>
                <c:pt idx="15">
                  <c:v>28.696273517786555</c:v>
                </c:pt>
                <c:pt idx="16">
                  <c:v>41.97672252964427</c:v>
                </c:pt>
                <c:pt idx="17">
                  <c:v>59.808873700212828</c:v>
                </c:pt>
                <c:pt idx="18">
                  <c:v>20.069480449984798</c:v>
                </c:pt>
                <c:pt idx="19">
                  <c:v>27.295176771055036</c:v>
                </c:pt>
                <c:pt idx="20">
                  <c:v>43.788940346609913</c:v>
                </c:pt>
                <c:pt idx="21">
                  <c:v>60.656023107327449</c:v>
                </c:pt>
                <c:pt idx="22">
                  <c:v>20.922155062328976</c:v>
                </c:pt>
                <c:pt idx="23">
                  <c:v>22.050697598054121</c:v>
                </c:pt>
                <c:pt idx="24">
                  <c:v>25.902576588628762</c:v>
                </c:pt>
                <c:pt idx="25">
                  <c:v>25.590152994831257</c:v>
                </c:pt>
                <c:pt idx="26">
                  <c:v>41.047026208574025</c:v>
                </c:pt>
                <c:pt idx="27">
                  <c:v>49.471698145332923</c:v>
                </c:pt>
                <c:pt idx="28">
                  <c:v>21.741040681058067</c:v>
                </c:pt>
                <c:pt idx="29">
                  <c:v>27.045895287321372</c:v>
                </c:pt>
                <c:pt idx="30">
                  <c:v>41.813564487686222</c:v>
                </c:pt>
                <c:pt idx="31">
                  <c:v>19.348700760109455</c:v>
                </c:pt>
                <c:pt idx="32">
                  <c:v>19.409982487078139</c:v>
                </c:pt>
                <c:pt idx="33">
                  <c:v>30.887849079219787</c:v>
                </c:pt>
                <c:pt idx="34">
                  <c:v>40.719506810504527</c:v>
                </c:pt>
                <c:pt idx="35">
                  <c:v>56.400732701318518</c:v>
                </c:pt>
                <c:pt idx="36">
                  <c:v>87.731429334205075</c:v>
                </c:pt>
                <c:pt idx="37">
                  <c:v>169.14758330609132</c:v>
                </c:pt>
                <c:pt idx="38">
                  <c:v>19.52442312302496</c:v>
                </c:pt>
                <c:pt idx="39">
                  <c:v>31.154789255748071</c:v>
                </c:pt>
                <c:pt idx="40">
                  <c:v>40.570238531110391</c:v>
                </c:pt>
                <c:pt idx="41">
                  <c:v>60.8369621880789</c:v>
                </c:pt>
                <c:pt idx="42">
                  <c:v>84.639629072681714</c:v>
                </c:pt>
                <c:pt idx="43">
                  <c:v>156.82348817696416</c:v>
                </c:pt>
                <c:pt idx="44">
                  <c:v>20.677774436090228</c:v>
                </c:pt>
                <c:pt idx="45">
                  <c:v>30.840203334423013</c:v>
                </c:pt>
                <c:pt idx="46">
                  <c:v>42.995307072027899</c:v>
                </c:pt>
                <c:pt idx="47">
                  <c:v>59.703342595619482</c:v>
                </c:pt>
                <c:pt idx="48">
                  <c:v>20.222166067342272</c:v>
                </c:pt>
                <c:pt idx="49">
                  <c:v>32.237415277323748</c:v>
                </c:pt>
                <c:pt idx="50">
                  <c:v>41.746812901819773</c:v>
                </c:pt>
                <c:pt idx="51">
                  <c:v>56.641298899422473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6A-458B-AE70-CE95A65D5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Backtesting!$BP$49:$BP$101</c:f>
              <c:numCache>
                <c:formatCode>_-* #,##0.0_-;\-* #,##0.0_-;_-* "-"??_-;_-@_-</c:formatCode>
                <c:ptCount val="53"/>
                <c:pt idx="0">
                  <c:v>30</c:v>
                </c:pt>
                <c:pt idx="1">
                  <c:v>50</c:v>
                </c:pt>
                <c:pt idx="2">
                  <c:v>#N/A</c:v>
                </c:pt>
                <c:pt idx="3">
                  <c:v>#N/A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#N/A</c:v>
                </c:pt>
                <c:pt idx="13">
                  <c:v>4</c:v>
                </c:pt>
                <c:pt idx="14">
                  <c:v>4</c:v>
                </c:pt>
                <c:pt idx="15">
                  <c:v>8</c:v>
                </c:pt>
                <c:pt idx="16">
                  <c:v>20</c:v>
                </c:pt>
                <c:pt idx="17">
                  <c:v>40</c:v>
                </c:pt>
                <c:pt idx="18">
                  <c:v>4</c:v>
                </c:pt>
                <c:pt idx="19">
                  <c:v>8</c:v>
                </c:pt>
                <c:pt idx="20">
                  <c:v>20</c:v>
                </c:pt>
                <c:pt idx="21">
                  <c:v>40</c:v>
                </c:pt>
                <c:pt idx="22">
                  <c:v>4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20</c:v>
                </c:pt>
                <c:pt idx="27">
                  <c:v>30</c:v>
                </c:pt>
                <c:pt idx="28">
                  <c:v>4</c:v>
                </c:pt>
                <c:pt idx="29">
                  <c:v>8</c:v>
                </c:pt>
                <c:pt idx="30">
                  <c:v>20</c:v>
                </c:pt>
                <c:pt idx="31">
                  <c:v>4</c:v>
                </c:pt>
                <c:pt idx="32">
                  <c:v>4</c:v>
                </c:pt>
                <c:pt idx="33">
                  <c:v>12</c:v>
                </c:pt>
                <c:pt idx="34">
                  <c:v>20</c:v>
                </c:pt>
                <c:pt idx="35">
                  <c:v>40</c:v>
                </c:pt>
                <c:pt idx="36">
                  <c:v>60</c:v>
                </c:pt>
                <c:pt idx="37">
                  <c:v>#N/A</c:v>
                </c:pt>
                <c:pt idx="38">
                  <c:v>4</c:v>
                </c:pt>
                <c:pt idx="39">
                  <c:v>12</c:v>
                </c:pt>
                <c:pt idx="40">
                  <c:v>20</c:v>
                </c:pt>
                <c:pt idx="41">
                  <c:v>40</c:v>
                </c:pt>
                <c:pt idx="42">
                  <c:v>60</c:v>
                </c:pt>
                <c:pt idx="43">
                  <c:v>#N/A</c:v>
                </c:pt>
                <c:pt idx="44">
                  <c:v>4</c:v>
                </c:pt>
                <c:pt idx="45">
                  <c:v>12</c:v>
                </c:pt>
                <c:pt idx="46">
                  <c:v>20</c:v>
                </c:pt>
                <c:pt idx="47">
                  <c:v>40</c:v>
                </c:pt>
                <c:pt idx="48">
                  <c:v>4</c:v>
                </c:pt>
                <c:pt idx="49">
                  <c:v>12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Backtesting!$BO$49:$BO$101</c:f>
              <c:numCache>
                <c:formatCode>_-* #,##0.0_-;\-* #,##0.0_-;_-* "-"??_-;_-@_-</c:formatCode>
                <c:ptCount val="53"/>
                <c:pt idx="0">
                  <c:v>47.423181270903001</c:v>
                </c:pt>
                <c:pt idx="1">
                  <c:v>77.692655761629666</c:v>
                </c:pt>
                <c:pt idx="2">
                  <c:v>#N/A</c:v>
                </c:pt>
                <c:pt idx="3">
                  <c:v>#N/A</c:v>
                </c:pt>
                <c:pt idx="4">
                  <c:v>27.003392885375497</c:v>
                </c:pt>
                <c:pt idx="5">
                  <c:v>44.321005290361803</c:v>
                </c:pt>
                <c:pt idx="6">
                  <c:v>51.026175372453629</c:v>
                </c:pt>
                <c:pt idx="7">
                  <c:v>71.266594101550623</c:v>
                </c:pt>
                <c:pt idx="8">
                  <c:v>25.213057950744904</c:v>
                </c:pt>
                <c:pt idx="9">
                  <c:v>38.341626147765275</c:v>
                </c:pt>
                <c:pt idx="10">
                  <c:v>50.094358163575549</c:v>
                </c:pt>
                <c:pt idx="11">
                  <c:v>75.733957798723026</c:v>
                </c:pt>
                <c:pt idx="12">
                  <c:v>#N/A</c:v>
                </c:pt>
                <c:pt idx="13">
                  <c:v>20.659761872909698</c:v>
                </c:pt>
                <c:pt idx="14">
                  <c:v>22.177022316813623</c:v>
                </c:pt>
                <c:pt idx="15">
                  <c:v>28.696273517786555</c:v>
                </c:pt>
                <c:pt idx="16">
                  <c:v>41.97672252964427</c:v>
                </c:pt>
                <c:pt idx="17">
                  <c:v>59.808873700212828</c:v>
                </c:pt>
                <c:pt idx="18">
                  <c:v>20.069480449984798</c:v>
                </c:pt>
                <c:pt idx="19">
                  <c:v>27.295176771055036</c:v>
                </c:pt>
                <c:pt idx="20">
                  <c:v>43.788940346609913</c:v>
                </c:pt>
                <c:pt idx="21">
                  <c:v>60.656023107327449</c:v>
                </c:pt>
                <c:pt idx="22">
                  <c:v>20.922155062328976</c:v>
                </c:pt>
                <c:pt idx="23">
                  <c:v>22.050697598054121</c:v>
                </c:pt>
                <c:pt idx="24">
                  <c:v>25.902576588628762</c:v>
                </c:pt>
                <c:pt idx="25">
                  <c:v>25.590152994831257</c:v>
                </c:pt>
                <c:pt idx="26">
                  <c:v>41.047026208574025</c:v>
                </c:pt>
                <c:pt idx="27">
                  <c:v>49.471698145332923</c:v>
                </c:pt>
                <c:pt idx="28">
                  <c:v>21.741040681058067</c:v>
                </c:pt>
                <c:pt idx="29">
                  <c:v>27.045895287321372</c:v>
                </c:pt>
                <c:pt idx="30">
                  <c:v>41.813564487686222</c:v>
                </c:pt>
                <c:pt idx="31">
                  <c:v>19.348700760109455</c:v>
                </c:pt>
                <c:pt idx="32">
                  <c:v>19.409982487078139</c:v>
                </c:pt>
                <c:pt idx="33">
                  <c:v>30.887849079219787</c:v>
                </c:pt>
                <c:pt idx="34">
                  <c:v>40.719506810504527</c:v>
                </c:pt>
                <c:pt idx="35">
                  <c:v>56.400732701318518</c:v>
                </c:pt>
                <c:pt idx="36">
                  <c:v>87.731429334205075</c:v>
                </c:pt>
                <c:pt idx="37">
                  <c:v>#N/A</c:v>
                </c:pt>
                <c:pt idx="38">
                  <c:v>19.52442312302496</c:v>
                </c:pt>
                <c:pt idx="39">
                  <c:v>31.154789255748071</c:v>
                </c:pt>
                <c:pt idx="40">
                  <c:v>40.570238531110391</c:v>
                </c:pt>
                <c:pt idx="41">
                  <c:v>60.8369621880789</c:v>
                </c:pt>
                <c:pt idx="42">
                  <c:v>84.639629072681714</c:v>
                </c:pt>
                <c:pt idx="43">
                  <c:v>#N/A</c:v>
                </c:pt>
                <c:pt idx="44">
                  <c:v>20.677774436090228</c:v>
                </c:pt>
                <c:pt idx="45">
                  <c:v>30.840203334423013</c:v>
                </c:pt>
                <c:pt idx="46">
                  <c:v>42.995307072027899</c:v>
                </c:pt>
                <c:pt idx="47">
                  <c:v>59.703342595619482</c:v>
                </c:pt>
                <c:pt idx="48">
                  <c:v>20.222166067342272</c:v>
                </c:pt>
                <c:pt idx="49">
                  <c:v>32.237415277323748</c:v>
                </c:pt>
                <c:pt idx="50">
                  <c:v>41.746812901819773</c:v>
                </c:pt>
                <c:pt idx="51">
                  <c:v>56.641298899422473</c:v>
                </c:pt>
                <c:pt idx="52">
                  <c:v>85.3851064618067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7E-4B56-ABB0-053A163A1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Backtesting!$BP$49:$BP$101</c:f>
              <c:numCache>
                <c:formatCode>_-* #,##0.0_-;\-* #,##0.0_-;_-* "-"??_-;_-@_-</c:formatCode>
                <c:ptCount val="53"/>
                <c:pt idx="0">
                  <c:v>30</c:v>
                </c:pt>
                <c:pt idx="1">
                  <c:v>50</c:v>
                </c:pt>
                <c:pt idx="2">
                  <c:v>#N/A</c:v>
                </c:pt>
                <c:pt idx="3">
                  <c:v>#N/A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#N/A</c:v>
                </c:pt>
                <c:pt idx="13">
                  <c:v>4</c:v>
                </c:pt>
                <c:pt idx="14">
                  <c:v>4</c:v>
                </c:pt>
                <c:pt idx="15">
                  <c:v>8</c:v>
                </c:pt>
                <c:pt idx="16">
                  <c:v>20</c:v>
                </c:pt>
                <c:pt idx="17">
                  <c:v>40</c:v>
                </c:pt>
                <c:pt idx="18">
                  <c:v>4</c:v>
                </c:pt>
                <c:pt idx="19">
                  <c:v>8</c:v>
                </c:pt>
                <c:pt idx="20">
                  <c:v>20</c:v>
                </c:pt>
                <c:pt idx="21">
                  <c:v>40</c:v>
                </c:pt>
                <c:pt idx="22">
                  <c:v>4</c:v>
                </c:pt>
                <c:pt idx="23">
                  <c:v>4</c:v>
                </c:pt>
                <c:pt idx="24">
                  <c:v>8</c:v>
                </c:pt>
                <c:pt idx="25">
                  <c:v>8</c:v>
                </c:pt>
                <c:pt idx="26">
                  <c:v>20</c:v>
                </c:pt>
                <c:pt idx="27">
                  <c:v>30</c:v>
                </c:pt>
                <c:pt idx="28">
                  <c:v>4</c:v>
                </c:pt>
                <c:pt idx="29">
                  <c:v>8</c:v>
                </c:pt>
                <c:pt idx="30">
                  <c:v>20</c:v>
                </c:pt>
                <c:pt idx="31">
                  <c:v>4</c:v>
                </c:pt>
                <c:pt idx="32">
                  <c:v>4</c:v>
                </c:pt>
                <c:pt idx="33">
                  <c:v>12</c:v>
                </c:pt>
                <c:pt idx="34">
                  <c:v>20</c:v>
                </c:pt>
                <c:pt idx="35">
                  <c:v>40</c:v>
                </c:pt>
                <c:pt idx="36">
                  <c:v>60</c:v>
                </c:pt>
                <c:pt idx="37">
                  <c:v>#N/A</c:v>
                </c:pt>
                <c:pt idx="38">
                  <c:v>4</c:v>
                </c:pt>
                <c:pt idx="39">
                  <c:v>12</c:v>
                </c:pt>
                <c:pt idx="40">
                  <c:v>20</c:v>
                </c:pt>
                <c:pt idx="41">
                  <c:v>40</c:v>
                </c:pt>
                <c:pt idx="42">
                  <c:v>60</c:v>
                </c:pt>
                <c:pt idx="43">
                  <c:v>#N/A</c:v>
                </c:pt>
                <c:pt idx="44">
                  <c:v>4</c:v>
                </c:pt>
                <c:pt idx="45">
                  <c:v>12</c:v>
                </c:pt>
                <c:pt idx="46">
                  <c:v>20</c:v>
                </c:pt>
                <c:pt idx="47">
                  <c:v>40</c:v>
                </c:pt>
                <c:pt idx="48">
                  <c:v>4</c:v>
                </c:pt>
                <c:pt idx="49">
                  <c:v>12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</c:numCache>
            </c:numRef>
          </c:xVal>
          <c:yVal>
            <c:numRef>
              <c:f>Backtesting!$BO$49:$BO$101</c:f>
              <c:numCache>
                <c:formatCode>_-* #,##0.0_-;\-* #,##0.0_-;_-* "-"??_-;_-@_-</c:formatCode>
                <c:ptCount val="53"/>
                <c:pt idx="0">
                  <c:v>47.423181270903001</c:v>
                </c:pt>
                <c:pt idx="1">
                  <c:v>77.692655761629666</c:v>
                </c:pt>
                <c:pt idx="2">
                  <c:v>#N/A</c:v>
                </c:pt>
                <c:pt idx="3">
                  <c:v>#N/A</c:v>
                </c:pt>
                <c:pt idx="4">
                  <c:v>27.003392885375497</c:v>
                </c:pt>
                <c:pt idx="5">
                  <c:v>44.321005290361803</c:v>
                </c:pt>
                <c:pt idx="6">
                  <c:v>51.026175372453629</c:v>
                </c:pt>
                <c:pt idx="7">
                  <c:v>71.266594101550623</c:v>
                </c:pt>
                <c:pt idx="8">
                  <c:v>25.213057950744904</c:v>
                </c:pt>
                <c:pt idx="9">
                  <c:v>38.341626147765275</c:v>
                </c:pt>
                <c:pt idx="10">
                  <c:v>50.094358163575549</c:v>
                </c:pt>
                <c:pt idx="11">
                  <c:v>75.733957798723026</c:v>
                </c:pt>
                <c:pt idx="12">
                  <c:v>#N/A</c:v>
                </c:pt>
                <c:pt idx="13">
                  <c:v>20.659761872909698</c:v>
                </c:pt>
                <c:pt idx="14">
                  <c:v>22.177022316813623</c:v>
                </c:pt>
                <c:pt idx="15">
                  <c:v>28.696273517786555</c:v>
                </c:pt>
                <c:pt idx="16">
                  <c:v>41.97672252964427</c:v>
                </c:pt>
                <c:pt idx="17">
                  <c:v>59.808873700212828</c:v>
                </c:pt>
                <c:pt idx="18">
                  <c:v>20.069480449984798</c:v>
                </c:pt>
                <c:pt idx="19">
                  <c:v>27.295176771055036</c:v>
                </c:pt>
                <c:pt idx="20">
                  <c:v>43.788940346609913</c:v>
                </c:pt>
                <c:pt idx="21">
                  <c:v>60.656023107327449</c:v>
                </c:pt>
                <c:pt idx="22">
                  <c:v>20.922155062328976</c:v>
                </c:pt>
                <c:pt idx="23">
                  <c:v>22.050697598054121</c:v>
                </c:pt>
                <c:pt idx="24">
                  <c:v>25.902576588628762</c:v>
                </c:pt>
                <c:pt idx="25">
                  <c:v>25.590152994831257</c:v>
                </c:pt>
                <c:pt idx="26">
                  <c:v>41.047026208574025</c:v>
                </c:pt>
                <c:pt idx="27">
                  <c:v>49.471698145332923</c:v>
                </c:pt>
                <c:pt idx="28">
                  <c:v>21.741040681058067</c:v>
                </c:pt>
                <c:pt idx="29">
                  <c:v>27.045895287321372</c:v>
                </c:pt>
                <c:pt idx="30">
                  <c:v>41.813564487686222</c:v>
                </c:pt>
                <c:pt idx="31">
                  <c:v>19.348700760109455</c:v>
                </c:pt>
                <c:pt idx="32">
                  <c:v>19.409982487078139</c:v>
                </c:pt>
                <c:pt idx="33">
                  <c:v>30.887849079219787</c:v>
                </c:pt>
                <c:pt idx="34">
                  <c:v>40.719506810504527</c:v>
                </c:pt>
                <c:pt idx="35">
                  <c:v>56.400732701318518</c:v>
                </c:pt>
                <c:pt idx="36">
                  <c:v>87.731429334205075</c:v>
                </c:pt>
                <c:pt idx="37">
                  <c:v>#N/A</c:v>
                </c:pt>
                <c:pt idx="38">
                  <c:v>19.52442312302496</c:v>
                </c:pt>
                <c:pt idx="39">
                  <c:v>31.154789255748071</c:v>
                </c:pt>
                <c:pt idx="40">
                  <c:v>40.570238531110391</c:v>
                </c:pt>
                <c:pt idx="41">
                  <c:v>60.8369621880789</c:v>
                </c:pt>
                <c:pt idx="42">
                  <c:v>84.639629072681714</c:v>
                </c:pt>
                <c:pt idx="43">
                  <c:v>#N/A</c:v>
                </c:pt>
                <c:pt idx="44">
                  <c:v>20.677774436090228</c:v>
                </c:pt>
                <c:pt idx="45">
                  <c:v>30.840203334423013</c:v>
                </c:pt>
                <c:pt idx="46">
                  <c:v>42.995307072027899</c:v>
                </c:pt>
                <c:pt idx="47">
                  <c:v>59.703342595619482</c:v>
                </c:pt>
                <c:pt idx="48">
                  <c:v>20.222166067342272</c:v>
                </c:pt>
                <c:pt idx="49">
                  <c:v>32.237415277323748</c:v>
                </c:pt>
                <c:pt idx="50">
                  <c:v>41.746812901819773</c:v>
                </c:pt>
                <c:pt idx="51">
                  <c:v>56.641298899422473</c:v>
                </c:pt>
                <c:pt idx="52">
                  <c:v>85.3851064618067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4D-4DC7-AEF9-6C0458B15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Backtesting!$CE$47:$CE$98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40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20</c:v>
                </c:pt>
                <c:pt idx="8">
                  <c:v>3</c:v>
                </c:pt>
                <c:pt idx="9">
                  <c:v>8</c:v>
                </c:pt>
                <c:pt idx="10">
                  <c:v>20</c:v>
                </c:pt>
                <c:pt idx="11">
                  <c:v>3</c:v>
                </c:pt>
                <c:pt idx="12">
                  <c:v>8</c:v>
                </c:pt>
                <c:pt idx="13">
                  <c:v>3</c:v>
                </c:pt>
                <c:pt idx="14">
                  <c:v>8</c:v>
                </c:pt>
                <c:pt idx="15">
                  <c:v>20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Backtesting!$CD$47:$CD$98</c:f>
              <c:numCache>
                <c:formatCode>_-* #,##0.0_-;\-* #,##0.0_-;_-* "-"??_-;_-@_-</c:formatCode>
                <c:ptCount val="52"/>
                <c:pt idx="0">
                  <c:v>42.908867619337187</c:v>
                </c:pt>
                <c:pt idx="1">
                  <c:v>61.499423776223779</c:v>
                </c:pt>
                <c:pt idx="2">
                  <c:v>19.054887686226817</c:v>
                </c:pt>
                <c:pt idx="3">
                  <c:v>24.929902341137119</c:v>
                </c:pt>
                <c:pt idx="4">
                  <c:v>39.323627363940403</c:v>
                </c:pt>
                <c:pt idx="5">
                  <c:v>17.49003441775616</c:v>
                </c:pt>
                <c:pt idx="6">
                  <c:v>23.485624323502588</c:v>
                </c:pt>
                <c:pt idx="7">
                  <c:v>40.190379811492861</c:v>
                </c:pt>
                <c:pt idx="8">
                  <c:v>17.815226512617816</c:v>
                </c:pt>
                <c:pt idx="9">
                  <c:v>25.066381757373062</c:v>
                </c:pt>
                <c:pt idx="10">
                  <c:v>40.397165825478872</c:v>
                </c:pt>
                <c:pt idx="11">
                  <c:v>19.022130495591366</c:v>
                </c:pt>
                <c:pt idx="12">
                  <c:v>25.387217756156883</c:v>
                </c:pt>
                <c:pt idx="13">
                  <c:v>17.082868713894804</c:v>
                </c:pt>
                <c:pt idx="14">
                  <c:v>24.054723502584363</c:v>
                </c:pt>
                <c:pt idx="15">
                  <c:v>39.055239160839157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36-448C-821C-22D47AB35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Backtesting!$CE$47:$CE$98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40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20</c:v>
                </c:pt>
                <c:pt idx="8">
                  <c:v>3</c:v>
                </c:pt>
                <c:pt idx="9">
                  <c:v>8</c:v>
                </c:pt>
                <c:pt idx="10">
                  <c:v>20</c:v>
                </c:pt>
                <c:pt idx="11">
                  <c:v>3</c:v>
                </c:pt>
                <c:pt idx="12">
                  <c:v>8</c:v>
                </c:pt>
                <c:pt idx="13">
                  <c:v>3</c:v>
                </c:pt>
                <c:pt idx="14">
                  <c:v>8</c:v>
                </c:pt>
                <c:pt idx="15">
                  <c:v>20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Backtesting!$CD$47:$CD$98</c:f>
              <c:numCache>
                <c:formatCode>_-* #,##0.0_-;\-* #,##0.0_-;_-* "-"??_-;_-@_-</c:formatCode>
                <c:ptCount val="52"/>
                <c:pt idx="0">
                  <c:v>42.908867619337187</c:v>
                </c:pt>
                <c:pt idx="1">
                  <c:v>61.499423776223779</c:v>
                </c:pt>
                <c:pt idx="2">
                  <c:v>19.054887686226817</c:v>
                </c:pt>
                <c:pt idx="3">
                  <c:v>24.929902341137119</c:v>
                </c:pt>
                <c:pt idx="4">
                  <c:v>39.323627363940403</c:v>
                </c:pt>
                <c:pt idx="5">
                  <c:v>17.49003441775616</c:v>
                </c:pt>
                <c:pt idx="6">
                  <c:v>23.485624323502588</c:v>
                </c:pt>
                <c:pt idx="7">
                  <c:v>40.190379811492861</c:v>
                </c:pt>
                <c:pt idx="8">
                  <c:v>17.815226512617816</c:v>
                </c:pt>
                <c:pt idx="9">
                  <c:v>25.066381757373062</c:v>
                </c:pt>
                <c:pt idx="10">
                  <c:v>40.397165825478872</c:v>
                </c:pt>
                <c:pt idx="11">
                  <c:v>19.022130495591366</c:v>
                </c:pt>
                <c:pt idx="12">
                  <c:v>25.387217756156883</c:v>
                </c:pt>
                <c:pt idx="13">
                  <c:v>17.082868713894804</c:v>
                </c:pt>
                <c:pt idx="14">
                  <c:v>24.054723502584363</c:v>
                </c:pt>
                <c:pt idx="15">
                  <c:v>39.055239160839157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0B-429F-B7E6-CE5080F6E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Backtesting!$CT$47:$CT$98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80</c:v>
                </c:pt>
                <c:pt idx="13">
                  <c:v>8</c:v>
                </c:pt>
                <c:pt idx="14">
                  <c:v>20</c:v>
                </c:pt>
                <c:pt idx="15">
                  <c:v>30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Backtesting!$CS$47:$CS$98</c:f>
              <c:numCache>
                <c:formatCode>_-* #,##0.0_-;\-* #,##0.0_-;_-* "-"??_-;_-@_-</c:formatCode>
                <c:ptCount val="52"/>
                <c:pt idx="0">
                  <c:v>22.19027935542718</c:v>
                </c:pt>
                <c:pt idx="1">
                  <c:v>36.953457707509884</c:v>
                </c:pt>
                <c:pt idx="2">
                  <c:v>48.994890605047111</c:v>
                </c:pt>
                <c:pt idx="3">
                  <c:v>78.306876740650651</c:v>
                </c:pt>
                <c:pt idx="4">
                  <c:v>22.972673761021586</c:v>
                </c:pt>
                <c:pt idx="5">
                  <c:v>37.058402918820313</c:v>
                </c:pt>
                <c:pt idx="6">
                  <c:v>45.393461356035267</c:v>
                </c:pt>
                <c:pt idx="7">
                  <c:v>69.99746646397081</c:v>
                </c:pt>
                <c:pt idx="8">
                  <c:v>23.50473821830343</c:v>
                </c:pt>
                <c:pt idx="9">
                  <c:v>37.212500334448158</c:v>
                </c:pt>
                <c:pt idx="10">
                  <c:v>41.866552508361195</c:v>
                </c:pt>
                <c:pt idx="11">
                  <c:v>63.615309698996647</c:v>
                </c:pt>
                <c:pt idx="12">
                  <c:v>118.500310611128</c:v>
                </c:pt>
                <c:pt idx="13">
                  <c:v>24.573953906962604</c:v>
                </c:pt>
                <c:pt idx="14">
                  <c:v>37.110605290361804</c:v>
                </c:pt>
                <c:pt idx="15">
                  <c:v>47.890415810276679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66-4D1B-9F19-3992C2C81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Backtesting!$CT$47:$CT$98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80</c:v>
                </c:pt>
                <c:pt idx="13">
                  <c:v>8</c:v>
                </c:pt>
                <c:pt idx="14">
                  <c:v>20</c:v>
                </c:pt>
                <c:pt idx="15">
                  <c:v>30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Backtesting!$CS$47:$CS$98</c:f>
              <c:numCache>
                <c:formatCode>_-* #,##0.0_-;\-* #,##0.0_-;_-* "-"??_-;_-@_-</c:formatCode>
                <c:ptCount val="52"/>
                <c:pt idx="0">
                  <c:v>22.19027935542718</c:v>
                </c:pt>
                <c:pt idx="1">
                  <c:v>36.953457707509884</c:v>
                </c:pt>
                <c:pt idx="2">
                  <c:v>48.994890605047111</c:v>
                </c:pt>
                <c:pt idx="3">
                  <c:v>78.306876740650651</c:v>
                </c:pt>
                <c:pt idx="4">
                  <c:v>22.972673761021586</c:v>
                </c:pt>
                <c:pt idx="5">
                  <c:v>37.058402918820313</c:v>
                </c:pt>
                <c:pt idx="6">
                  <c:v>45.393461356035267</c:v>
                </c:pt>
                <c:pt idx="7">
                  <c:v>69.99746646397081</c:v>
                </c:pt>
                <c:pt idx="8">
                  <c:v>23.50473821830343</c:v>
                </c:pt>
                <c:pt idx="9">
                  <c:v>37.212500334448158</c:v>
                </c:pt>
                <c:pt idx="10">
                  <c:v>41.866552508361195</c:v>
                </c:pt>
                <c:pt idx="11">
                  <c:v>63.615309698996647</c:v>
                </c:pt>
                <c:pt idx="12">
                  <c:v>118.500310611128</c:v>
                </c:pt>
                <c:pt idx="13">
                  <c:v>24.573953906962604</c:v>
                </c:pt>
                <c:pt idx="14">
                  <c:v>37.110605290361804</c:v>
                </c:pt>
                <c:pt idx="15">
                  <c:v>47.890415810276679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F4-4B3F-89FE-0DDAE475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Normal Sequence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384645061728396"/>
                  <c:y val="-0.31877527777777775"/>
                </c:manualLayout>
              </c:layout>
              <c:numFmt formatCode="#,##0.0000" sourceLinked="0"/>
              <c:spPr>
                <a:solidFill>
                  <a:sysClr val="window" lastClr="FFFFFF"/>
                </a:solidFill>
                <a:ln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Backtesting!$CE$47:$CE$98</c:f>
              <c:numCache>
                <c:formatCode>_-* #,##0.0_-;\-* #,##0.0_-;_-* "-"??_-;_-@_-</c:formatCode>
                <c:ptCount val="52"/>
                <c:pt idx="0">
                  <c:v>20</c:v>
                </c:pt>
                <c:pt idx="1">
                  <c:v>40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20</c:v>
                </c:pt>
                <c:pt idx="8">
                  <c:v>3</c:v>
                </c:pt>
                <c:pt idx="9">
                  <c:v>8</c:v>
                </c:pt>
                <c:pt idx="10">
                  <c:v>20</c:v>
                </c:pt>
                <c:pt idx="11">
                  <c:v>3</c:v>
                </c:pt>
                <c:pt idx="12">
                  <c:v>8</c:v>
                </c:pt>
                <c:pt idx="13">
                  <c:v>3</c:v>
                </c:pt>
                <c:pt idx="14">
                  <c:v>8</c:v>
                </c:pt>
                <c:pt idx="15">
                  <c:v>20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Backtesting!$CD$47:$CD$98</c:f>
              <c:numCache>
                <c:formatCode>_-* #,##0.0_-;\-* #,##0.0_-;_-* "-"??_-;_-@_-</c:formatCode>
                <c:ptCount val="52"/>
                <c:pt idx="0">
                  <c:v>42.908867619337187</c:v>
                </c:pt>
                <c:pt idx="1">
                  <c:v>61.499423776223779</c:v>
                </c:pt>
                <c:pt idx="2">
                  <c:v>19.054887686226817</c:v>
                </c:pt>
                <c:pt idx="3">
                  <c:v>24.929902341137119</c:v>
                </c:pt>
                <c:pt idx="4">
                  <c:v>39.323627363940403</c:v>
                </c:pt>
                <c:pt idx="5">
                  <c:v>17.49003441775616</c:v>
                </c:pt>
                <c:pt idx="6">
                  <c:v>23.485624323502588</c:v>
                </c:pt>
                <c:pt idx="7">
                  <c:v>40.190379811492861</c:v>
                </c:pt>
                <c:pt idx="8">
                  <c:v>17.815226512617816</c:v>
                </c:pt>
                <c:pt idx="9">
                  <c:v>25.066381757373062</c:v>
                </c:pt>
                <c:pt idx="10">
                  <c:v>40.397165825478872</c:v>
                </c:pt>
                <c:pt idx="11">
                  <c:v>19.022130495591366</c:v>
                </c:pt>
                <c:pt idx="12">
                  <c:v>25.387217756156883</c:v>
                </c:pt>
                <c:pt idx="13">
                  <c:v>17.082868713894804</c:v>
                </c:pt>
                <c:pt idx="14">
                  <c:v>24.054723502584363</c:v>
                </c:pt>
                <c:pt idx="15">
                  <c:v>39.055239160839157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A2-4A6A-9873-3E432845CFEF}"/>
            </c:ext>
          </c:extLst>
        </c:ser>
        <c:ser>
          <c:idx val="1"/>
          <c:order val="1"/>
          <c:tx>
            <c:v>Accelerated Sequence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>
                <a:noFill/>
              </a:ln>
            </c:spPr>
          </c:marker>
          <c:trendline>
            <c:spPr>
              <a:ln w="19050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3598912037037037"/>
                  <c:y val="-7.9378055555555549E-2"/>
                </c:manualLayout>
              </c:layout>
              <c:numFmt formatCode="#,##0.0000" sourceLinked="0"/>
              <c:spPr>
                <a:solidFill>
                  <a:sysClr val="window" lastClr="FFFFFF"/>
                </a:solidFill>
                <a:ln>
                  <a:solidFill>
                    <a:schemeClr val="tx2">
                      <a:lumMod val="40000"/>
                      <a:lumOff val="60000"/>
                    </a:schemeClr>
                  </a:solidFill>
                </a:ln>
              </c:spPr>
            </c:trendlineLbl>
          </c:trendline>
          <c:xVal>
            <c:numRef>
              <c:f>Backtesting!$CT$47:$CT$98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8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  <c:pt idx="8">
                  <c:v>8</c:v>
                </c:pt>
                <c:pt idx="9">
                  <c:v>20</c:v>
                </c:pt>
                <c:pt idx="10">
                  <c:v>30</c:v>
                </c:pt>
                <c:pt idx="11">
                  <c:v>50</c:v>
                </c:pt>
                <c:pt idx="12">
                  <c:v>80</c:v>
                </c:pt>
                <c:pt idx="13">
                  <c:v>8</c:v>
                </c:pt>
                <c:pt idx="14">
                  <c:v>20</c:v>
                </c:pt>
                <c:pt idx="15">
                  <c:v>30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Backtesting!$CS$47:$CS$98</c:f>
              <c:numCache>
                <c:formatCode>_-* #,##0.0_-;\-* #,##0.0_-;_-* "-"??_-;_-@_-</c:formatCode>
                <c:ptCount val="52"/>
                <c:pt idx="0">
                  <c:v>22.19027935542718</c:v>
                </c:pt>
                <c:pt idx="1">
                  <c:v>36.953457707509884</c:v>
                </c:pt>
                <c:pt idx="2">
                  <c:v>48.994890605047111</c:v>
                </c:pt>
                <c:pt idx="3">
                  <c:v>78.306876740650651</c:v>
                </c:pt>
                <c:pt idx="4">
                  <c:v>22.972673761021586</c:v>
                </c:pt>
                <c:pt idx="5">
                  <c:v>37.058402918820313</c:v>
                </c:pt>
                <c:pt idx="6">
                  <c:v>45.393461356035267</c:v>
                </c:pt>
                <c:pt idx="7">
                  <c:v>69.99746646397081</c:v>
                </c:pt>
                <c:pt idx="8">
                  <c:v>23.50473821830343</c:v>
                </c:pt>
                <c:pt idx="9">
                  <c:v>37.212500334448158</c:v>
                </c:pt>
                <c:pt idx="10">
                  <c:v>41.866552508361195</c:v>
                </c:pt>
                <c:pt idx="11">
                  <c:v>63.615309698996647</c:v>
                </c:pt>
                <c:pt idx="12">
                  <c:v>118.500310611128</c:v>
                </c:pt>
                <c:pt idx="13">
                  <c:v>24.573953906962604</c:v>
                </c:pt>
                <c:pt idx="14">
                  <c:v>37.110605290361804</c:v>
                </c:pt>
                <c:pt idx="15">
                  <c:v>47.890415810276679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A2-4A6A-9873-3E432845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Jackpot ($m)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Entries (m's)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18920512"/>
        <c:crosses val="autoZero"/>
        <c:crossBetween val="midCat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Backtesting!$DI$47:$DI$98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20</c:v>
                </c:pt>
                <c:pt idx="12">
                  <c:v>4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Backtesting!$DH$47:$DH$98</c:f>
              <c:numCache>
                <c:formatCode>_-* #,##0.0_-;\-* #,##0.0_-;_-* "-"??_-;_-@_-</c:formatCode>
                <c:ptCount val="52"/>
                <c:pt idx="0">
                  <c:v>21.016983155974454</c:v>
                </c:pt>
                <c:pt idx="1">
                  <c:v>21.125759318941927</c:v>
                </c:pt>
                <c:pt idx="2">
                  <c:v>27.291882760717545</c:v>
                </c:pt>
                <c:pt idx="3">
                  <c:v>41.963661416844026</c:v>
                </c:pt>
                <c:pt idx="4">
                  <c:v>57.463937245363326</c:v>
                </c:pt>
                <c:pt idx="5">
                  <c:v>77.836461903314074</c:v>
                </c:pt>
                <c:pt idx="6">
                  <c:v>20.096787838248709</c:v>
                </c:pt>
                <c:pt idx="7">
                  <c:v>27.258635451505018</c:v>
                </c:pt>
                <c:pt idx="8">
                  <c:v>20.96840571602311</c:v>
                </c:pt>
                <c:pt idx="9">
                  <c:v>19.329129096989966</c:v>
                </c:pt>
                <c:pt idx="10">
                  <c:v>24.328928428093644</c:v>
                </c:pt>
                <c:pt idx="11">
                  <c:v>39.456376284584977</c:v>
                </c:pt>
                <c:pt idx="12">
                  <c:v>20.023645363332321</c:v>
                </c:pt>
                <c:pt idx="13">
                  <c:v>25.45458339920949</c:v>
                </c:pt>
                <c:pt idx="14">
                  <c:v>39.743730009121315</c:v>
                </c:pt>
                <c:pt idx="15">
                  <c:v>61.420572818485859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32-4788-91B3-919CD055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Backtesting!$DI$47:$DI$98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20</c:v>
                </c:pt>
                <c:pt idx="12">
                  <c:v>4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Backtesting!$DH$47:$DH$98</c:f>
              <c:numCache>
                <c:formatCode>_-* #,##0.0_-;\-* #,##0.0_-;_-* "-"??_-;_-@_-</c:formatCode>
                <c:ptCount val="52"/>
                <c:pt idx="0">
                  <c:v>21.016983155974454</c:v>
                </c:pt>
                <c:pt idx="1">
                  <c:v>21.125759318941927</c:v>
                </c:pt>
                <c:pt idx="2">
                  <c:v>27.291882760717545</c:v>
                </c:pt>
                <c:pt idx="3">
                  <c:v>41.963661416844026</c:v>
                </c:pt>
                <c:pt idx="4">
                  <c:v>57.463937245363326</c:v>
                </c:pt>
                <c:pt idx="5">
                  <c:v>77.836461903314074</c:v>
                </c:pt>
                <c:pt idx="6">
                  <c:v>20.096787838248709</c:v>
                </c:pt>
                <c:pt idx="7">
                  <c:v>27.258635451505018</c:v>
                </c:pt>
                <c:pt idx="8">
                  <c:v>20.96840571602311</c:v>
                </c:pt>
                <c:pt idx="9">
                  <c:v>19.329129096989966</c:v>
                </c:pt>
                <c:pt idx="10">
                  <c:v>24.328928428093644</c:v>
                </c:pt>
                <c:pt idx="11">
                  <c:v>39.456376284584977</c:v>
                </c:pt>
                <c:pt idx="12">
                  <c:v>20.023645363332321</c:v>
                </c:pt>
                <c:pt idx="13">
                  <c:v>25.45458339920949</c:v>
                </c:pt>
                <c:pt idx="14">
                  <c:v>39.743730009121315</c:v>
                </c:pt>
                <c:pt idx="15">
                  <c:v>61.420572818485859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60-48B3-B993-A3965ECBB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Backtesting!$DX$47:$DX$98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100</c:v>
                </c:pt>
                <c:pt idx="6">
                  <c:v>160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Backtesting!$DW$47:$DW$98</c:f>
              <c:numCache>
                <c:formatCode>_-* #,##0.0_-;\-* #,##0.0_-;_-* "-"??_-;_-@_-</c:formatCode>
                <c:ptCount val="52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183.08447309212528</c:v>
                </c:pt>
                <c:pt idx="6">
                  <c:v>284.83741380358765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137.55484439039225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F9-48C0-A321-D74C816EA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90299145299146"/>
                  <c:y val="-1.46565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Backtesting!$DX$47:$DX$98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100</c:v>
                </c:pt>
                <c:pt idx="6">
                  <c:v>160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Backtesting!$DW$47:$DW$98</c:f>
              <c:numCache>
                <c:formatCode>_-* #,##0.0_-;\-* #,##0.0_-;_-* "-"??_-;_-@_-</c:formatCode>
                <c:ptCount val="52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183.08447309212528</c:v>
                </c:pt>
                <c:pt idx="6">
                  <c:v>284.83741380358765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137.55484439039225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39-41E3-96DB-6DF92C0E0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9972628205128206"/>
                  <c:y val="-9.1590277777777781E-3"/>
                </c:manualLayout>
              </c:layout>
              <c:numFmt formatCode="General" sourceLinked="0"/>
              <c:spPr>
                <a:noFill/>
                <a:ln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Backtesting!$DI$47:$DI$98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20</c:v>
                </c:pt>
                <c:pt idx="12">
                  <c:v>4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Backtesting!$DH$47:$DH$98</c:f>
              <c:numCache>
                <c:formatCode>_-* #,##0.0_-;\-* #,##0.0_-;_-* "-"??_-;_-@_-</c:formatCode>
                <c:ptCount val="52"/>
                <c:pt idx="0">
                  <c:v>21.016983155974454</c:v>
                </c:pt>
                <c:pt idx="1">
                  <c:v>21.125759318941927</c:v>
                </c:pt>
                <c:pt idx="2">
                  <c:v>27.291882760717545</c:v>
                </c:pt>
                <c:pt idx="3">
                  <c:v>41.963661416844026</c:v>
                </c:pt>
                <c:pt idx="4">
                  <c:v>57.463937245363326</c:v>
                </c:pt>
                <c:pt idx="5">
                  <c:v>77.836461903314074</c:v>
                </c:pt>
                <c:pt idx="6">
                  <c:v>20.096787838248709</c:v>
                </c:pt>
                <c:pt idx="7">
                  <c:v>27.258635451505018</c:v>
                </c:pt>
                <c:pt idx="8">
                  <c:v>20.96840571602311</c:v>
                </c:pt>
                <c:pt idx="9">
                  <c:v>19.329129096989966</c:v>
                </c:pt>
                <c:pt idx="10">
                  <c:v>24.328928428093644</c:v>
                </c:pt>
                <c:pt idx="11">
                  <c:v>39.456376284584977</c:v>
                </c:pt>
                <c:pt idx="12">
                  <c:v>20.023645363332321</c:v>
                </c:pt>
                <c:pt idx="13">
                  <c:v>25.45458339920949</c:v>
                </c:pt>
                <c:pt idx="14">
                  <c:v>39.743730009121315</c:v>
                </c:pt>
                <c:pt idx="15">
                  <c:v>61.420572818485859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92-4887-92EC-53DA28892EB2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>
                <a:noFill/>
              </a:ln>
            </c:spPr>
          </c:marker>
          <c:trendline>
            <c:spPr>
              <a:ln w="19050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11405790598290598"/>
                  <c:y val="-7.886493055555556E-2"/>
                </c:manualLayout>
              </c:layout>
              <c:numFmt formatCode="#,##0.0000" sourceLinked="0"/>
              <c:spPr>
                <a:ln>
                  <a:solidFill>
                    <a:schemeClr val="tx2">
                      <a:lumMod val="40000"/>
                      <a:lumOff val="60000"/>
                    </a:schemeClr>
                  </a:solidFill>
                </a:ln>
              </c:spPr>
              <c:txPr>
                <a:bodyPr/>
                <a:lstStyle/>
                <a:p>
                  <a:pPr>
                    <a:defRPr sz="900">
                      <a:solidFill>
                        <a:schemeClr val="tx2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Backtesting!$EE$49:$EE$100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#N/A</c:v>
                </c:pt>
                <c:pt idx="6">
                  <c:v>#N/A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Backtesting!$ED$49:$ED$100</c:f>
              <c:numCache>
                <c:formatCode>_-* #,##0.0_-;\-* #,##0.0_-;_-* "-"??_-;_-@_-</c:formatCode>
                <c:ptCount val="52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#N/A</c:v>
                </c:pt>
                <c:pt idx="6">
                  <c:v>#N/A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92-4887-92EC-53DA28892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07307692307691"/>
                  <c:y val="-8.21090277777777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Backtesting!$EE$49:$EE$101</c:f>
              <c:numCache>
                <c:formatCode>_-* #,##0.0_-;\-* #,##0.0_-;_-* "-"??_-;_-@_-</c:formatCode>
                <c:ptCount val="53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#N/A</c:v>
                </c:pt>
                <c:pt idx="6">
                  <c:v>#N/A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</c:numCache>
            </c:numRef>
          </c:xVal>
          <c:yVal>
            <c:numRef>
              <c:f>Backtesting!$ED$49:$ED$101</c:f>
              <c:numCache>
                <c:formatCode>_-* #,##0.0_-;\-* #,##0.0_-;_-* "-"??_-;_-@_-</c:formatCode>
                <c:ptCount val="53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#N/A</c:v>
                </c:pt>
                <c:pt idx="6">
                  <c:v>#N/A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B8-46F0-9003-85CBA6465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000440170940171"/>
                  <c:y val="-2.5517361111111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Backtesting!$EE$49:$EE$101</c:f>
              <c:numCache>
                <c:formatCode>_-* #,##0.0_-;\-* #,##0.0_-;_-* "-"??_-;_-@_-</c:formatCode>
                <c:ptCount val="53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#N/A</c:v>
                </c:pt>
                <c:pt idx="6">
                  <c:v>#N/A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</c:numCache>
            </c:numRef>
          </c:xVal>
          <c:yVal>
            <c:numRef>
              <c:f>Backtesting!$ED$49:$ED$101</c:f>
              <c:numCache>
                <c:formatCode>_-* #,##0.0_-;\-* #,##0.0_-;_-* "-"??_-;_-@_-</c:formatCode>
                <c:ptCount val="53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#N/A</c:v>
                </c:pt>
                <c:pt idx="6">
                  <c:v>#N/A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44-4BA6-AE51-AA8A1F000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Normal Sequence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318811728395066"/>
                  <c:y val="-5.4799999999999996E-3"/>
                </c:manualLayout>
              </c:layout>
              <c:numFmt formatCode="#,##0.0000" sourceLinked="0"/>
              <c:spPr>
                <a:noFill/>
                <a:ln>
                  <a:solidFill>
                    <a:schemeClr val="accent1">
                      <a:lumMod val="40000"/>
                      <a:lumOff val="60000"/>
                    </a:schemeClr>
                  </a:solidFill>
                </a:ln>
                <a:effectLst/>
              </c:spPr>
              <c:txPr>
                <a:bodyPr rot="0" vert="horz"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Backtesting!$DI$47:$DI$98</c:f>
              <c:numCache>
                <c:formatCode>_-* #,##0.0_-;\-* #,##0.0_-;_-* "-"??_-;_-@_-</c:formatCode>
                <c:ptCount val="52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20</c:v>
                </c:pt>
                <c:pt idx="4">
                  <c:v>40</c:v>
                </c:pt>
                <c:pt idx="5">
                  <c:v>60</c:v>
                </c:pt>
                <c:pt idx="6">
                  <c:v>4</c:v>
                </c:pt>
                <c:pt idx="7">
                  <c:v>8</c:v>
                </c:pt>
                <c:pt idx="8">
                  <c:v>4</c:v>
                </c:pt>
                <c:pt idx="9">
                  <c:v>4</c:v>
                </c:pt>
                <c:pt idx="10">
                  <c:v>8</c:v>
                </c:pt>
                <c:pt idx="11">
                  <c:v>20</c:v>
                </c:pt>
                <c:pt idx="12">
                  <c:v>4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Backtesting!$DH$47:$DH$98</c:f>
              <c:numCache>
                <c:formatCode>_-* #,##0.0_-;\-* #,##0.0_-;_-* "-"??_-;_-@_-</c:formatCode>
                <c:ptCount val="52"/>
                <c:pt idx="0">
                  <c:v>21.016983155974454</c:v>
                </c:pt>
                <c:pt idx="1">
                  <c:v>21.125759318941927</c:v>
                </c:pt>
                <c:pt idx="2">
                  <c:v>27.291882760717545</c:v>
                </c:pt>
                <c:pt idx="3">
                  <c:v>41.963661416844026</c:v>
                </c:pt>
                <c:pt idx="4">
                  <c:v>57.463937245363326</c:v>
                </c:pt>
                <c:pt idx="5">
                  <c:v>77.836461903314074</c:v>
                </c:pt>
                <c:pt idx="6">
                  <c:v>20.096787838248709</c:v>
                </c:pt>
                <c:pt idx="7">
                  <c:v>27.258635451505018</c:v>
                </c:pt>
                <c:pt idx="8">
                  <c:v>20.96840571602311</c:v>
                </c:pt>
                <c:pt idx="9">
                  <c:v>19.329129096989966</c:v>
                </c:pt>
                <c:pt idx="10">
                  <c:v>24.328928428093644</c:v>
                </c:pt>
                <c:pt idx="11">
                  <c:v>39.456376284584977</c:v>
                </c:pt>
                <c:pt idx="12">
                  <c:v>20.023645363332321</c:v>
                </c:pt>
                <c:pt idx="13">
                  <c:v>25.45458339920949</c:v>
                </c:pt>
                <c:pt idx="14">
                  <c:v>39.743730009121315</c:v>
                </c:pt>
                <c:pt idx="15">
                  <c:v>61.420572818485859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CE-4DA5-9481-1D5DAA5244A6}"/>
            </c:ext>
          </c:extLst>
        </c:ser>
        <c:ser>
          <c:idx val="1"/>
          <c:order val="1"/>
          <c:tx>
            <c:v>Accelerated Sequence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>
                <a:noFill/>
              </a:ln>
            </c:spPr>
          </c:marker>
          <c:trendline>
            <c:spPr>
              <a:ln w="19050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-0.20108827160493828"/>
                  <c:y val="-5.0929444444444444E-2"/>
                </c:manualLayout>
              </c:layout>
              <c:numFmt formatCode="#,##0.0000" sourceLinked="0"/>
              <c:spPr>
                <a:ln>
                  <a:solidFill>
                    <a:schemeClr val="tx2">
                      <a:lumMod val="40000"/>
                      <a:lumOff val="60000"/>
                    </a:schemeClr>
                  </a:solidFill>
                </a:ln>
              </c:spPr>
            </c:trendlineLbl>
          </c:trendline>
          <c:xVal>
            <c:numRef>
              <c:f>Backtesting!$EE$49:$EE$100</c:f>
              <c:numCache>
                <c:formatCode>_-* #,##0.0_-;\-* #,##0.0_-;_-* "-"??_-;_-@_-</c:formatCode>
                <c:ptCount val="52"/>
                <c:pt idx="0">
                  <c:v>8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50</c:v>
                </c:pt>
                <c:pt idx="5">
                  <c:v>#N/A</c:v>
                </c:pt>
                <c:pt idx="6">
                  <c:v>#N/A</c:v>
                </c:pt>
                <c:pt idx="7">
                  <c:v>8</c:v>
                </c:pt>
                <c:pt idx="8">
                  <c:v>20</c:v>
                </c:pt>
                <c:pt idx="9">
                  <c:v>30</c:v>
                </c:pt>
                <c:pt idx="10">
                  <c:v>50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xVal>
          <c:yVal>
            <c:numRef>
              <c:f>Backtesting!$ED$49:$ED$100</c:f>
              <c:numCache>
                <c:formatCode>_-* #,##0.0_-;\-* #,##0.0_-;_-* "-"??_-;_-@_-</c:formatCode>
                <c:ptCount val="52"/>
                <c:pt idx="0">
                  <c:v>25.008818485861962</c:v>
                </c:pt>
                <c:pt idx="1">
                  <c:v>22.65982973548191</c:v>
                </c:pt>
                <c:pt idx="2">
                  <c:v>35.905405655214345</c:v>
                </c:pt>
                <c:pt idx="3">
                  <c:v>47.423181270903001</c:v>
                </c:pt>
                <c:pt idx="4">
                  <c:v>77.692655761629666</c:v>
                </c:pt>
                <c:pt idx="5">
                  <c:v>#N/A</c:v>
                </c:pt>
                <c:pt idx="6">
                  <c:v>#N/A</c:v>
                </c:pt>
                <c:pt idx="7">
                  <c:v>27.003392885375497</c:v>
                </c:pt>
                <c:pt idx="8">
                  <c:v>44.321005290361803</c:v>
                </c:pt>
                <c:pt idx="9">
                  <c:v>51.026175372453629</c:v>
                </c:pt>
                <c:pt idx="10">
                  <c:v>71.266594101550623</c:v>
                </c:pt>
                <c:pt idx="11">
                  <c:v>25.213057950744904</c:v>
                </c:pt>
                <c:pt idx="12">
                  <c:v>38.341626147765275</c:v>
                </c:pt>
                <c:pt idx="13">
                  <c:v>50.094358163575549</c:v>
                </c:pt>
                <c:pt idx="14">
                  <c:v>75.733957798723026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CE-4DA5-9481-1D5DAA524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Jackpot ($m)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Entries (m's)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818920512"/>
        <c:crosses val="autoZero"/>
        <c:crossBetween val="midCat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224850427350427"/>
                  <c:y val="-0.13666458333333334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Backtesting!$JH$67:$JH$225</c:f>
              <c:numCache>
                <c:formatCode>_-* #,##0.0_-;\-* #,##0.0_-;_-* "-"??_-;_-@_-</c:formatCode>
                <c:ptCount val="159"/>
                <c:pt idx="0">
                  <c:v>50</c:v>
                </c:pt>
                <c:pt idx="1">
                  <c:v>80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3</c:v>
                </c:pt>
                <c:pt idx="17">
                  <c:v>8</c:v>
                </c:pt>
                <c:pt idx="18">
                  <c:v>20</c:v>
                </c:pt>
                <c:pt idx="19">
                  <c:v>3</c:v>
                </c:pt>
                <c:pt idx="20">
                  <c:v>8</c:v>
                </c:pt>
                <c:pt idx="21">
                  <c:v>20</c:v>
                </c:pt>
                <c:pt idx="22">
                  <c:v>3</c:v>
                </c:pt>
                <c:pt idx="23">
                  <c:v>8</c:v>
                </c:pt>
                <c:pt idx="24">
                  <c:v>20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8</c:v>
                </c:pt>
                <c:pt idx="35">
                  <c:v>20</c:v>
                </c:pt>
                <c:pt idx="36">
                  <c:v>30</c:v>
                </c:pt>
                <c:pt idx="37">
                  <c:v>50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50</c:v>
                </c:pt>
                <c:pt idx="42">
                  <c:v>80</c:v>
                </c:pt>
                <c:pt idx="43">
                  <c:v>8</c:v>
                </c:pt>
                <c:pt idx="44">
                  <c:v>20</c:v>
                </c:pt>
                <c:pt idx="45">
                  <c:v>30</c:v>
                </c:pt>
                <c:pt idx="46">
                  <c:v>3</c:v>
                </c:pt>
                <c:pt idx="47">
                  <c:v>8</c:v>
                </c:pt>
                <c:pt idx="48">
                  <c:v>3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  <c:pt idx="53">
                  <c:v>3</c:v>
                </c:pt>
                <c:pt idx="54">
                  <c:v>8</c:v>
                </c:pt>
                <c:pt idx="55">
                  <c:v>20</c:v>
                </c:pt>
                <c:pt idx="56">
                  <c:v>40</c:v>
                </c:pt>
                <c:pt idx="57">
                  <c:v>60</c:v>
                </c:pt>
                <c:pt idx="58">
                  <c:v>80</c:v>
                </c:pt>
                <c:pt idx="59">
                  <c:v>3</c:v>
                </c:pt>
                <c:pt idx="60">
                  <c:v>8</c:v>
                </c:pt>
                <c:pt idx="61">
                  <c:v>20</c:v>
                </c:pt>
                <c:pt idx="62">
                  <c:v>3</c:v>
                </c:pt>
                <c:pt idx="63">
                  <c:v>8</c:v>
                </c:pt>
                <c:pt idx="64">
                  <c:v>3</c:v>
                </c:pt>
                <c:pt idx="65">
                  <c:v>8</c:v>
                </c:pt>
                <c:pt idx="66">
                  <c:v>20</c:v>
                </c:pt>
                <c:pt idx="67">
                  <c:v>40</c:v>
                </c:pt>
                <c:pt idx="68">
                  <c:v>60</c:v>
                </c:pt>
                <c:pt idx="69">
                  <c:v>3</c:v>
                </c:pt>
                <c:pt idx="70">
                  <c:v>8</c:v>
                </c:pt>
                <c:pt idx="71">
                  <c:v>20</c:v>
                </c:pt>
                <c:pt idx="72">
                  <c:v>40</c:v>
                </c:pt>
                <c:pt idx="73">
                  <c:v>60</c:v>
                </c:pt>
                <c:pt idx="74">
                  <c:v>80</c:v>
                </c:pt>
                <c:pt idx="75">
                  <c:v>3</c:v>
                </c:pt>
                <c:pt idx="76">
                  <c:v>8</c:v>
                </c:pt>
                <c:pt idx="77">
                  <c:v>20</c:v>
                </c:pt>
                <c:pt idx="78">
                  <c:v>30</c:v>
                </c:pt>
                <c:pt idx="79">
                  <c:v>60</c:v>
                </c:pt>
                <c:pt idx="80">
                  <c:v>3</c:v>
                </c:pt>
                <c:pt idx="81">
                  <c:v>8</c:v>
                </c:pt>
                <c:pt idx="82">
                  <c:v>20</c:v>
                </c:pt>
                <c:pt idx="83">
                  <c:v>40</c:v>
                </c:pt>
                <c:pt idx="84">
                  <c:v>60</c:v>
                </c:pt>
                <c:pt idx="85">
                  <c:v>80</c:v>
                </c:pt>
                <c:pt idx="86">
                  <c:v>120</c:v>
                </c:pt>
                <c:pt idx="87">
                  <c:v>3</c:v>
                </c:pt>
                <c:pt idx="88">
                  <c:v>8</c:v>
                </c:pt>
                <c:pt idx="89">
                  <c:v>20</c:v>
                </c:pt>
                <c:pt idx="90">
                  <c:v>3</c:v>
                </c:pt>
                <c:pt idx="91">
                  <c:v>8</c:v>
                </c:pt>
                <c:pt idx="92">
                  <c:v>20</c:v>
                </c:pt>
                <c:pt idx="93">
                  <c:v>4</c:v>
                </c:pt>
                <c:pt idx="94">
                  <c:v>8</c:v>
                </c:pt>
                <c:pt idx="95">
                  <c:v>20</c:v>
                </c:pt>
                <c:pt idx="96">
                  <c:v>40</c:v>
                </c:pt>
                <c:pt idx="97">
                  <c:v>60</c:v>
                </c:pt>
                <c:pt idx="98">
                  <c:v>80</c:v>
                </c:pt>
                <c:pt idx="99">
                  <c:v>4</c:v>
                </c:pt>
                <c:pt idx="100">
                  <c:v>4</c:v>
                </c:pt>
                <c:pt idx="101">
                  <c:v>8</c:v>
                </c:pt>
                <c:pt idx="102">
                  <c:v>20</c:v>
                </c:pt>
                <c:pt idx="103">
                  <c:v>40</c:v>
                </c:pt>
                <c:pt idx="104">
                  <c:v>60</c:v>
                </c:pt>
                <c:pt idx="105">
                  <c:v>4</c:v>
                </c:pt>
                <c:pt idx="106">
                  <c:v>8</c:v>
                </c:pt>
                <c:pt idx="107">
                  <c:v>4</c:v>
                </c:pt>
                <c:pt idx="108">
                  <c:v>4</c:v>
                </c:pt>
                <c:pt idx="109">
                  <c:v>8</c:v>
                </c:pt>
                <c:pt idx="110">
                  <c:v>20</c:v>
                </c:pt>
                <c:pt idx="111">
                  <c:v>4</c:v>
                </c:pt>
                <c:pt idx="112">
                  <c:v>8</c:v>
                </c:pt>
                <c:pt idx="113">
                  <c:v>20</c:v>
                </c:pt>
                <c:pt idx="114">
                  <c:v>40</c:v>
                </c:pt>
                <c:pt idx="115">
                  <c:v>8</c:v>
                </c:pt>
                <c:pt idx="116">
                  <c:v>8</c:v>
                </c:pt>
                <c:pt idx="117">
                  <c:v>20</c:v>
                </c:pt>
                <c:pt idx="118">
                  <c:v>30</c:v>
                </c:pt>
                <c:pt idx="119">
                  <c:v>50</c:v>
                </c:pt>
                <c:pt idx="120">
                  <c:v>100</c:v>
                </c:pt>
                <c:pt idx="121">
                  <c:v>160</c:v>
                </c:pt>
                <c:pt idx="122">
                  <c:v>8</c:v>
                </c:pt>
                <c:pt idx="123">
                  <c:v>20</c:v>
                </c:pt>
                <c:pt idx="124">
                  <c:v>30</c:v>
                </c:pt>
                <c:pt idx="125">
                  <c:v>50</c:v>
                </c:pt>
                <c:pt idx="126">
                  <c:v>8</c:v>
                </c:pt>
                <c:pt idx="127">
                  <c:v>20</c:v>
                </c:pt>
                <c:pt idx="128">
                  <c:v>30</c:v>
                </c:pt>
                <c:pt idx="129">
                  <c:v>50</c:v>
                </c:pt>
                <c:pt idx="130">
                  <c:v>100</c:v>
                </c:pt>
                <c:pt idx="131">
                  <c:v>4</c:v>
                </c:pt>
                <c:pt idx="132">
                  <c:v>4</c:v>
                </c:pt>
                <c:pt idx="133">
                  <c:v>8</c:v>
                </c:pt>
                <c:pt idx="134">
                  <c:v>20</c:v>
                </c:pt>
                <c:pt idx="135">
                  <c:v>40</c:v>
                </c:pt>
                <c:pt idx="136">
                  <c:v>4</c:v>
                </c:pt>
                <c:pt idx="137">
                  <c:v>8</c:v>
                </c:pt>
                <c:pt idx="138">
                  <c:v>20</c:v>
                </c:pt>
                <c:pt idx="139">
                  <c:v>40</c:v>
                </c:pt>
                <c:pt idx="140">
                  <c:v>4</c:v>
                </c:pt>
                <c:pt idx="141">
                  <c:v>4</c:v>
                </c:pt>
                <c:pt idx="142">
                  <c:v>8</c:v>
                </c:pt>
                <c:pt idx="143">
                  <c:v>8</c:v>
                </c:pt>
                <c:pt idx="144">
                  <c:v>20</c:v>
                </c:pt>
                <c:pt idx="145">
                  <c:v>30</c:v>
                </c:pt>
                <c:pt idx="146">
                  <c:v>4</c:v>
                </c:pt>
                <c:pt idx="147">
                  <c:v>8</c:v>
                </c:pt>
                <c:pt idx="148">
                  <c:v>20</c:v>
                </c:pt>
                <c:pt idx="149">
                  <c:v>4</c:v>
                </c:pt>
                <c:pt idx="150">
                  <c:v>4</c:v>
                </c:pt>
                <c:pt idx="151">
                  <c:v>12</c:v>
                </c:pt>
                <c:pt idx="152">
                  <c:v>20</c:v>
                </c:pt>
                <c:pt idx="153">
                  <c:v>40</c:v>
                </c:pt>
                <c:pt idx="154">
                  <c:v>60</c:v>
                </c:pt>
                <c:pt idx="155">
                  <c:v>100</c:v>
                </c:pt>
                <c:pt idx="156">
                  <c:v>4</c:v>
                </c:pt>
                <c:pt idx="157">
                  <c:v>12</c:v>
                </c:pt>
                <c:pt idx="158">
                  <c:v>20</c:v>
                </c:pt>
              </c:numCache>
            </c:numRef>
          </c:xVal>
          <c:yVal>
            <c:numRef>
              <c:f>Backtesting!$JG$67:$JG$225</c:f>
              <c:numCache>
                <c:formatCode>_-* #,##0.0_-;\-* #,##0.0_-;_-* "-"??_-;_-@_-</c:formatCode>
                <c:ptCount val="159"/>
                <c:pt idx="0">
                  <c:v>69.318618911523259</c:v>
                </c:pt>
                <c:pt idx="1">
                  <c:v>107.88941027667983</c:v>
                </c:pt>
                <c:pt idx="2">
                  <c:v>20.009448707813924</c:v>
                </c:pt>
                <c:pt idx="3">
                  <c:v>25.6119068409851</c:v>
                </c:pt>
                <c:pt idx="4">
                  <c:v>44.346019337184551</c:v>
                </c:pt>
                <c:pt idx="5">
                  <c:v>19.730848282152632</c:v>
                </c:pt>
                <c:pt idx="6">
                  <c:v>26.811783764062021</c:v>
                </c:pt>
                <c:pt idx="7">
                  <c:v>18.946345758589239</c:v>
                </c:pt>
                <c:pt idx="8">
                  <c:v>26.767640012161749</c:v>
                </c:pt>
                <c:pt idx="9">
                  <c:v>40.517600243235023</c:v>
                </c:pt>
                <c:pt idx="10">
                  <c:v>59.511774764366059</c:v>
                </c:pt>
                <c:pt idx="11">
                  <c:v>82.205458680449993</c:v>
                </c:pt>
                <c:pt idx="12">
                  <c:v>19.672046457889937</c:v>
                </c:pt>
                <c:pt idx="13">
                  <c:v>27.468281909394953</c:v>
                </c:pt>
                <c:pt idx="14">
                  <c:v>42.908867619337187</c:v>
                </c:pt>
                <c:pt idx="15">
                  <c:v>61.499423776223779</c:v>
                </c:pt>
                <c:pt idx="16">
                  <c:v>19.054887686226817</c:v>
                </c:pt>
                <c:pt idx="17">
                  <c:v>24.929902341137119</c:v>
                </c:pt>
                <c:pt idx="18">
                  <c:v>39.323627363940403</c:v>
                </c:pt>
                <c:pt idx="19">
                  <c:v>17.49003441775616</c:v>
                </c:pt>
                <c:pt idx="20">
                  <c:v>23.485624323502588</c:v>
                </c:pt>
                <c:pt idx="21">
                  <c:v>40.190379811492861</c:v>
                </c:pt>
                <c:pt idx="22">
                  <c:v>17.815226512617816</c:v>
                </c:pt>
                <c:pt idx="23">
                  <c:v>25.066381757373062</c:v>
                </c:pt>
                <c:pt idx="24">
                  <c:v>40.397165825478872</c:v>
                </c:pt>
                <c:pt idx="25">
                  <c:v>19.022130495591366</c:v>
                </c:pt>
                <c:pt idx="26">
                  <c:v>25.387217756156883</c:v>
                </c:pt>
                <c:pt idx="27">
                  <c:v>17.082868713894804</c:v>
                </c:pt>
                <c:pt idx="28">
                  <c:v>24.054723502584363</c:v>
                </c:pt>
                <c:pt idx="29">
                  <c:v>39.055239160839157</c:v>
                </c:pt>
                <c:pt idx="30">
                  <c:v>22.19027935542718</c:v>
                </c:pt>
                <c:pt idx="31">
                  <c:v>36.953457707509884</c:v>
                </c:pt>
                <c:pt idx="32">
                  <c:v>48.994890605047111</c:v>
                </c:pt>
                <c:pt idx="33">
                  <c:v>78.306876740650651</c:v>
                </c:pt>
                <c:pt idx="34">
                  <c:v>22.972673761021586</c:v>
                </c:pt>
                <c:pt idx="35">
                  <c:v>37.058402918820313</c:v>
                </c:pt>
                <c:pt idx="36">
                  <c:v>45.393461356035267</c:v>
                </c:pt>
                <c:pt idx="37">
                  <c:v>69.99746646397081</c:v>
                </c:pt>
                <c:pt idx="38">
                  <c:v>23.50473821830343</c:v>
                </c:pt>
                <c:pt idx="39">
                  <c:v>37.212500334448158</c:v>
                </c:pt>
                <c:pt idx="40">
                  <c:v>41.866552508361195</c:v>
                </c:pt>
                <c:pt idx="41">
                  <c:v>63.615309698996647</c:v>
                </c:pt>
                <c:pt idx="42">
                  <c:v>118.500310611128</c:v>
                </c:pt>
                <c:pt idx="43">
                  <c:v>24.573953906962604</c:v>
                </c:pt>
                <c:pt idx="44">
                  <c:v>37.110605290361804</c:v>
                </c:pt>
                <c:pt idx="45">
                  <c:v>47.890415810276679</c:v>
                </c:pt>
                <c:pt idx="46">
                  <c:v>18.569740589844933</c:v>
                </c:pt>
                <c:pt idx="47">
                  <c:v>25.429040072970505</c:v>
                </c:pt>
                <c:pt idx="48">
                  <c:v>17.730661964122834</c:v>
                </c:pt>
                <c:pt idx="49">
                  <c:v>23.443848707813927</c:v>
                </c:pt>
                <c:pt idx="50">
                  <c:v>36.861438491942835</c:v>
                </c:pt>
                <c:pt idx="51">
                  <c:v>55.754455457585884</c:v>
                </c:pt>
                <c:pt idx="52">
                  <c:v>77.623219458802055</c:v>
                </c:pt>
                <c:pt idx="53">
                  <c:v>18.162558102766802</c:v>
                </c:pt>
                <c:pt idx="54">
                  <c:v>25.998846336272418</c:v>
                </c:pt>
                <c:pt idx="55">
                  <c:v>41.039352751596226</c:v>
                </c:pt>
                <c:pt idx="56">
                  <c:v>57.263651200972937</c:v>
                </c:pt>
                <c:pt idx="57">
                  <c:v>80.09238577075098</c:v>
                </c:pt>
                <c:pt idx="58">
                  <c:v>125.40573986013986</c:v>
                </c:pt>
                <c:pt idx="59">
                  <c:v>20.220383581635755</c:v>
                </c:pt>
                <c:pt idx="60">
                  <c:v>29.212562359379749</c:v>
                </c:pt>
                <c:pt idx="61">
                  <c:v>43.186218060200659</c:v>
                </c:pt>
                <c:pt idx="62">
                  <c:v>19.506276923076921</c:v>
                </c:pt>
                <c:pt idx="63">
                  <c:v>25.355454910307085</c:v>
                </c:pt>
                <c:pt idx="64">
                  <c:v>19.222718151413801</c:v>
                </c:pt>
                <c:pt idx="65">
                  <c:v>26.314208574034662</c:v>
                </c:pt>
                <c:pt idx="66">
                  <c:v>42.338397567649736</c:v>
                </c:pt>
                <c:pt idx="67">
                  <c:v>59.016362663423536</c:v>
                </c:pt>
                <c:pt idx="68">
                  <c:v>83.423387290969913</c:v>
                </c:pt>
                <c:pt idx="69">
                  <c:v>18.862208574034657</c:v>
                </c:pt>
                <c:pt idx="70">
                  <c:v>25.128435147461236</c:v>
                </c:pt>
                <c:pt idx="71">
                  <c:v>41.533547217999399</c:v>
                </c:pt>
                <c:pt idx="72">
                  <c:v>57.357794101550631</c:v>
                </c:pt>
                <c:pt idx="73">
                  <c:v>81.402100334448164</c:v>
                </c:pt>
                <c:pt idx="74">
                  <c:v>109.81424530252357</c:v>
                </c:pt>
                <c:pt idx="75">
                  <c:v>18.912447065977499</c:v>
                </c:pt>
                <c:pt idx="76">
                  <c:v>26.709691456369718</c:v>
                </c:pt>
                <c:pt idx="77">
                  <c:v>40.654796959562177</c:v>
                </c:pt>
                <c:pt idx="78">
                  <c:v>45.526023472179993</c:v>
                </c:pt>
                <c:pt idx="79">
                  <c:v>76.041502462754636</c:v>
                </c:pt>
                <c:pt idx="80">
                  <c:v>18.115088355123142</c:v>
                </c:pt>
                <c:pt idx="81">
                  <c:v>23.312285071450287</c:v>
                </c:pt>
                <c:pt idx="82">
                  <c:v>34.469990878686531</c:v>
                </c:pt>
                <c:pt idx="83">
                  <c:v>56.254159197324419</c:v>
                </c:pt>
                <c:pt idx="84">
                  <c:v>79.133284037701429</c:v>
                </c:pt>
                <c:pt idx="85">
                  <c:v>115.9472403770143</c:v>
                </c:pt>
                <c:pt idx="86">
                  <c:v>244.63164487686225</c:v>
                </c:pt>
                <c:pt idx="87">
                  <c:v>19.764375068409851</c:v>
                </c:pt>
                <c:pt idx="88">
                  <c:v>26.335124840377009</c:v>
                </c:pt>
                <c:pt idx="89">
                  <c:v>40.906184493767107</c:v>
                </c:pt>
                <c:pt idx="90">
                  <c:v>19.376209911827303</c:v>
                </c:pt>
                <c:pt idx="91">
                  <c:v>27.161959987838248</c:v>
                </c:pt>
                <c:pt idx="92">
                  <c:v>42.925571784736995</c:v>
                </c:pt>
                <c:pt idx="93">
                  <c:v>20.606947765278193</c:v>
                </c:pt>
                <c:pt idx="94">
                  <c:v>24.23271170568562</c:v>
                </c:pt>
                <c:pt idx="95">
                  <c:v>39.401901124961988</c:v>
                </c:pt>
                <c:pt idx="96">
                  <c:v>58.067244025539672</c:v>
                </c:pt>
                <c:pt idx="97">
                  <c:v>83.810205168744289</c:v>
                </c:pt>
                <c:pt idx="98">
                  <c:v>116.72520401337792</c:v>
                </c:pt>
                <c:pt idx="99">
                  <c:v>21.016983155974454</c:v>
                </c:pt>
                <c:pt idx="100">
                  <c:v>21.125759318941927</c:v>
                </c:pt>
                <c:pt idx="101">
                  <c:v>27.291882760717545</c:v>
                </c:pt>
                <c:pt idx="102">
                  <c:v>41.963661416844026</c:v>
                </c:pt>
                <c:pt idx="103">
                  <c:v>57.463937245363326</c:v>
                </c:pt>
                <c:pt idx="104">
                  <c:v>77.836461903314074</c:v>
                </c:pt>
                <c:pt idx="105">
                  <c:v>20.096787838248709</c:v>
                </c:pt>
                <c:pt idx="106">
                  <c:v>27.258635451505018</c:v>
                </c:pt>
                <c:pt idx="107">
                  <c:v>20.96840571602311</c:v>
                </c:pt>
                <c:pt idx="108">
                  <c:v>19.329129096989966</c:v>
                </c:pt>
                <c:pt idx="109">
                  <c:v>24.328928428093644</c:v>
                </c:pt>
                <c:pt idx="110">
                  <c:v>39.456376284584977</c:v>
                </c:pt>
                <c:pt idx="111">
                  <c:v>20.023645363332321</c:v>
                </c:pt>
                <c:pt idx="112">
                  <c:v>25.45458339920949</c:v>
                </c:pt>
                <c:pt idx="113">
                  <c:v>39.743730009121315</c:v>
                </c:pt>
                <c:pt idx="114">
                  <c:v>61.420572818485859</c:v>
                </c:pt>
                <c:pt idx="115">
                  <c:v>25.008818485861962</c:v>
                </c:pt>
                <c:pt idx="116">
                  <c:v>22.65982973548191</c:v>
                </c:pt>
                <c:pt idx="117">
                  <c:v>35.905405655214345</c:v>
                </c:pt>
                <c:pt idx="118">
                  <c:v>47.423181270903001</c:v>
                </c:pt>
                <c:pt idx="119">
                  <c:v>77.692655761629666</c:v>
                </c:pt>
                <c:pt idx="120">
                  <c:v>183.08447309212528</c:v>
                </c:pt>
                <c:pt idx="121">
                  <c:v>284.83741380358765</c:v>
                </c:pt>
                <c:pt idx="122">
                  <c:v>27.003392885375497</c:v>
                </c:pt>
                <c:pt idx="123">
                  <c:v>44.321005290361803</c:v>
                </c:pt>
                <c:pt idx="124">
                  <c:v>51.026175372453629</c:v>
                </c:pt>
                <c:pt idx="125">
                  <c:v>71.266594101550623</c:v>
                </c:pt>
                <c:pt idx="126">
                  <c:v>25.213057950744904</c:v>
                </c:pt>
                <c:pt idx="127">
                  <c:v>38.341626147765275</c:v>
                </c:pt>
                <c:pt idx="128">
                  <c:v>50.094358163575549</c:v>
                </c:pt>
                <c:pt idx="129">
                  <c:v>75.733957798723026</c:v>
                </c:pt>
                <c:pt idx="130">
                  <c:v>137.55484439039225</c:v>
                </c:pt>
                <c:pt idx="131">
                  <c:v>20.659761872909698</c:v>
                </c:pt>
                <c:pt idx="132">
                  <c:v>22.177022316813623</c:v>
                </c:pt>
                <c:pt idx="133">
                  <c:v>28.696273517786555</c:v>
                </c:pt>
                <c:pt idx="134">
                  <c:v>41.97672252964427</c:v>
                </c:pt>
                <c:pt idx="135">
                  <c:v>59.808873700212828</c:v>
                </c:pt>
                <c:pt idx="136">
                  <c:v>20.069480449984798</c:v>
                </c:pt>
                <c:pt idx="137">
                  <c:v>27.295176771055036</c:v>
                </c:pt>
                <c:pt idx="138">
                  <c:v>43.788940346609913</c:v>
                </c:pt>
                <c:pt idx="139">
                  <c:v>60.656023107327449</c:v>
                </c:pt>
                <c:pt idx="140">
                  <c:v>20.922155062328976</c:v>
                </c:pt>
                <c:pt idx="141">
                  <c:v>22.050697598054121</c:v>
                </c:pt>
                <c:pt idx="142">
                  <c:v>25.902576588628762</c:v>
                </c:pt>
                <c:pt idx="143">
                  <c:v>25.590152994831257</c:v>
                </c:pt>
                <c:pt idx="144">
                  <c:v>41.047026208574025</c:v>
                </c:pt>
                <c:pt idx="145">
                  <c:v>49.471698145332923</c:v>
                </c:pt>
                <c:pt idx="146">
                  <c:v>21.741040681058067</c:v>
                </c:pt>
                <c:pt idx="147">
                  <c:v>27.045895287321372</c:v>
                </c:pt>
                <c:pt idx="148">
                  <c:v>41.813564487686222</c:v>
                </c:pt>
                <c:pt idx="149">
                  <c:v>19.348700760109455</c:v>
                </c:pt>
                <c:pt idx="150">
                  <c:v>19.409982487078139</c:v>
                </c:pt>
                <c:pt idx="151">
                  <c:v>30.887849079219787</c:v>
                </c:pt>
                <c:pt idx="152">
                  <c:v>40.719506810504527</c:v>
                </c:pt>
                <c:pt idx="153">
                  <c:v>56.400732701318518</c:v>
                </c:pt>
                <c:pt idx="154">
                  <c:v>87.731429334205075</c:v>
                </c:pt>
                <c:pt idx="155">
                  <c:v>169.14758330609132</c:v>
                </c:pt>
                <c:pt idx="156">
                  <c:v>19.52442312302496</c:v>
                </c:pt>
                <c:pt idx="157">
                  <c:v>31.154789255748071</c:v>
                </c:pt>
                <c:pt idx="158">
                  <c:v>40.570238531110391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00-4C6B-8CFA-256310E13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5759166666666664"/>
                  <c:y val="-3.2320486111111109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Backtesting!$JH$67:$JH$225</c:f>
              <c:numCache>
                <c:formatCode>_-* #,##0.0_-;\-* #,##0.0_-;_-* "-"??_-;_-@_-</c:formatCode>
                <c:ptCount val="159"/>
                <c:pt idx="0">
                  <c:v>50</c:v>
                </c:pt>
                <c:pt idx="1">
                  <c:v>80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3</c:v>
                </c:pt>
                <c:pt idx="17">
                  <c:v>8</c:v>
                </c:pt>
                <c:pt idx="18">
                  <c:v>20</c:v>
                </c:pt>
                <c:pt idx="19">
                  <c:v>3</c:v>
                </c:pt>
                <c:pt idx="20">
                  <c:v>8</c:v>
                </c:pt>
                <c:pt idx="21">
                  <c:v>20</c:v>
                </c:pt>
                <c:pt idx="22">
                  <c:v>3</c:v>
                </c:pt>
                <c:pt idx="23">
                  <c:v>8</c:v>
                </c:pt>
                <c:pt idx="24">
                  <c:v>20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8</c:v>
                </c:pt>
                <c:pt idx="35">
                  <c:v>20</c:v>
                </c:pt>
                <c:pt idx="36">
                  <c:v>30</c:v>
                </c:pt>
                <c:pt idx="37">
                  <c:v>50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50</c:v>
                </c:pt>
                <c:pt idx="42">
                  <c:v>80</c:v>
                </c:pt>
                <c:pt idx="43">
                  <c:v>8</c:v>
                </c:pt>
                <c:pt idx="44">
                  <c:v>20</c:v>
                </c:pt>
                <c:pt idx="45">
                  <c:v>30</c:v>
                </c:pt>
                <c:pt idx="46">
                  <c:v>3</c:v>
                </c:pt>
                <c:pt idx="47">
                  <c:v>8</c:v>
                </c:pt>
                <c:pt idx="48">
                  <c:v>3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  <c:pt idx="53">
                  <c:v>3</c:v>
                </c:pt>
                <c:pt idx="54">
                  <c:v>8</c:v>
                </c:pt>
                <c:pt idx="55">
                  <c:v>20</c:v>
                </c:pt>
                <c:pt idx="56">
                  <c:v>40</c:v>
                </c:pt>
                <c:pt idx="57">
                  <c:v>60</c:v>
                </c:pt>
                <c:pt idx="58">
                  <c:v>80</c:v>
                </c:pt>
                <c:pt idx="59">
                  <c:v>3</c:v>
                </c:pt>
                <c:pt idx="60">
                  <c:v>8</c:v>
                </c:pt>
                <c:pt idx="61">
                  <c:v>20</c:v>
                </c:pt>
                <c:pt idx="62">
                  <c:v>3</c:v>
                </c:pt>
                <c:pt idx="63">
                  <c:v>8</c:v>
                </c:pt>
                <c:pt idx="64">
                  <c:v>3</c:v>
                </c:pt>
                <c:pt idx="65">
                  <c:v>8</c:v>
                </c:pt>
                <c:pt idx="66">
                  <c:v>20</c:v>
                </c:pt>
                <c:pt idx="67">
                  <c:v>40</c:v>
                </c:pt>
                <c:pt idx="68">
                  <c:v>60</c:v>
                </c:pt>
                <c:pt idx="69">
                  <c:v>3</c:v>
                </c:pt>
                <c:pt idx="70">
                  <c:v>8</c:v>
                </c:pt>
                <c:pt idx="71">
                  <c:v>20</c:v>
                </c:pt>
                <c:pt idx="72">
                  <c:v>40</c:v>
                </c:pt>
                <c:pt idx="73">
                  <c:v>60</c:v>
                </c:pt>
                <c:pt idx="74">
                  <c:v>80</c:v>
                </c:pt>
                <c:pt idx="75">
                  <c:v>3</c:v>
                </c:pt>
                <c:pt idx="76">
                  <c:v>8</c:v>
                </c:pt>
                <c:pt idx="77">
                  <c:v>20</c:v>
                </c:pt>
                <c:pt idx="78">
                  <c:v>30</c:v>
                </c:pt>
                <c:pt idx="79">
                  <c:v>60</c:v>
                </c:pt>
                <c:pt idx="80">
                  <c:v>3</c:v>
                </c:pt>
                <c:pt idx="81">
                  <c:v>8</c:v>
                </c:pt>
                <c:pt idx="82">
                  <c:v>20</c:v>
                </c:pt>
                <c:pt idx="83">
                  <c:v>40</c:v>
                </c:pt>
                <c:pt idx="84">
                  <c:v>60</c:v>
                </c:pt>
                <c:pt idx="85">
                  <c:v>80</c:v>
                </c:pt>
                <c:pt idx="86">
                  <c:v>120</c:v>
                </c:pt>
                <c:pt idx="87">
                  <c:v>3</c:v>
                </c:pt>
                <c:pt idx="88">
                  <c:v>8</c:v>
                </c:pt>
                <c:pt idx="89">
                  <c:v>20</c:v>
                </c:pt>
                <c:pt idx="90">
                  <c:v>3</c:v>
                </c:pt>
                <c:pt idx="91">
                  <c:v>8</c:v>
                </c:pt>
                <c:pt idx="92">
                  <c:v>20</c:v>
                </c:pt>
                <c:pt idx="93">
                  <c:v>4</c:v>
                </c:pt>
                <c:pt idx="94">
                  <c:v>8</c:v>
                </c:pt>
                <c:pt idx="95">
                  <c:v>20</c:v>
                </c:pt>
                <c:pt idx="96">
                  <c:v>40</c:v>
                </c:pt>
                <c:pt idx="97">
                  <c:v>60</c:v>
                </c:pt>
                <c:pt idx="98">
                  <c:v>80</c:v>
                </c:pt>
                <c:pt idx="99">
                  <c:v>4</c:v>
                </c:pt>
                <c:pt idx="100">
                  <c:v>4</c:v>
                </c:pt>
                <c:pt idx="101">
                  <c:v>8</c:v>
                </c:pt>
                <c:pt idx="102">
                  <c:v>20</c:v>
                </c:pt>
                <c:pt idx="103">
                  <c:v>40</c:v>
                </c:pt>
                <c:pt idx="104">
                  <c:v>60</c:v>
                </c:pt>
                <c:pt idx="105">
                  <c:v>4</c:v>
                </c:pt>
                <c:pt idx="106">
                  <c:v>8</c:v>
                </c:pt>
                <c:pt idx="107">
                  <c:v>4</c:v>
                </c:pt>
                <c:pt idx="108">
                  <c:v>4</c:v>
                </c:pt>
                <c:pt idx="109">
                  <c:v>8</c:v>
                </c:pt>
                <c:pt idx="110">
                  <c:v>20</c:v>
                </c:pt>
                <c:pt idx="111">
                  <c:v>4</c:v>
                </c:pt>
                <c:pt idx="112">
                  <c:v>8</c:v>
                </c:pt>
                <c:pt idx="113">
                  <c:v>20</c:v>
                </c:pt>
                <c:pt idx="114">
                  <c:v>40</c:v>
                </c:pt>
                <c:pt idx="115">
                  <c:v>8</c:v>
                </c:pt>
                <c:pt idx="116">
                  <c:v>8</c:v>
                </c:pt>
                <c:pt idx="117">
                  <c:v>20</c:v>
                </c:pt>
                <c:pt idx="118">
                  <c:v>30</c:v>
                </c:pt>
                <c:pt idx="119">
                  <c:v>50</c:v>
                </c:pt>
                <c:pt idx="120">
                  <c:v>100</c:v>
                </c:pt>
                <c:pt idx="121">
                  <c:v>160</c:v>
                </c:pt>
                <c:pt idx="122">
                  <c:v>8</c:v>
                </c:pt>
                <c:pt idx="123">
                  <c:v>20</c:v>
                </c:pt>
                <c:pt idx="124">
                  <c:v>30</c:v>
                </c:pt>
                <c:pt idx="125">
                  <c:v>50</c:v>
                </c:pt>
                <c:pt idx="126">
                  <c:v>8</c:v>
                </c:pt>
                <c:pt idx="127">
                  <c:v>20</c:v>
                </c:pt>
                <c:pt idx="128">
                  <c:v>30</c:v>
                </c:pt>
                <c:pt idx="129">
                  <c:v>50</c:v>
                </c:pt>
                <c:pt idx="130">
                  <c:v>100</c:v>
                </c:pt>
                <c:pt idx="131">
                  <c:v>4</c:v>
                </c:pt>
                <c:pt idx="132">
                  <c:v>4</c:v>
                </c:pt>
                <c:pt idx="133">
                  <c:v>8</c:v>
                </c:pt>
                <c:pt idx="134">
                  <c:v>20</c:v>
                </c:pt>
                <c:pt idx="135">
                  <c:v>40</c:v>
                </c:pt>
                <c:pt idx="136">
                  <c:v>4</c:v>
                </c:pt>
                <c:pt idx="137">
                  <c:v>8</c:v>
                </c:pt>
                <c:pt idx="138">
                  <c:v>20</c:v>
                </c:pt>
                <c:pt idx="139">
                  <c:v>40</c:v>
                </c:pt>
                <c:pt idx="140">
                  <c:v>4</c:v>
                </c:pt>
                <c:pt idx="141">
                  <c:v>4</c:v>
                </c:pt>
                <c:pt idx="142">
                  <c:v>8</c:v>
                </c:pt>
                <c:pt idx="143">
                  <c:v>8</c:v>
                </c:pt>
                <c:pt idx="144">
                  <c:v>20</c:v>
                </c:pt>
                <c:pt idx="145">
                  <c:v>30</c:v>
                </c:pt>
                <c:pt idx="146">
                  <c:v>4</c:v>
                </c:pt>
                <c:pt idx="147">
                  <c:v>8</c:v>
                </c:pt>
                <c:pt idx="148">
                  <c:v>20</c:v>
                </c:pt>
                <c:pt idx="149">
                  <c:v>4</c:v>
                </c:pt>
                <c:pt idx="150">
                  <c:v>4</c:v>
                </c:pt>
                <c:pt idx="151">
                  <c:v>12</c:v>
                </c:pt>
                <c:pt idx="152">
                  <c:v>20</c:v>
                </c:pt>
                <c:pt idx="153">
                  <c:v>40</c:v>
                </c:pt>
                <c:pt idx="154">
                  <c:v>60</c:v>
                </c:pt>
                <c:pt idx="155">
                  <c:v>100</c:v>
                </c:pt>
                <c:pt idx="156">
                  <c:v>4</c:v>
                </c:pt>
                <c:pt idx="157">
                  <c:v>12</c:v>
                </c:pt>
                <c:pt idx="158">
                  <c:v>20</c:v>
                </c:pt>
              </c:numCache>
            </c:numRef>
          </c:xVal>
          <c:yVal>
            <c:numRef>
              <c:f>Backtesting!$JG$67:$JG$225</c:f>
              <c:numCache>
                <c:formatCode>_-* #,##0.0_-;\-* #,##0.0_-;_-* "-"??_-;_-@_-</c:formatCode>
                <c:ptCount val="159"/>
                <c:pt idx="0">
                  <c:v>69.318618911523259</c:v>
                </c:pt>
                <c:pt idx="1">
                  <c:v>107.88941027667983</c:v>
                </c:pt>
                <c:pt idx="2">
                  <c:v>20.009448707813924</c:v>
                </c:pt>
                <c:pt idx="3">
                  <c:v>25.6119068409851</c:v>
                </c:pt>
                <c:pt idx="4">
                  <c:v>44.346019337184551</c:v>
                </c:pt>
                <c:pt idx="5">
                  <c:v>19.730848282152632</c:v>
                </c:pt>
                <c:pt idx="6">
                  <c:v>26.811783764062021</c:v>
                </c:pt>
                <c:pt idx="7">
                  <c:v>18.946345758589239</c:v>
                </c:pt>
                <c:pt idx="8">
                  <c:v>26.767640012161749</c:v>
                </c:pt>
                <c:pt idx="9">
                  <c:v>40.517600243235023</c:v>
                </c:pt>
                <c:pt idx="10">
                  <c:v>59.511774764366059</c:v>
                </c:pt>
                <c:pt idx="11">
                  <c:v>82.205458680449993</c:v>
                </c:pt>
                <c:pt idx="12">
                  <c:v>19.672046457889937</c:v>
                </c:pt>
                <c:pt idx="13">
                  <c:v>27.468281909394953</c:v>
                </c:pt>
                <c:pt idx="14">
                  <c:v>42.908867619337187</c:v>
                </c:pt>
                <c:pt idx="15">
                  <c:v>61.499423776223779</c:v>
                </c:pt>
                <c:pt idx="16">
                  <c:v>19.054887686226817</c:v>
                </c:pt>
                <c:pt idx="17">
                  <c:v>24.929902341137119</c:v>
                </c:pt>
                <c:pt idx="18">
                  <c:v>39.323627363940403</c:v>
                </c:pt>
                <c:pt idx="19">
                  <c:v>17.49003441775616</c:v>
                </c:pt>
                <c:pt idx="20">
                  <c:v>23.485624323502588</c:v>
                </c:pt>
                <c:pt idx="21">
                  <c:v>40.190379811492861</c:v>
                </c:pt>
                <c:pt idx="22">
                  <c:v>17.815226512617816</c:v>
                </c:pt>
                <c:pt idx="23">
                  <c:v>25.066381757373062</c:v>
                </c:pt>
                <c:pt idx="24">
                  <c:v>40.397165825478872</c:v>
                </c:pt>
                <c:pt idx="25">
                  <c:v>19.022130495591366</c:v>
                </c:pt>
                <c:pt idx="26">
                  <c:v>25.387217756156883</c:v>
                </c:pt>
                <c:pt idx="27">
                  <c:v>17.082868713894804</c:v>
                </c:pt>
                <c:pt idx="28">
                  <c:v>24.054723502584363</c:v>
                </c:pt>
                <c:pt idx="29">
                  <c:v>39.055239160839157</c:v>
                </c:pt>
                <c:pt idx="30">
                  <c:v>22.19027935542718</c:v>
                </c:pt>
                <c:pt idx="31">
                  <c:v>36.953457707509884</c:v>
                </c:pt>
                <c:pt idx="32">
                  <c:v>48.994890605047111</c:v>
                </c:pt>
                <c:pt idx="33">
                  <c:v>78.306876740650651</c:v>
                </c:pt>
                <c:pt idx="34">
                  <c:v>22.972673761021586</c:v>
                </c:pt>
                <c:pt idx="35">
                  <c:v>37.058402918820313</c:v>
                </c:pt>
                <c:pt idx="36">
                  <c:v>45.393461356035267</c:v>
                </c:pt>
                <c:pt idx="37">
                  <c:v>69.99746646397081</c:v>
                </c:pt>
                <c:pt idx="38">
                  <c:v>23.50473821830343</c:v>
                </c:pt>
                <c:pt idx="39">
                  <c:v>37.212500334448158</c:v>
                </c:pt>
                <c:pt idx="40">
                  <c:v>41.866552508361195</c:v>
                </c:pt>
                <c:pt idx="41">
                  <c:v>63.615309698996647</c:v>
                </c:pt>
                <c:pt idx="42">
                  <c:v>118.500310611128</c:v>
                </c:pt>
                <c:pt idx="43">
                  <c:v>24.573953906962604</c:v>
                </c:pt>
                <c:pt idx="44">
                  <c:v>37.110605290361804</c:v>
                </c:pt>
                <c:pt idx="45">
                  <c:v>47.890415810276679</c:v>
                </c:pt>
                <c:pt idx="46">
                  <c:v>18.569740589844933</c:v>
                </c:pt>
                <c:pt idx="47">
                  <c:v>25.429040072970505</c:v>
                </c:pt>
                <c:pt idx="48">
                  <c:v>17.730661964122834</c:v>
                </c:pt>
                <c:pt idx="49">
                  <c:v>23.443848707813927</c:v>
                </c:pt>
                <c:pt idx="50">
                  <c:v>36.861438491942835</c:v>
                </c:pt>
                <c:pt idx="51">
                  <c:v>55.754455457585884</c:v>
                </c:pt>
                <c:pt idx="52">
                  <c:v>77.623219458802055</c:v>
                </c:pt>
                <c:pt idx="53">
                  <c:v>18.162558102766802</c:v>
                </c:pt>
                <c:pt idx="54">
                  <c:v>25.998846336272418</c:v>
                </c:pt>
                <c:pt idx="55">
                  <c:v>41.039352751596226</c:v>
                </c:pt>
                <c:pt idx="56">
                  <c:v>57.263651200972937</c:v>
                </c:pt>
                <c:pt idx="57">
                  <c:v>80.09238577075098</c:v>
                </c:pt>
                <c:pt idx="58">
                  <c:v>125.40573986013986</c:v>
                </c:pt>
                <c:pt idx="59">
                  <c:v>20.220383581635755</c:v>
                </c:pt>
                <c:pt idx="60">
                  <c:v>29.212562359379749</c:v>
                </c:pt>
                <c:pt idx="61">
                  <c:v>43.186218060200659</c:v>
                </c:pt>
                <c:pt idx="62">
                  <c:v>19.506276923076921</c:v>
                </c:pt>
                <c:pt idx="63">
                  <c:v>25.355454910307085</c:v>
                </c:pt>
                <c:pt idx="64">
                  <c:v>19.222718151413801</c:v>
                </c:pt>
                <c:pt idx="65">
                  <c:v>26.314208574034662</c:v>
                </c:pt>
                <c:pt idx="66">
                  <c:v>42.338397567649736</c:v>
                </c:pt>
                <c:pt idx="67">
                  <c:v>59.016362663423536</c:v>
                </c:pt>
                <c:pt idx="68">
                  <c:v>83.423387290969913</c:v>
                </c:pt>
                <c:pt idx="69">
                  <c:v>18.862208574034657</c:v>
                </c:pt>
                <c:pt idx="70">
                  <c:v>25.128435147461236</c:v>
                </c:pt>
                <c:pt idx="71">
                  <c:v>41.533547217999399</c:v>
                </c:pt>
                <c:pt idx="72">
                  <c:v>57.357794101550631</c:v>
                </c:pt>
                <c:pt idx="73">
                  <c:v>81.402100334448164</c:v>
                </c:pt>
                <c:pt idx="74">
                  <c:v>109.81424530252357</c:v>
                </c:pt>
                <c:pt idx="75">
                  <c:v>18.912447065977499</c:v>
                </c:pt>
                <c:pt idx="76">
                  <c:v>26.709691456369718</c:v>
                </c:pt>
                <c:pt idx="77">
                  <c:v>40.654796959562177</c:v>
                </c:pt>
                <c:pt idx="78">
                  <c:v>45.526023472179993</c:v>
                </c:pt>
                <c:pt idx="79">
                  <c:v>76.041502462754636</c:v>
                </c:pt>
                <c:pt idx="80">
                  <c:v>18.115088355123142</c:v>
                </c:pt>
                <c:pt idx="81">
                  <c:v>23.312285071450287</c:v>
                </c:pt>
                <c:pt idx="82">
                  <c:v>34.469990878686531</c:v>
                </c:pt>
                <c:pt idx="83">
                  <c:v>56.254159197324419</c:v>
                </c:pt>
                <c:pt idx="84">
                  <c:v>79.133284037701429</c:v>
                </c:pt>
                <c:pt idx="85">
                  <c:v>115.9472403770143</c:v>
                </c:pt>
                <c:pt idx="86">
                  <c:v>244.63164487686225</c:v>
                </c:pt>
                <c:pt idx="87">
                  <c:v>19.764375068409851</c:v>
                </c:pt>
                <c:pt idx="88">
                  <c:v>26.335124840377009</c:v>
                </c:pt>
                <c:pt idx="89">
                  <c:v>40.906184493767107</c:v>
                </c:pt>
                <c:pt idx="90">
                  <c:v>19.376209911827303</c:v>
                </c:pt>
                <c:pt idx="91">
                  <c:v>27.161959987838248</c:v>
                </c:pt>
                <c:pt idx="92">
                  <c:v>42.925571784736995</c:v>
                </c:pt>
                <c:pt idx="93">
                  <c:v>20.606947765278193</c:v>
                </c:pt>
                <c:pt idx="94">
                  <c:v>24.23271170568562</c:v>
                </c:pt>
                <c:pt idx="95">
                  <c:v>39.401901124961988</c:v>
                </c:pt>
                <c:pt idx="96">
                  <c:v>58.067244025539672</c:v>
                </c:pt>
                <c:pt idx="97">
                  <c:v>83.810205168744289</c:v>
                </c:pt>
                <c:pt idx="98">
                  <c:v>116.72520401337792</c:v>
                </c:pt>
                <c:pt idx="99">
                  <c:v>21.016983155974454</c:v>
                </c:pt>
                <c:pt idx="100">
                  <c:v>21.125759318941927</c:v>
                </c:pt>
                <c:pt idx="101">
                  <c:v>27.291882760717545</c:v>
                </c:pt>
                <c:pt idx="102">
                  <c:v>41.963661416844026</c:v>
                </c:pt>
                <c:pt idx="103">
                  <c:v>57.463937245363326</c:v>
                </c:pt>
                <c:pt idx="104">
                  <c:v>77.836461903314074</c:v>
                </c:pt>
                <c:pt idx="105">
                  <c:v>20.096787838248709</c:v>
                </c:pt>
                <c:pt idx="106">
                  <c:v>27.258635451505018</c:v>
                </c:pt>
                <c:pt idx="107">
                  <c:v>20.96840571602311</c:v>
                </c:pt>
                <c:pt idx="108">
                  <c:v>19.329129096989966</c:v>
                </c:pt>
                <c:pt idx="109">
                  <c:v>24.328928428093644</c:v>
                </c:pt>
                <c:pt idx="110">
                  <c:v>39.456376284584977</c:v>
                </c:pt>
                <c:pt idx="111">
                  <c:v>20.023645363332321</c:v>
                </c:pt>
                <c:pt idx="112">
                  <c:v>25.45458339920949</c:v>
                </c:pt>
                <c:pt idx="113">
                  <c:v>39.743730009121315</c:v>
                </c:pt>
                <c:pt idx="114">
                  <c:v>61.420572818485859</c:v>
                </c:pt>
                <c:pt idx="115">
                  <c:v>25.008818485861962</c:v>
                </c:pt>
                <c:pt idx="116">
                  <c:v>22.65982973548191</c:v>
                </c:pt>
                <c:pt idx="117">
                  <c:v>35.905405655214345</c:v>
                </c:pt>
                <c:pt idx="118">
                  <c:v>47.423181270903001</c:v>
                </c:pt>
                <c:pt idx="119">
                  <c:v>77.692655761629666</c:v>
                </c:pt>
                <c:pt idx="120">
                  <c:v>183.08447309212528</c:v>
                </c:pt>
                <c:pt idx="121">
                  <c:v>284.83741380358765</c:v>
                </c:pt>
                <c:pt idx="122">
                  <c:v>27.003392885375497</c:v>
                </c:pt>
                <c:pt idx="123">
                  <c:v>44.321005290361803</c:v>
                </c:pt>
                <c:pt idx="124">
                  <c:v>51.026175372453629</c:v>
                </c:pt>
                <c:pt idx="125">
                  <c:v>71.266594101550623</c:v>
                </c:pt>
                <c:pt idx="126">
                  <c:v>25.213057950744904</c:v>
                </c:pt>
                <c:pt idx="127">
                  <c:v>38.341626147765275</c:v>
                </c:pt>
                <c:pt idx="128">
                  <c:v>50.094358163575549</c:v>
                </c:pt>
                <c:pt idx="129">
                  <c:v>75.733957798723026</c:v>
                </c:pt>
                <c:pt idx="130">
                  <c:v>137.55484439039225</c:v>
                </c:pt>
                <c:pt idx="131">
                  <c:v>20.659761872909698</c:v>
                </c:pt>
                <c:pt idx="132">
                  <c:v>22.177022316813623</c:v>
                </c:pt>
                <c:pt idx="133">
                  <c:v>28.696273517786555</c:v>
                </c:pt>
                <c:pt idx="134">
                  <c:v>41.97672252964427</c:v>
                </c:pt>
                <c:pt idx="135">
                  <c:v>59.808873700212828</c:v>
                </c:pt>
                <c:pt idx="136">
                  <c:v>20.069480449984798</c:v>
                </c:pt>
                <c:pt idx="137">
                  <c:v>27.295176771055036</c:v>
                </c:pt>
                <c:pt idx="138">
                  <c:v>43.788940346609913</c:v>
                </c:pt>
                <c:pt idx="139">
                  <c:v>60.656023107327449</c:v>
                </c:pt>
                <c:pt idx="140">
                  <c:v>20.922155062328976</c:v>
                </c:pt>
                <c:pt idx="141">
                  <c:v>22.050697598054121</c:v>
                </c:pt>
                <c:pt idx="142">
                  <c:v>25.902576588628762</c:v>
                </c:pt>
                <c:pt idx="143">
                  <c:v>25.590152994831257</c:v>
                </c:pt>
                <c:pt idx="144">
                  <c:v>41.047026208574025</c:v>
                </c:pt>
                <c:pt idx="145">
                  <c:v>49.471698145332923</c:v>
                </c:pt>
                <c:pt idx="146">
                  <c:v>21.741040681058067</c:v>
                </c:pt>
                <c:pt idx="147">
                  <c:v>27.045895287321372</c:v>
                </c:pt>
                <c:pt idx="148">
                  <c:v>41.813564487686222</c:v>
                </c:pt>
                <c:pt idx="149">
                  <c:v>19.348700760109455</c:v>
                </c:pt>
                <c:pt idx="150">
                  <c:v>19.409982487078139</c:v>
                </c:pt>
                <c:pt idx="151">
                  <c:v>30.887849079219787</c:v>
                </c:pt>
                <c:pt idx="152">
                  <c:v>40.719506810504527</c:v>
                </c:pt>
                <c:pt idx="153">
                  <c:v>56.400732701318518</c:v>
                </c:pt>
                <c:pt idx="154">
                  <c:v>87.731429334205075</c:v>
                </c:pt>
                <c:pt idx="155">
                  <c:v>169.14758330609132</c:v>
                </c:pt>
                <c:pt idx="156">
                  <c:v>19.52442312302496</c:v>
                </c:pt>
                <c:pt idx="157">
                  <c:v>31.154789255748071</c:v>
                </c:pt>
                <c:pt idx="158">
                  <c:v>40.570238531110391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52-482A-88D1-896E98193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Jackpot ($m)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Entries (m's)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1233803418803419"/>
                  <c:y val="-5.2590972222222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Backtesting!$IL$67:$IL$119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100</c:v>
                </c:pt>
                <c:pt idx="16">
                  <c:v>160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100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</c:numCache>
            </c:numRef>
          </c:xVal>
          <c:yVal>
            <c:numRef>
              <c:f>Backtesting!$IK$67:$IK$119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183.08447309212528</c:v>
                </c:pt>
                <c:pt idx="16">
                  <c:v>284.83741380358765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137.55484439039225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03-407E-BBEB-5EF56DA9A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187264957264955"/>
                  <c:y val="-6.6421180555555556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Backtesting!$JQ$69:$JQ$244</c:f>
              <c:numCache>
                <c:formatCode>_-* #,##0.0_-;\-* #,##0.0_-;_-* "-"??_-;_-@_-</c:formatCode>
                <c:ptCount val="176"/>
                <c:pt idx="0">
                  <c:v>50</c:v>
                </c:pt>
                <c:pt idx="1">
                  <c:v>80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3</c:v>
                </c:pt>
                <c:pt idx="17">
                  <c:v>8</c:v>
                </c:pt>
                <c:pt idx="18">
                  <c:v>20</c:v>
                </c:pt>
                <c:pt idx="19">
                  <c:v>3</c:v>
                </c:pt>
                <c:pt idx="20">
                  <c:v>8</c:v>
                </c:pt>
                <c:pt idx="21">
                  <c:v>20</c:v>
                </c:pt>
                <c:pt idx="22">
                  <c:v>3</c:v>
                </c:pt>
                <c:pt idx="23">
                  <c:v>8</c:v>
                </c:pt>
                <c:pt idx="24">
                  <c:v>20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8</c:v>
                </c:pt>
                <c:pt idx="35">
                  <c:v>20</c:v>
                </c:pt>
                <c:pt idx="36">
                  <c:v>30</c:v>
                </c:pt>
                <c:pt idx="37">
                  <c:v>50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50</c:v>
                </c:pt>
                <c:pt idx="42">
                  <c:v>80</c:v>
                </c:pt>
                <c:pt idx="43">
                  <c:v>8</c:v>
                </c:pt>
                <c:pt idx="44">
                  <c:v>20</c:v>
                </c:pt>
                <c:pt idx="45">
                  <c:v>30</c:v>
                </c:pt>
                <c:pt idx="46">
                  <c:v>3</c:v>
                </c:pt>
                <c:pt idx="47">
                  <c:v>8</c:v>
                </c:pt>
                <c:pt idx="48">
                  <c:v>3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  <c:pt idx="53">
                  <c:v>3</c:v>
                </c:pt>
                <c:pt idx="54">
                  <c:v>8</c:v>
                </c:pt>
                <c:pt idx="55">
                  <c:v>20</c:v>
                </c:pt>
                <c:pt idx="56">
                  <c:v>40</c:v>
                </c:pt>
                <c:pt idx="57">
                  <c:v>60</c:v>
                </c:pt>
                <c:pt idx="58">
                  <c:v>80</c:v>
                </c:pt>
                <c:pt idx="59">
                  <c:v>3</c:v>
                </c:pt>
                <c:pt idx="60">
                  <c:v>8</c:v>
                </c:pt>
                <c:pt idx="61">
                  <c:v>20</c:v>
                </c:pt>
                <c:pt idx="62">
                  <c:v>3</c:v>
                </c:pt>
                <c:pt idx="63">
                  <c:v>8</c:v>
                </c:pt>
                <c:pt idx="64">
                  <c:v>3</c:v>
                </c:pt>
                <c:pt idx="65">
                  <c:v>8</c:v>
                </c:pt>
                <c:pt idx="66">
                  <c:v>20</c:v>
                </c:pt>
                <c:pt idx="67">
                  <c:v>40</c:v>
                </c:pt>
                <c:pt idx="68">
                  <c:v>60</c:v>
                </c:pt>
                <c:pt idx="69">
                  <c:v>3</c:v>
                </c:pt>
                <c:pt idx="70">
                  <c:v>8</c:v>
                </c:pt>
                <c:pt idx="71">
                  <c:v>20</c:v>
                </c:pt>
                <c:pt idx="72">
                  <c:v>40</c:v>
                </c:pt>
                <c:pt idx="73">
                  <c:v>60</c:v>
                </c:pt>
                <c:pt idx="74">
                  <c:v>80</c:v>
                </c:pt>
                <c:pt idx="75">
                  <c:v>3</c:v>
                </c:pt>
                <c:pt idx="76">
                  <c:v>8</c:v>
                </c:pt>
                <c:pt idx="77">
                  <c:v>20</c:v>
                </c:pt>
                <c:pt idx="78">
                  <c:v>30</c:v>
                </c:pt>
                <c:pt idx="79">
                  <c:v>60</c:v>
                </c:pt>
                <c:pt idx="80">
                  <c:v>3</c:v>
                </c:pt>
                <c:pt idx="81">
                  <c:v>8</c:v>
                </c:pt>
                <c:pt idx="82">
                  <c:v>20</c:v>
                </c:pt>
                <c:pt idx="83">
                  <c:v>40</c:v>
                </c:pt>
                <c:pt idx="84">
                  <c:v>60</c:v>
                </c:pt>
                <c:pt idx="85">
                  <c:v>80</c:v>
                </c:pt>
                <c:pt idx="86">
                  <c:v>#N/A</c:v>
                </c:pt>
                <c:pt idx="87">
                  <c:v>3</c:v>
                </c:pt>
                <c:pt idx="88">
                  <c:v>8</c:v>
                </c:pt>
                <c:pt idx="89">
                  <c:v>20</c:v>
                </c:pt>
                <c:pt idx="90">
                  <c:v>3</c:v>
                </c:pt>
                <c:pt idx="91">
                  <c:v>8</c:v>
                </c:pt>
                <c:pt idx="92">
                  <c:v>20</c:v>
                </c:pt>
                <c:pt idx="93">
                  <c:v>4</c:v>
                </c:pt>
                <c:pt idx="94">
                  <c:v>8</c:v>
                </c:pt>
                <c:pt idx="95">
                  <c:v>20</c:v>
                </c:pt>
                <c:pt idx="96">
                  <c:v>40</c:v>
                </c:pt>
                <c:pt idx="97">
                  <c:v>60</c:v>
                </c:pt>
                <c:pt idx="98">
                  <c:v>80</c:v>
                </c:pt>
                <c:pt idx="99">
                  <c:v>4</c:v>
                </c:pt>
                <c:pt idx="100">
                  <c:v>4</c:v>
                </c:pt>
                <c:pt idx="101">
                  <c:v>8</c:v>
                </c:pt>
                <c:pt idx="102">
                  <c:v>20</c:v>
                </c:pt>
                <c:pt idx="103">
                  <c:v>40</c:v>
                </c:pt>
                <c:pt idx="104">
                  <c:v>60</c:v>
                </c:pt>
                <c:pt idx="105">
                  <c:v>4</c:v>
                </c:pt>
                <c:pt idx="106">
                  <c:v>8</c:v>
                </c:pt>
                <c:pt idx="107">
                  <c:v>4</c:v>
                </c:pt>
                <c:pt idx="108">
                  <c:v>4</c:v>
                </c:pt>
                <c:pt idx="109">
                  <c:v>8</c:v>
                </c:pt>
                <c:pt idx="110">
                  <c:v>20</c:v>
                </c:pt>
                <c:pt idx="111">
                  <c:v>4</c:v>
                </c:pt>
                <c:pt idx="112">
                  <c:v>8</c:v>
                </c:pt>
                <c:pt idx="113">
                  <c:v>20</c:v>
                </c:pt>
                <c:pt idx="114">
                  <c:v>40</c:v>
                </c:pt>
                <c:pt idx="115">
                  <c:v>8</c:v>
                </c:pt>
                <c:pt idx="116">
                  <c:v>8</c:v>
                </c:pt>
                <c:pt idx="117">
                  <c:v>20</c:v>
                </c:pt>
                <c:pt idx="118">
                  <c:v>30</c:v>
                </c:pt>
                <c:pt idx="119">
                  <c:v>50</c:v>
                </c:pt>
                <c:pt idx="120">
                  <c:v>#N/A</c:v>
                </c:pt>
                <c:pt idx="121">
                  <c:v>#N/A</c:v>
                </c:pt>
                <c:pt idx="122">
                  <c:v>8</c:v>
                </c:pt>
                <c:pt idx="123">
                  <c:v>20</c:v>
                </c:pt>
                <c:pt idx="124">
                  <c:v>30</c:v>
                </c:pt>
                <c:pt idx="125">
                  <c:v>50</c:v>
                </c:pt>
                <c:pt idx="126">
                  <c:v>8</c:v>
                </c:pt>
                <c:pt idx="127">
                  <c:v>20</c:v>
                </c:pt>
                <c:pt idx="128">
                  <c:v>30</c:v>
                </c:pt>
                <c:pt idx="129">
                  <c:v>50</c:v>
                </c:pt>
                <c:pt idx="130">
                  <c:v>#N/A</c:v>
                </c:pt>
                <c:pt idx="131">
                  <c:v>4</c:v>
                </c:pt>
                <c:pt idx="132">
                  <c:v>4</c:v>
                </c:pt>
                <c:pt idx="133">
                  <c:v>8</c:v>
                </c:pt>
                <c:pt idx="134">
                  <c:v>20</c:v>
                </c:pt>
                <c:pt idx="135">
                  <c:v>40</c:v>
                </c:pt>
                <c:pt idx="136">
                  <c:v>4</c:v>
                </c:pt>
                <c:pt idx="137">
                  <c:v>8</c:v>
                </c:pt>
                <c:pt idx="138">
                  <c:v>20</c:v>
                </c:pt>
                <c:pt idx="139">
                  <c:v>40</c:v>
                </c:pt>
                <c:pt idx="140">
                  <c:v>4</c:v>
                </c:pt>
                <c:pt idx="141">
                  <c:v>4</c:v>
                </c:pt>
                <c:pt idx="142">
                  <c:v>8</c:v>
                </c:pt>
                <c:pt idx="143">
                  <c:v>8</c:v>
                </c:pt>
                <c:pt idx="144">
                  <c:v>20</c:v>
                </c:pt>
                <c:pt idx="145">
                  <c:v>30</c:v>
                </c:pt>
                <c:pt idx="146">
                  <c:v>4</c:v>
                </c:pt>
                <c:pt idx="147">
                  <c:v>8</c:v>
                </c:pt>
                <c:pt idx="148">
                  <c:v>20</c:v>
                </c:pt>
                <c:pt idx="149">
                  <c:v>4</c:v>
                </c:pt>
                <c:pt idx="150">
                  <c:v>4</c:v>
                </c:pt>
                <c:pt idx="151">
                  <c:v>12</c:v>
                </c:pt>
                <c:pt idx="152">
                  <c:v>20</c:v>
                </c:pt>
                <c:pt idx="153">
                  <c:v>40</c:v>
                </c:pt>
                <c:pt idx="154">
                  <c:v>60</c:v>
                </c:pt>
                <c:pt idx="155">
                  <c:v>#N/A</c:v>
                </c:pt>
                <c:pt idx="156">
                  <c:v>4</c:v>
                </c:pt>
                <c:pt idx="157">
                  <c:v>12</c:v>
                </c:pt>
                <c:pt idx="158">
                  <c:v>20</c:v>
                </c:pt>
                <c:pt idx="159">
                  <c:v>40</c:v>
                </c:pt>
                <c:pt idx="160">
                  <c:v>60</c:v>
                </c:pt>
                <c:pt idx="161">
                  <c:v>#N/A</c:v>
                </c:pt>
                <c:pt idx="162">
                  <c:v>4</c:v>
                </c:pt>
                <c:pt idx="163">
                  <c:v>12</c:v>
                </c:pt>
                <c:pt idx="164">
                  <c:v>20</c:v>
                </c:pt>
                <c:pt idx="165">
                  <c:v>40</c:v>
                </c:pt>
                <c:pt idx="166">
                  <c:v>4</c:v>
                </c:pt>
                <c:pt idx="167">
                  <c:v>12</c:v>
                </c:pt>
                <c:pt idx="168">
                  <c:v>20</c:v>
                </c:pt>
                <c:pt idx="169">
                  <c:v>40</c:v>
                </c:pt>
                <c:pt idx="170">
                  <c:v>60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</c:numCache>
            </c:numRef>
          </c:xVal>
          <c:yVal>
            <c:numRef>
              <c:f>Backtesting!$JP$69:$JP$244</c:f>
              <c:numCache>
                <c:formatCode>_-* #,##0.0_-;\-* #,##0.0_-;_-* "-"??_-;_-@_-</c:formatCode>
                <c:ptCount val="176"/>
                <c:pt idx="0">
                  <c:v>69.318618911523259</c:v>
                </c:pt>
                <c:pt idx="1">
                  <c:v>107.88941027667983</c:v>
                </c:pt>
                <c:pt idx="2">
                  <c:v>20.009448707813924</c:v>
                </c:pt>
                <c:pt idx="3">
                  <c:v>25.6119068409851</c:v>
                </c:pt>
                <c:pt idx="4">
                  <c:v>44.346019337184551</c:v>
                </c:pt>
                <c:pt idx="5">
                  <c:v>19.730848282152632</c:v>
                </c:pt>
                <c:pt idx="6">
                  <c:v>26.811783764062021</c:v>
                </c:pt>
                <c:pt idx="7">
                  <c:v>18.946345758589239</c:v>
                </c:pt>
                <c:pt idx="8">
                  <c:v>26.767640012161749</c:v>
                </c:pt>
                <c:pt idx="9">
                  <c:v>40.517600243235023</c:v>
                </c:pt>
                <c:pt idx="10">
                  <c:v>59.511774764366059</c:v>
                </c:pt>
                <c:pt idx="11">
                  <c:v>82.205458680449993</c:v>
                </c:pt>
                <c:pt idx="12">
                  <c:v>19.672046457889937</c:v>
                </c:pt>
                <c:pt idx="13">
                  <c:v>27.468281909394953</c:v>
                </c:pt>
                <c:pt idx="14">
                  <c:v>42.908867619337187</c:v>
                </c:pt>
                <c:pt idx="15">
                  <c:v>61.499423776223779</c:v>
                </c:pt>
                <c:pt idx="16">
                  <c:v>19.054887686226817</c:v>
                </c:pt>
                <c:pt idx="17">
                  <c:v>24.929902341137119</c:v>
                </c:pt>
                <c:pt idx="18">
                  <c:v>39.323627363940403</c:v>
                </c:pt>
                <c:pt idx="19">
                  <c:v>17.49003441775616</c:v>
                </c:pt>
                <c:pt idx="20">
                  <c:v>23.485624323502588</c:v>
                </c:pt>
                <c:pt idx="21">
                  <c:v>40.190379811492861</c:v>
                </c:pt>
                <c:pt idx="22">
                  <c:v>17.815226512617816</c:v>
                </c:pt>
                <c:pt idx="23">
                  <c:v>25.066381757373062</c:v>
                </c:pt>
                <c:pt idx="24">
                  <c:v>40.397165825478872</c:v>
                </c:pt>
                <c:pt idx="25">
                  <c:v>19.022130495591366</c:v>
                </c:pt>
                <c:pt idx="26">
                  <c:v>25.387217756156883</c:v>
                </c:pt>
                <c:pt idx="27">
                  <c:v>17.082868713894804</c:v>
                </c:pt>
                <c:pt idx="28">
                  <c:v>24.054723502584363</c:v>
                </c:pt>
                <c:pt idx="29">
                  <c:v>39.055239160839157</c:v>
                </c:pt>
                <c:pt idx="30">
                  <c:v>22.19027935542718</c:v>
                </c:pt>
                <c:pt idx="31">
                  <c:v>36.953457707509884</c:v>
                </c:pt>
                <c:pt idx="32">
                  <c:v>48.994890605047111</c:v>
                </c:pt>
                <c:pt idx="33">
                  <c:v>78.306876740650651</c:v>
                </c:pt>
                <c:pt idx="34">
                  <c:v>22.972673761021586</c:v>
                </c:pt>
                <c:pt idx="35">
                  <c:v>37.058402918820313</c:v>
                </c:pt>
                <c:pt idx="36">
                  <c:v>45.393461356035267</c:v>
                </c:pt>
                <c:pt idx="37">
                  <c:v>69.99746646397081</c:v>
                </c:pt>
                <c:pt idx="38">
                  <c:v>23.50473821830343</c:v>
                </c:pt>
                <c:pt idx="39">
                  <c:v>37.212500334448158</c:v>
                </c:pt>
                <c:pt idx="40">
                  <c:v>41.866552508361195</c:v>
                </c:pt>
                <c:pt idx="41">
                  <c:v>63.615309698996647</c:v>
                </c:pt>
                <c:pt idx="42">
                  <c:v>118.500310611128</c:v>
                </c:pt>
                <c:pt idx="43">
                  <c:v>24.573953906962604</c:v>
                </c:pt>
                <c:pt idx="44">
                  <c:v>37.110605290361804</c:v>
                </c:pt>
                <c:pt idx="45">
                  <c:v>47.890415810276679</c:v>
                </c:pt>
                <c:pt idx="46">
                  <c:v>18.569740589844933</c:v>
                </c:pt>
                <c:pt idx="47">
                  <c:v>25.429040072970505</c:v>
                </c:pt>
                <c:pt idx="48">
                  <c:v>17.730661964122834</c:v>
                </c:pt>
                <c:pt idx="49">
                  <c:v>23.443848707813927</c:v>
                </c:pt>
                <c:pt idx="50">
                  <c:v>36.861438491942835</c:v>
                </c:pt>
                <c:pt idx="51">
                  <c:v>55.754455457585884</c:v>
                </c:pt>
                <c:pt idx="52">
                  <c:v>77.623219458802055</c:v>
                </c:pt>
                <c:pt idx="53">
                  <c:v>18.162558102766802</c:v>
                </c:pt>
                <c:pt idx="54">
                  <c:v>25.998846336272418</c:v>
                </c:pt>
                <c:pt idx="55">
                  <c:v>41.039352751596226</c:v>
                </c:pt>
                <c:pt idx="56">
                  <c:v>57.263651200972937</c:v>
                </c:pt>
                <c:pt idx="57">
                  <c:v>80.09238577075098</c:v>
                </c:pt>
                <c:pt idx="58">
                  <c:v>125.40573986013986</c:v>
                </c:pt>
                <c:pt idx="59">
                  <c:v>20.220383581635755</c:v>
                </c:pt>
                <c:pt idx="60">
                  <c:v>29.212562359379749</c:v>
                </c:pt>
                <c:pt idx="61">
                  <c:v>43.186218060200659</c:v>
                </c:pt>
                <c:pt idx="62">
                  <c:v>19.506276923076921</c:v>
                </c:pt>
                <c:pt idx="63">
                  <c:v>25.355454910307085</c:v>
                </c:pt>
                <c:pt idx="64">
                  <c:v>19.222718151413801</c:v>
                </c:pt>
                <c:pt idx="65">
                  <c:v>26.314208574034662</c:v>
                </c:pt>
                <c:pt idx="66">
                  <c:v>42.338397567649736</c:v>
                </c:pt>
                <c:pt idx="67">
                  <c:v>59.016362663423536</c:v>
                </c:pt>
                <c:pt idx="68">
                  <c:v>83.423387290969913</c:v>
                </c:pt>
                <c:pt idx="69">
                  <c:v>18.862208574034657</c:v>
                </c:pt>
                <c:pt idx="70">
                  <c:v>25.128435147461236</c:v>
                </c:pt>
                <c:pt idx="71">
                  <c:v>41.533547217999399</c:v>
                </c:pt>
                <c:pt idx="72">
                  <c:v>57.357794101550631</c:v>
                </c:pt>
                <c:pt idx="73">
                  <c:v>81.402100334448164</c:v>
                </c:pt>
                <c:pt idx="74">
                  <c:v>109.81424530252357</c:v>
                </c:pt>
                <c:pt idx="75">
                  <c:v>18.912447065977499</c:v>
                </c:pt>
                <c:pt idx="76">
                  <c:v>26.709691456369718</c:v>
                </c:pt>
                <c:pt idx="77">
                  <c:v>40.654796959562177</c:v>
                </c:pt>
                <c:pt idx="78">
                  <c:v>45.526023472179993</c:v>
                </c:pt>
                <c:pt idx="79">
                  <c:v>76.041502462754636</c:v>
                </c:pt>
                <c:pt idx="80">
                  <c:v>18.115088355123142</c:v>
                </c:pt>
                <c:pt idx="81">
                  <c:v>23.312285071450287</c:v>
                </c:pt>
                <c:pt idx="82">
                  <c:v>34.469990878686531</c:v>
                </c:pt>
                <c:pt idx="83">
                  <c:v>56.254159197324419</c:v>
                </c:pt>
                <c:pt idx="84">
                  <c:v>79.133284037701429</c:v>
                </c:pt>
                <c:pt idx="85">
                  <c:v>115.9472403770143</c:v>
                </c:pt>
                <c:pt idx="86">
                  <c:v>#N/A</c:v>
                </c:pt>
                <c:pt idx="87">
                  <c:v>19.764375068409851</c:v>
                </c:pt>
                <c:pt idx="88">
                  <c:v>26.335124840377009</c:v>
                </c:pt>
                <c:pt idx="89">
                  <c:v>40.906184493767107</c:v>
                </c:pt>
                <c:pt idx="90">
                  <c:v>19.376209911827303</c:v>
                </c:pt>
                <c:pt idx="91">
                  <c:v>27.161959987838248</c:v>
                </c:pt>
                <c:pt idx="92">
                  <c:v>42.925571784736995</c:v>
                </c:pt>
                <c:pt idx="93">
                  <c:v>20.606947765278193</c:v>
                </c:pt>
                <c:pt idx="94">
                  <c:v>24.23271170568562</c:v>
                </c:pt>
                <c:pt idx="95">
                  <c:v>39.401901124961988</c:v>
                </c:pt>
                <c:pt idx="96">
                  <c:v>58.067244025539672</c:v>
                </c:pt>
                <c:pt idx="97">
                  <c:v>83.810205168744289</c:v>
                </c:pt>
                <c:pt idx="98">
                  <c:v>116.72520401337792</c:v>
                </c:pt>
                <c:pt idx="99">
                  <c:v>21.016983155974454</c:v>
                </c:pt>
                <c:pt idx="100">
                  <c:v>21.125759318941927</c:v>
                </c:pt>
                <c:pt idx="101">
                  <c:v>27.291882760717545</c:v>
                </c:pt>
                <c:pt idx="102">
                  <c:v>41.963661416844026</c:v>
                </c:pt>
                <c:pt idx="103">
                  <c:v>57.463937245363326</c:v>
                </c:pt>
                <c:pt idx="104">
                  <c:v>77.836461903314074</c:v>
                </c:pt>
                <c:pt idx="105">
                  <c:v>20.096787838248709</c:v>
                </c:pt>
                <c:pt idx="106">
                  <c:v>27.258635451505018</c:v>
                </c:pt>
                <c:pt idx="107">
                  <c:v>20.96840571602311</c:v>
                </c:pt>
                <c:pt idx="108">
                  <c:v>19.329129096989966</c:v>
                </c:pt>
                <c:pt idx="109">
                  <c:v>24.328928428093644</c:v>
                </c:pt>
                <c:pt idx="110">
                  <c:v>39.456376284584977</c:v>
                </c:pt>
                <c:pt idx="111">
                  <c:v>20.023645363332321</c:v>
                </c:pt>
                <c:pt idx="112">
                  <c:v>25.45458339920949</c:v>
                </c:pt>
                <c:pt idx="113">
                  <c:v>39.743730009121315</c:v>
                </c:pt>
                <c:pt idx="114">
                  <c:v>61.420572818485859</c:v>
                </c:pt>
                <c:pt idx="115">
                  <c:v>25.008818485861962</c:v>
                </c:pt>
                <c:pt idx="116">
                  <c:v>22.65982973548191</c:v>
                </c:pt>
                <c:pt idx="117">
                  <c:v>35.905405655214345</c:v>
                </c:pt>
                <c:pt idx="118">
                  <c:v>47.423181270903001</c:v>
                </c:pt>
                <c:pt idx="119">
                  <c:v>77.692655761629666</c:v>
                </c:pt>
                <c:pt idx="120">
                  <c:v>#N/A</c:v>
                </c:pt>
                <c:pt idx="121">
                  <c:v>#N/A</c:v>
                </c:pt>
                <c:pt idx="122">
                  <c:v>27.003392885375497</c:v>
                </c:pt>
                <c:pt idx="123">
                  <c:v>44.321005290361803</c:v>
                </c:pt>
                <c:pt idx="124">
                  <c:v>51.026175372453629</c:v>
                </c:pt>
                <c:pt idx="125">
                  <c:v>71.266594101550623</c:v>
                </c:pt>
                <c:pt idx="126">
                  <c:v>25.213057950744904</c:v>
                </c:pt>
                <c:pt idx="127">
                  <c:v>38.341626147765275</c:v>
                </c:pt>
                <c:pt idx="128">
                  <c:v>50.094358163575549</c:v>
                </c:pt>
                <c:pt idx="129">
                  <c:v>75.733957798723026</c:v>
                </c:pt>
                <c:pt idx="130">
                  <c:v>#N/A</c:v>
                </c:pt>
                <c:pt idx="131">
                  <c:v>20.659761872909698</c:v>
                </c:pt>
                <c:pt idx="132">
                  <c:v>22.177022316813623</c:v>
                </c:pt>
                <c:pt idx="133">
                  <c:v>28.696273517786555</c:v>
                </c:pt>
                <c:pt idx="134">
                  <c:v>41.97672252964427</c:v>
                </c:pt>
                <c:pt idx="135">
                  <c:v>59.808873700212828</c:v>
                </c:pt>
                <c:pt idx="136">
                  <c:v>20.069480449984798</c:v>
                </c:pt>
                <c:pt idx="137">
                  <c:v>27.295176771055036</c:v>
                </c:pt>
                <c:pt idx="138">
                  <c:v>43.788940346609913</c:v>
                </c:pt>
                <c:pt idx="139">
                  <c:v>60.656023107327449</c:v>
                </c:pt>
                <c:pt idx="140">
                  <c:v>20.922155062328976</c:v>
                </c:pt>
                <c:pt idx="141">
                  <c:v>22.050697598054121</c:v>
                </c:pt>
                <c:pt idx="142">
                  <c:v>25.902576588628762</c:v>
                </c:pt>
                <c:pt idx="143">
                  <c:v>25.590152994831257</c:v>
                </c:pt>
                <c:pt idx="144">
                  <c:v>41.047026208574025</c:v>
                </c:pt>
                <c:pt idx="145">
                  <c:v>49.471698145332923</c:v>
                </c:pt>
                <c:pt idx="146">
                  <c:v>21.741040681058067</c:v>
                </c:pt>
                <c:pt idx="147">
                  <c:v>27.045895287321372</c:v>
                </c:pt>
                <c:pt idx="148">
                  <c:v>41.813564487686222</c:v>
                </c:pt>
                <c:pt idx="149">
                  <c:v>19.348700760109455</c:v>
                </c:pt>
                <c:pt idx="150">
                  <c:v>19.409982487078139</c:v>
                </c:pt>
                <c:pt idx="151">
                  <c:v>30.887849079219787</c:v>
                </c:pt>
                <c:pt idx="152">
                  <c:v>40.719506810504527</c:v>
                </c:pt>
                <c:pt idx="153">
                  <c:v>56.400732701318518</c:v>
                </c:pt>
                <c:pt idx="154">
                  <c:v>87.731429334205075</c:v>
                </c:pt>
                <c:pt idx="155">
                  <c:v>#N/A</c:v>
                </c:pt>
                <c:pt idx="156">
                  <c:v>19.52442312302496</c:v>
                </c:pt>
                <c:pt idx="157">
                  <c:v>31.154789255748071</c:v>
                </c:pt>
                <c:pt idx="158">
                  <c:v>40.570238531110391</c:v>
                </c:pt>
                <c:pt idx="159">
                  <c:v>60.8369621880789</c:v>
                </c:pt>
                <c:pt idx="160">
                  <c:v>84.639629072681714</c:v>
                </c:pt>
                <c:pt idx="161">
                  <c:v>#N/A</c:v>
                </c:pt>
                <c:pt idx="162">
                  <c:v>20.677774436090228</c:v>
                </c:pt>
                <c:pt idx="163">
                  <c:v>30.840203334423013</c:v>
                </c:pt>
                <c:pt idx="164">
                  <c:v>42.995307072027899</c:v>
                </c:pt>
                <c:pt idx="165">
                  <c:v>59.703342595619482</c:v>
                </c:pt>
                <c:pt idx="166">
                  <c:v>20.222166067342272</c:v>
                </c:pt>
                <c:pt idx="167">
                  <c:v>32.237415277323748</c:v>
                </c:pt>
                <c:pt idx="168">
                  <c:v>41.746812901819773</c:v>
                </c:pt>
                <c:pt idx="169">
                  <c:v>56.641298899422473</c:v>
                </c:pt>
                <c:pt idx="170">
                  <c:v>85.3851064618067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60-45D7-88C5-549EFC0CD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Jackpot ($m)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Entries (m's)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4542478632478631"/>
                  <c:y val="-0.10211874999999999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Backtesting!$JQ$69:$JQ$227</c:f>
              <c:numCache>
                <c:formatCode>_-* #,##0.0_-;\-* #,##0.0_-;_-* "-"??_-;_-@_-</c:formatCode>
                <c:ptCount val="159"/>
                <c:pt idx="0">
                  <c:v>50</c:v>
                </c:pt>
                <c:pt idx="1">
                  <c:v>80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3</c:v>
                </c:pt>
                <c:pt idx="17">
                  <c:v>8</c:v>
                </c:pt>
                <c:pt idx="18">
                  <c:v>20</c:v>
                </c:pt>
                <c:pt idx="19">
                  <c:v>3</c:v>
                </c:pt>
                <c:pt idx="20">
                  <c:v>8</c:v>
                </c:pt>
                <c:pt idx="21">
                  <c:v>20</c:v>
                </c:pt>
                <c:pt idx="22">
                  <c:v>3</c:v>
                </c:pt>
                <c:pt idx="23">
                  <c:v>8</c:v>
                </c:pt>
                <c:pt idx="24">
                  <c:v>20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8</c:v>
                </c:pt>
                <c:pt idx="35">
                  <c:v>20</c:v>
                </c:pt>
                <c:pt idx="36">
                  <c:v>30</c:v>
                </c:pt>
                <c:pt idx="37">
                  <c:v>50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50</c:v>
                </c:pt>
                <c:pt idx="42">
                  <c:v>80</c:v>
                </c:pt>
                <c:pt idx="43">
                  <c:v>8</c:v>
                </c:pt>
                <c:pt idx="44">
                  <c:v>20</c:v>
                </c:pt>
                <c:pt idx="45">
                  <c:v>30</c:v>
                </c:pt>
                <c:pt idx="46">
                  <c:v>3</c:v>
                </c:pt>
                <c:pt idx="47">
                  <c:v>8</c:v>
                </c:pt>
                <c:pt idx="48">
                  <c:v>3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  <c:pt idx="53">
                  <c:v>3</c:v>
                </c:pt>
                <c:pt idx="54">
                  <c:v>8</c:v>
                </c:pt>
                <c:pt idx="55">
                  <c:v>20</c:v>
                </c:pt>
                <c:pt idx="56">
                  <c:v>40</c:v>
                </c:pt>
                <c:pt idx="57">
                  <c:v>60</c:v>
                </c:pt>
                <c:pt idx="58">
                  <c:v>80</c:v>
                </c:pt>
                <c:pt idx="59">
                  <c:v>3</c:v>
                </c:pt>
                <c:pt idx="60">
                  <c:v>8</c:v>
                </c:pt>
                <c:pt idx="61">
                  <c:v>20</c:v>
                </c:pt>
                <c:pt idx="62">
                  <c:v>3</c:v>
                </c:pt>
                <c:pt idx="63">
                  <c:v>8</c:v>
                </c:pt>
                <c:pt idx="64">
                  <c:v>3</c:v>
                </c:pt>
                <c:pt idx="65">
                  <c:v>8</c:v>
                </c:pt>
                <c:pt idx="66">
                  <c:v>20</c:v>
                </c:pt>
                <c:pt idx="67">
                  <c:v>40</c:v>
                </c:pt>
                <c:pt idx="68">
                  <c:v>60</c:v>
                </c:pt>
                <c:pt idx="69">
                  <c:v>3</c:v>
                </c:pt>
                <c:pt idx="70">
                  <c:v>8</c:v>
                </c:pt>
                <c:pt idx="71">
                  <c:v>20</c:v>
                </c:pt>
                <c:pt idx="72">
                  <c:v>40</c:v>
                </c:pt>
                <c:pt idx="73">
                  <c:v>60</c:v>
                </c:pt>
                <c:pt idx="74">
                  <c:v>80</c:v>
                </c:pt>
                <c:pt idx="75">
                  <c:v>3</c:v>
                </c:pt>
                <c:pt idx="76">
                  <c:v>8</c:v>
                </c:pt>
                <c:pt idx="77">
                  <c:v>20</c:v>
                </c:pt>
                <c:pt idx="78">
                  <c:v>30</c:v>
                </c:pt>
                <c:pt idx="79">
                  <c:v>60</c:v>
                </c:pt>
                <c:pt idx="80">
                  <c:v>3</c:v>
                </c:pt>
                <c:pt idx="81">
                  <c:v>8</c:v>
                </c:pt>
                <c:pt idx="82">
                  <c:v>20</c:v>
                </c:pt>
                <c:pt idx="83">
                  <c:v>40</c:v>
                </c:pt>
                <c:pt idx="84">
                  <c:v>60</c:v>
                </c:pt>
                <c:pt idx="85">
                  <c:v>80</c:v>
                </c:pt>
                <c:pt idx="86">
                  <c:v>#N/A</c:v>
                </c:pt>
                <c:pt idx="87">
                  <c:v>3</c:v>
                </c:pt>
                <c:pt idx="88">
                  <c:v>8</c:v>
                </c:pt>
                <c:pt idx="89">
                  <c:v>20</c:v>
                </c:pt>
                <c:pt idx="90">
                  <c:v>3</c:v>
                </c:pt>
                <c:pt idx="91">
                  <c:v>8</c:v>
                </c:pt>
                <c:pt idx="92">
                  <c:v>20</c:v>
                </c:pt>
                <c:pt idx="93">
                  <c:v>4</c:v>
                </c:pt>
                <c:pt idx="94">
                  <c:v>8</c:v>
                </c:pt>
                <c:pt idx="95">
                  <c:v>20</c:v>
                </c:pt>
                <c:pt idx="96">
                  <c:v>40</c:v>
                </c:pt>
                <c:pt idx="97">
                  <c:v>60</c:v>
                </c:pt>
                <c:pt idx="98">
                  <c:v>80</c:v>
                </c:pt>
                <c:pt idx="99">
                  <c:v>4</c:v>
                </c:pt>
                <c:pt idx="100">
                  <c:v>4</c:v>
                </c:pt>
                <c:pt idx="101">
                  <c:v>8</c:v>
                </c:pt>
                <c:pt idx="102">
                  <c:v>20</c:v>
                </c:pt>
                <c:pt idx="103">
                  <c:v>40</c:v>
                </c:pt>
                <c:pt idx="104">
                  <c:v>60</c:v>
                </c:pt>
                <c:pt idx="105">
                  <c:v>4</c:v>
                </c:pt>
                <c:pt idx="106">
                  <c:v>8</c:v>
                </c:pt>
                <c:pt idx="107">
                  <c:v>4</c:v>
                </c:pt>
                <c:pt idx="108">
                  <c:v>4</c:v>
                </c:pt>
                <c:pt idx="109">
                  <c:v>8</c:v>
                </c:pt>
                <c:pt idx="110">
                  <c:v>20</c:v>
                </c:pt>
                <c:pt idx="111">
                  <c:v>4</c:v>
                </c:pt>
                <c:pt idx="112">
                  <c:v>8</c:v>
                </c:pt>
                <c:pt idx="113">
                  <c:v>20</c:v>
                </c:pt>
                <c:pt idx="114">
                  <c:v>40</c:v>
                </c:pt>
                <c:pt idx="115">
                  <c:v>8</c:v>
                </c:pt>
                <c:pt idx="116">
                  <c:v>8</c:v>
                </c:pt>
                <c:pt idx="117">
                  <c:v>20</c:v>
                </c:pt>
                <c:pt idx="118">
                  <c:v>30</c:v>
                </c:pt>
                <c:pt idx="119">
                  <c:v>50</c:v>
                </c:pt>
                <c:pt idx="120">
                  <c:v>#N/A</c:v>
                </c:pt>
                <c:pt idx="121">
                  <c:v>#N/A</c:v>
                </c:pt>
                <c:pt idx="122">
                  <c:v>8</c:v>
                </c:pt>
                <c:pt idx="123">
                  <c:v>20</c:v>
                </c:pt>
                <c:pt idx="124">
                  <c:v>30</c:v>
                </c:pt>
                <c:pt idx="125">
                  <c:v>50</c:v>
                </c:pt>
                <c:pt idx="126">
                  <c:v>8</c:v>
                </c:pt>
                <c:pt idx="127">
                  <c:v>20</c:v>
                </c:pt>
                <c:pt idx="128">
                  <c:v>30</c:v>
                </c:pt>
                <c:pt idx="129">
                  <c:v>50</c:v>
                </c:pt>
                <c:pt idx="130">
                  <c:v>#N/A</c:v>
                </c:pt>
                <c:pt idx="131">
                  <c:v>4</c:v>
                </c:pt>
                <c:pt idx="132">
                  <c:v>4</c:v>
                </c:pt>
                <c:pt idx="133">
                  <c:v>8</c:v>
                </c:pt>
                <c:pt idx="134">
                  <c:v>20</c:v>
                </c:pt>
                <c:pt idx="135">
                  <c:v>40</c:v>
                </c:pt>
                <c:pt idx="136">
                  <c:v>4</c:v>
                </c:pt>
                <c:pt idx="137">
                  <c:v>8</c:v>
                </c:pt>
                <c:pt idx="138">
                  <c:v>20</c:v>
                </c:pt>
                <c:pt idx="139">
                  <c:v>40</c:v>
                </c:pt>
                <c:pt idx="140">
                  <c:v>4</c:v>
                </c:pt>
                <c:pt idx="141">
                  <c:v>4</c:v>
                </c:pt>
                <c:pt idx="142">
                  <c:v>8</c:v>
                </c:pt>
                <c:pt idx="143">
                  <c:v>8</c:v>
                </c:pt>
                <c:pt idx="144">
                  <c:v>20</c:v>
                </c:pt>
                <c:pt idx="145">
                  <c:v>30</c:v>
                </c:pt>
                <c:pt idx="146">
                  <c:v>4</c:v>
                </c:pt>
                <c:pt idx="147">
                  <c:v>8</c:v>
                </c:pt>
                <c:pt idx="148">
                  <c:v>20</c:v>
                </c:pt>
                <c:pt idx="149">
                  <c:v>4</c:v>
                </c:pt>
                <c:pt idx="150">
                  <c:v>4</c:v>
                </c:pt>
                <c:pt idx="151">
                  <c:v>12</c:v>
                </c:pt>
                <c:pt idx="152">
                  <c:v>20</c:v>
                </c:pt>
                <c:pt idx="153">
                  <c:v>40</c:v>
                </c:pt>
                <c:pt idx="154">
                  <c:v>60</c:v>
                </c:pt>
                <c:pt idx="155">
                  <c:v>#N/A</c:v>
                </c:pt>
                <c:pt idx="156">
                  <c:v>4</c:v>
                </c:pt>
                <c:pt idx="157">
                  <c:v>12</c:v>
                </c:pt>
                <c:pt idx="158">
                  <c:v>20</c:v>
                </c:pt>
              </c:numCache>
            </c:numRef>
          </c:xVal>
          <c:yVal>
            <c:numRef>
              <c:f>Backtesting!$JP$69:$JP$227</c:f>
              <c:numCache>
                <c:formatCode>_-* #,##0.0_-;\-* #,##0.0_-;_-* "-"??_-;_-@_-</c:formatCode>
                <c:ptCount val="159"/>
                <c:pt idx="0">
                  <c:v>69.318618911523259</c:v>
                </c:pt>
                <c:pt idx="1">
                  <c:v>107.88941027667983</c:v>
                </c:pt>
                <c:pt idx="2">
                  <c:v>20.009448707813924</c:v>
                </c:pt>
                <c:pt idx="3">
                  <c:v>25.6119068409851</c:v>
                </c:pt>
                <c:pt idx="4">
                  <c:v>44.346019337184551</c:v>
                </c:pt>
                <c:pt idx="5">
                  <c:v>19.730848282152632</c:v>
                </c:pt>
                <c:pt idx="6">
                  <c:v>26.811783764062021</c:v>
                </c:pt>
                <c:pt idx="7">
                  <c:v>18.946345758589239</c:v>
                </c:pt>
                <c:pt idx="8">
                  <c:v>26.767640012161749</c:v>
                </c:pt>
                <c:pt idx="9">
                  <c:v>40.517600243235023</c:v>
                </c:pt>
                <c:pt idx="10">
                  <c:v>59.511774764366059</c:v>
                </c:pt>
                <c:pt idx="11">
                  <c:v>82.205458680449993</c:v>
                </c:pt>
                <c:pt idx="12">
                  <c:v>19.672046457889937</c:v>
                </c:pt>
                <c:pt idx="13">
                  <c:v>27.468281909394953</c:v>
                </c:pt>
                <c:pt idx="14">
                  <c:v>42.908867619337187</c:v>
                </c:pt>
                <c:pt idx="15">
                  <c:v>61.499423776223779</c:v>
                </c:pt>
                <c:pt idx="16">
                  <c:v>19.054887686226817</c:v>
                </c:pt>
                <c:pt idx="17">
                  <c:v>24.929902341137119</c:v>
                </c:pt>
                <c:pt idx="18">
                  <c:v>39.323627363940403</c:v>
                </c:pt>
                <c:pt idx="19">
                  <c:v>17.49003441775616</c:v>
                </c:pt>
                <c:pt idx="20">
                  <c:v>23.485624323502588</c:v>
                </c:pt>
                <c:pt idx="21">
                  <c:v>40.190379811492861</c:v>
                </c:pt>
                <c:pt idx="22">
                  <c:v>17.815226512617816</c:v>
                </c:pt>
                <c:pt idx="23">
                  <c:v>25.066381757373062</c:v>
                </c:pt>
                <c:pt idx="24">
                  <c:v>40.397165825478872</c:v>
                </c:pt>
                <c:pt idx="25">
                  <c:v>19.022130495591366</c:v>
                </c:pt>
                <c:pt idx="26">
                  <c:v>25.387217756156883</c:v>
                </c:pt>
                <c:pt idx="27">
                  <c:v>17.082868713894804</c:v>
                </c:pt>
                <c:pt idx="28">
                  <c:v>24.054723502584363</c:v>
                </c:pt>
                <c:pt idx="29">
                  <c:v>39.055239160839157</c:v>
                </c:pt>
                <c:pt idx="30">
                  <c:v>22.19027935542718</c:v>
                </c:pt>
                <c:pt idx="31">
                  <c:v>36.953457707509884</c:v>
                </c:pt>
                <c:pt idx="32">
                  <c:v>48.994890605047111</c:v>
                </c:pt>
                <c:pt idx="33">
                  <c:v>78.306876740650651</c:v>
                </c:pt>
                <c:pt idx="34">
                  <c:v>22.972673761021586</c:v>
                </c:pt>
                <c:pt idx="35">
                  <c:v>37.058402918820313</c:v>
                </c:pt>
                <c:pt idx="36">
                  <c:v>45.393461356035267</c:v>
                </c:pt>
                <c:pt idx="37">
                  <c:v>69.99746646397081</c:v>
                </c:pt>
                <c:pt idx="38">
                  <c:v>23.50473821830343</c:v>
                </c:pt>
                <c:pt idx="39">
                  <c:v>37.212500334448158</c:v>
                </c:pt>
                <c:pt idx="40">
                  <c:v>41.866552508361195</c:v>
                </c:pt>
                <c:pt idx="41">
                  <c:v>63.615309698996647</c:v>
                </c:pt>
                <c:pt idx="42">
                  <c:v>118.500310611128</c:v>
                </c:pt>
                <c:pt idx="43">
                  <c:v>24.573953906962604</c:v>
                </c:pt>
                <c:pt idx="44">
                  <c:v>37.110605290361804</c:v>
                </c:pt>
                <c:pt idx="45">
                  <c:v>47.890415810276679</c:v>
                </c:pt>
                <c:pt idx="46">
                  <c:v>18.569740589844933</c:v>
                </c:pt>
                <c:pt idx="47">
                  <c:v>25.429040072970505</c:v>
                </c:pt>
                <c:pt idx="48">
                  <c:v>17.730661964122834</c:v>
                </c:pt>
                <c:pt idx="49">
                  <c:v>23.443848707813927</c:v>
                </c:pt>
                <c:pt idx="50">
                  <c:v>36.861438491942835</c:v>
                </c:pt>
                <c:pt idx="51">
                  <c:v>55.754455457585884</c:v>
                </c:pt>
                <c:pt idx="52">
                  <c:v>77.623219458802055</c:v>
                </c:pt>
                <c:pt idx="53">
                  <c:v>18.162558102766802</c:v>
                </c:pt>
                <c:pt idx="54">
                  <c:v>25.998846336272418</c:v>
                </c:pt>
                <c:pt idx="55">
                  <c:v>41.039352751596226</c:v>
                </c:pt>
                <c:pt idx="56">
                  <c:v>57.263651200972937</c:v>
                </c:pt>
                <c:pt idx="57">
                  <c:v>80.09238577075098</c:v>
                </c:pt>
                <c:pt idx="58">
                  <c:v>125.40573986013986</c:v>
                </c:pt>
                <c:pt idx="59">
                  <c:v>20.220383581635755</c:v>
                </c:pt>
                <c:pt idx="60">
                  <c:v>29.212562359379749</c:v>
                </c:pt>
                <c:pt idx="61">
                  <c:v>43.186218060200659</c:v>
                </c:pt>
                <c:pt idx="62">
                  <c:v>19.506276923076921</c:v>
                </c:pt>
                <c:pt idx="63">
                  <c:v>25.355454910307085</c:v>
                </c:pt>
                <c:pt idx="64">
                  <c:v>19.222718151413801</c:v>
                </c:pt>
                <c:pt idx="65">
                  <c:v>26.314208574034662</c:v>
                </c:pt>
                <c:pt idx="66">
                  <c:v>42.338397567649736</c:v>
                </c:pt>
                <c:pt idx="67">
                  <c:v>59.016362663423536</c:v>
                </c:pt>
                <c:pt idx="68">
                  <c:v>83.423387290969913</c:v>
                </c:pt>
                <c:pt idx="69">
                  <c:v>18.862208574034657</c:v>
                </c:pt>
                <c:pt idx="70">
                  <c:v>25.128435147461236</c:v>
                </c:pt>
                <c:pt idx="71">
                  <c:v>41.533547217999399</c:v>
                </c:pt>
                <c:pt idx="72">
                  <c:v>57.357794101550631</c:v>
                </c:pt>
                <c:pt idx="73">
                  <c:v>81.402100334448164</c:v>
                </c:pt>
                <c:pt idx="74">
                  <c:v>109.81424530252357</c:v>
                </c:pt>
                <c:pt idx="75">
                  <c:v>18.912447065977499</c:v>
                </c:pt>
                <c:pt idx="76">
                  <c:v>26.709691456369718</c:v>
                </c:pt>
                <c:pt idx="77">
                  <c:v>40.654796959562177</c:v>
                </c:pt>
                <c:pt idx="78">
                  <c:v>45.526023472179993</c:v>
                </c:pt>
                <c:pt idx="79">
                  <c:v>76.041502462754636</c:v>
                </c:pt>
                <c:pt idx="80">
                  <c:v>18.115088355123142</c:v>
                </c:pt>
                <c:pt idx="81">
                  <c:v>23.312285071450287</c:v>
                </c:pt>
                <c:pt idx="82">
                  <c:v>34.469990878686531</c:v>
                </c:pt>
                <c:pt idx="83">
                  <c:v>56.254159197324419</c:v>
                </c:pt>
                <c:pt idx="84">
                  <c:v>79.133284037701429</c:v>
                </c:pt>
                <c:pt idx="85">
                  <c:v>115.9472403770143</c:v>
                </c:pt>
                <c:pt idx="86">
                  <c:v>#N/A</c:v>
                </c:pt>
                <c:pt idx="87">
                  <c:v>19.764375068409851</c:v>
                </c:pt>
                <c:pt idx="88">
                  <c:v>26.335124840377009</c:v>
                </c:pt>
                <c:pt idx="89">
                  <c:v>40.906184493767107</c:v>
                </c:pt>
                <c:pt idx="90">
                  <c:v>19.376209911827303</c:v>
                </c:pt>
                <c:pt idx="91">
                  <c:v>27.161959987838248</c:v>
                </c:pt>
                <c:pt idx="92">
                  <c:v>42.925571784736995</c:v>
                </c:pt>
                <c:pt idx="93">
                  <c:v>20.606947765278193</c:v>
                </c:pt>
                <c:pt idx="94">
                  <c:v>24.23271170568562</c:v>
                </c:pt>
                <c:pt idx="95">
                  <c:v>39.401901124961988</c:v>
                </c:pt>
                <c:pt idx="96">
                  <c:v>58.067244025539672</c:v>
                </c:pt>
                <c:pt idx="97">
                  <c:v>83.810205168744289</c:v>
                </c:pt>
                <c:pt idx="98">
                  <c:v>116.72520401337792</c:v>
                </c:pt>
                <c:pt idx="99">
                  <c:v>21.016983155974454</c:v>
                </c:pt>
                <c:pt idx="100">
                  <c:v>21.125759318941927</c:v>
                </c:pt>
                <c:pt idx="101">
                  <c:v>27.291882760717545</c:v>
                </c:pt>
                <c:pt idx="102">
                  <c:v>41.963661416844026</c:v>
                </c:pt>
                <c:pt idx="103">
                  <c:v>57.463937245363326</c:v>
                </c:pt>
                <c:pt idx="104">
                  <c:v>77.836461903314074</c:v>
                </c:pt>
                <c:pt idx="105">
                  <c:v>20.096787838248709</c:v>
                </c:pt>
                <c:pt idx="106">
                  <c:v>27.258635451505018</c:v>
                </c:pt>
                <c:pt idx="107">
                  <c:v>20.96840571602311</c:v>
                </c:pt>
                <c:pt idx="108">
                  <c:v>19.329129096989966</c:v>
                </c:pt>
                <c:pt idx="109">
                  <c:v>24.328928428093644</c:v>
                </c:pt>
                <c:pt idx="110">
                  <c:v>39.456376284584977</c:v>
                </c:pt>
                <c:pt idx="111">
                  <c:v>20.023645363332321</c:v>
                </c:pt>
                <c:pt idx="112">
                  <c:v>25.45458339920949</c:v>
                </c:pt>
                <c:pt idx="113">
                  <c:v>39.743730009121315</c:v>
                </c:pt>
                <c:pt idx="114">
                  <c:v>61.420572818485859</c:v>
                </c:pt>
                <c:pt idx="115">
                  <c:v>25.008818485861962</c:v>
                </c:pt>
                <c:pt idx="116">
                  <c:v>22.65982973548191</c:v>
                </c:pt>
                <c:pt idx="117">
                  <c:v>35.905405655214345</c:v>
                </c:pt>
                <c:pt idx="118">
                  <c:v>47.423181270903001</c:v>
                </c:pt>
                <c:pt idx="119">
                  <c:v>77.692655761629666</c:v>
                </c:pt>
                <c:pt idx="120">
                  <c:v>#N/A</c:v>
                </c:pt>
                <c:pt idx="121">
                  <c:v>#N/A</c:v>
                </c:pt>
                <c:pt idx="122">
                  <c:v>27.003392885375497</c:v>
                </c:pt>
                <c:pt idx="123">
                  <c:v>44.321005290361803</c:v>
                </c:pt>
                <c:pt idx="124">
                  <c:v>51.026175372453629</c:v>
                </c:pt>
                <c:pt idx="125">
                  <c:v>71.266594101550623</c:v>
                </c:pt>
                <c:pt idx="126">
                  <c:v>25.213057950744904</c:v>
                </c:pt>
                <c:pt idx="127">
                  <c:v>38.341626147765275</c:v>
                </c:pt>
                <c:pt idx="128">
                  <c:v>50.094358163575549</c:v>
                </c:pt>
                <c:pt idx="129">
                  <c:v>75.733957798723026</c:v>
                </c:pt>
                <c:pt idx="130">
                  <c:v>#N/A</c:v>
                </c:pt>
                <c:pt idx="131">
                  <c:v>20.659761872909698</c:v>
                </c:pt>
                <c:pt idx="132">
                  <c:v>22.177022316813623</c:v>
                </c:pt>
                <c:pt idx="133">
                  <c:v>28.696273517786555</c:v>
                </c:pt>
                <c:pt idx="134">
                  <c:v>41.97672252964427</c:v>
                </c:pt>
                <c:pt idx="135">
                  <c:v>59.808873700212828</c:v>
                </c:pt>
                <c:pt idx="136">
                  <c:v>20.069480449984798</c:v>
                </c:pt>
                <c:pt idx="137">
                  <c:v>27.295176771055036</c:v>
                </c:pt>
                <c:pt idx="138">
                  <c:v>43.788940346609913</c:v>
                </c:pt>
                <c:pt idx="139">
                  <c:v>60.656023107327449</c:v>
                </c:pt>
                <c:pt idx="140">
                  <c:v>20.922155062328976</c:v>
                </c:pt>
                <c:pt idx="141">
                  <c:v>22.050697598054121</c:v>
                </c:pt>
                <c:pt idx="142">
                  <c:v>25.902576588628762</c:v>
                </c:pt>
                <c:pt idx="143">
                  <c:v>25.590152994831257</c:v>
                </c:pt>
                <c:pt idx="144">
                  <c:v>41.047026208574025</c:v>
                </c:pt>
                <c:pt idx="145">
                  <c:v>49.471698145332923</c:v>
                </c:pt>
                <c:pt idx="146">
                  <c:v>21.741040681058067</c:v>
                </c:pt>
                <c:pt idx="147">
                  <c:v>27.045895287321372</c:v>
                </c:pt>
                <c:pt idx="148">
                  <c:v>41.813564487686222</c:v>
                </c:pt>
                <c:pt idx="149">
                  <c:v>19.348700760109455</c:v>
                </c:pt>
                <c:pt idx="150">
                  <c:v>19.409982487078139</c:v>
                </c:pt>
                <c:pt idx="151">
                  <c:v>30.887849079219787</c:v>
                </c:pt>
                <c:pt idx="152">
                  <c:v>40.719506810504527</c:v>
                </c:pt>
                <c:pt idx="153">
                  <c:v>56.400732701318518</c:v>
                </c:pt>
                <c:pt idx="154">
                  <c:v>87.731429334205075</c:v>
                </c:pt>
                <c:pt idx="155">
                  <c:v>#N/A</c:v>
                </c:pt>
                <c:pt idx="156">
                  <c:v>19.52442312302496</c:v>
                </c:pt>
                <c:pt idx="157">
                  <c:v>31.154789255748071</c:v>
                </c:pt>
                <c:pt idx="158">
                  <c:v>40.570238531110391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39-42CA-ACC4-92592A422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2">
                    <a:lumMod val="40000"/>
                    <a:lumOff val="60000"/>
                  </a:schemeClr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3810482905982906"/>
                  <c:y val="-2.99270833333333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Backtesting!$IS$69:$IS$121</c:f>
              <c:numCache>
                <c:formatCode>_-* #,##0.0_-;\-* #,##0.0_-;_-* "-"??_-;_-@_-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  <c:pt idx="8">
                  <c:v>20</c:v>
                </c:pt>
                <c:pt idx="9">
                  <c:v>40</c:v>
                </c:pt>
                <c:pt idx="10">
                  <c:v>8</c:v>
                </c:pt>
                <c:pt idx="11">
                  <c:v>8</c:v>
                </c:pt>
                <c:pt idx="12">
                  <c:v>20</c:v>
                </c:pt>
                <c:pt idx="13">
                  <c:v>30</c:v>
                </c:pt>
                <c:pt idx="14">
                  <c:v>50</c:v>
                </c:pt>
                <c:pt idx="15">
                  <c:v>#N/A</c:v>
                </c:pt>
                <c:pt idx="16">
                  <c:v>#N/A</c:v>
                </c:pt>
                <c:pt idx="17">
                  <c:v>8</c:v>
                </c:pt>
                <c:pt idx="18">
                  <c:v>20</c:v>
                </c:pt>
                <c:pt idx="19">
                  <c:v>30</c:v>
                </c:pt>
                <c:pt idx="20">
                  <c:v>50</c:v>
                </c:pt>
                <c:pt idx="21">
                  <c:v>8</c:v>
                </c:pt>
                <c:pt idx="22">
                  <c:v>20</c:v>
                </c:pt>
                <c:pt idx="23">
                  <c:v>30</c:v>
                </c:pt>
                <c:pt idx="24">
                  <c:v>50</c:v>
                </c:pt>
                <c:pt idx="25">
                  <c:v>#N/A</c:v>
                </c:pt>
                <c:pt idx="26">
                  <c:v>4</c:v>
                </c:pt>
                <c:pt idx="27">
                  <c:v>4</c:v>
                </c:pt>
                <c:pt idx="28">
                  <c:v>8</c:v>
                </c:pt>
                <c:pt idx="29">
                  <c:v>20</c:v>
                </c:pt>
                <c:pt idx="30">
                  <c:v>40</c:v>
                </c:pt>
                <c:pt idx="31">
                  <c:v>4</c:v>
                </c:pt>
                <c:pt idx="32">
                  <c:v>8</c:v>
                </c:pt>
                <c:pt idx="33">
                  <c:v>20</c:v>
                </c:pt>
                <c:pt idx="34">
                  <c:v>40</c:v>
                </c:pt>
                <c:pt idx="35">
                  <c:v>4</c:v>
                </c:pt>
                <c:pt idx="36">
                  <c:v>4</c:v>
                </c:pt>
                <c:pt idx="37">
                  <c:v>8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4</c:v>
                </c:pt>
                <c:pt idx="42">
                  <c:v>8</c:v>
                </c:pt>
                <c:pt idx="43">
                  <c:v>20</c:v>
                </c:pt>
                <c:pt idx="44">
                  <c:v>4</c:v>
                </c:pt>
                <c:pt idx="45">
                  <c:v>4</c:v>
                </c:pt>
                <c:pt idx="46">
                  <c:v>12</c:v>
                </c:pt>
                <c:pt idx="47">
                  <c:v>20</c:v>
                </c:pt>
                <c:pt idx="48">
                  <c:v>40</c:v>
                </c:pt>
                <c:pt idx="49">
                  <c:v>60</c:v>
                </c:pt>
                <c:pt idx="50">
                  <c:v>#N/A</c:v>
                </c:pt>
                <c:pt idx="51">
                  <c:v>4</c:v>
                </c:pt>
                <c:pt idx="52">
                  <c:v>#N/A</c:v>
                </c:pt>
              </c:numCache>
            </c:numRef>
          </c:xVal>
          <c:yVal>
            <c:numRef>
              <c:f>Backtesting!$IR$69:$IR$121</c:f>
              <c:numCache>
                <c:formatCode>_-* #,##0.0_-;\-* #,##0.0_-;_-* "-"??_-;_-@_-</c:formatCode>
                <c:ptCount val="53"/>
                <c:pt idx="0">
                  <c:v>20.096787838248709</c:v>
                </c:pt>
                <c:pt idx="1">
                  <c:v>27.258635451505018</c:v>
                </c:pt>
                <c:pt idx="2">
                  <c:v>20.96840571602311</c:v>
                </c:pt>
                <c:pt idx="3">
                  <c:v>19.329129096989966</c:v>
                </c:pt>
                <c:pt idx="4">
                  <c:v>24.328928428093644</c:v>
                </c:pt>
                <c:pt idx="5">
                  <c:v>39.456376284584977</c:v>
                </c:pt>
                <c:pt idx="6">
                  <c:v>20.023645363332321</c:v>
                </c:pt>
                <c:pt idx="7">
                  <c:v>25.45458339920949</c:v>
                </c:pt>
                <c:pt idx="8">
                  <c:v>39.743730009121315</c:v>
                </c:pt>
                <c:pt idx="9">
                  <c:v>61.420572818485859</c:v>
                </c:pt>
                <c:pt idx="10">
                  <c:v>25.008818485861962</c:v>
                </c:pt>
                <c:pt idx="11">
                  <c:v>22.65982973548191</c:v>
                </c:pt>
                <c:pt idx="12">
                  <c:v>35.905405655214345</c:v>
                </c:pt>
                <c:pt idx="13">
                  <c:v>47.423181270903001</c:v>
                </c:pt>
                <c:pt idx="14">
                  <c:v>77.692655761629666</c:v>
                </c:pt>
                <c:pt idx="15">
                  <c:v>#N/A</c:v>
                </c:pt>
                <c:pt idx="16">
                  <c:v>#N/A</c:v>
                </c:pt>
                <c:pt idx="17">
                  <c:v>27.003392885375497</c:v>
                </c:pt>
                <c:pt idx="18">
                  <c:v>44.321005290361803</c:v>
                </c:pt>
                <c:pt idx="19">
                  <c:v>51.026175372453629</c:v>
                </c:pt>
                <c:pt idx="20">
                  <c:v>71.266594101550623</c:v>
                </c:pt>
                <c:pt idx="21">
                  <c:v>25.213057950744904</c:v>
                </c:pt>
                <c:pt idx="22">
                  <c:v>38.341626147765275</c:v>
                </c:pt>
                <c:pt idx="23">
                  <c:v>50.094358163575549</c:v>
                </c:pt>
                <c:pt idx="24">
                  <c:v>75.733957798723026</c:v>
                </c:pt>
                <c:pt idx="25">
                  <c:v>#N/A</c:v>
                </c:pt>
                <c:pt idx="26">
                  <c:v>20.659761872909698</c:v>
                </c:pt>
                <c:pt idx="27">
                  <c:v>22.177022316813623</c:v>
                </c:pt>
                <c:pt idx="28">
                  <c:v>28.696273517786555</c:v>
                </c:pt>
                <c:pt idx="29">
                  <c:v>41.97672252964427</c:v>
                </c:pt>
                <c:pt idx="30">
                  <c:v>59.808873700212828</c:v>
                </c:pt>
                <c:pt idx="31">
                  <c:v>20.069480449984798</c:v>
                </c:pt>
                <c:pt idx="32">
                  <c:v>27.295176771055036</c:v>
                </c:pt>
                <c:pt idx="33">
                  <c:v>43.788940346609913</c:v>
                </c:pt>
                <c:pt idx="34">
                  <c:v>60.656023107327449</c:v>
                </c:pt>
                <c:pt idx="35">
                  <c:v>20.922155062328976</c:v>
                </c:pt>
                <c:pt idx="36">
                  <c:v>22.050697598054121</c:v>
                </c:pt>
                <c:pt idx="37">
                  <c:v>25.902576588628762</c:v>
                </c:pt>
                <c:pt idx="38">
                  <c:v>25.590152994831257</c:v>
                </c:pt>
                <c:pt idx="39">
                  <c:v>41.047026208574025</c:v>
                </c:pt>
                <c:pt idx="40">
                  <c:v>49.471698145332923</c:v>
                </c:pt>
                <c:pt idx="41">
                  <c:v>21.741040681058067</c:v>
                </c:pt>
                <c:pt idx="42">
                  <c:v>27.045895287321372</c:v>
                </c:pt>
                <c:pt idx="43">
                  <c:v>41.813564487686222</c:v>
                </c:pt>
                <c:pt idx="44">
                  <c:v>19.348700760109455</c:v>
                </c:pt>
                <c:pt idx="45">
                  <c:v>19.409982487078139</c:v>
                </c:pt>
                <c:pt idx="46">
                  <c:v>30.887849079219787</c:v>
                </c:pt>
                <c:pt idx="47">
                  <c:v>40.719506810504527</c:v>
                </c:pt>
                <c:pt idx="48">
                  <c:v>56.400732701318518</c:v>
                </c:pt>
                <c:pt idx="49">
                  <c:v>87.731429334205075</c:v>
                </c:pt>
                <c:pt idx="50">
                  <c:v>#N/A</c:v>
                </c:pt>
                <c:pt idx="51">
                  <c:v>19.52442312302496</c:v>
                </c:pt>
                <c:pt idx="5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FA-4522-B05A-0FC8539BD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Sub 100m Jackpots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2"/>
              </a:solidFill>
              <a:ln w="9525">
                <a:noFill/>
              </a:ln>
              <a:effectLst/>
            </c:spPr>
          </c:marker>
          <c:xVal>
            <c:numRef>
              <c:f>Backtesting!$JQ$69:$JQ$245</c:f>
              <c:numCache>
                <c:formatCode>_-* #,##0.0_-;\-* #,##0.0_-;_-* "-"??_-;_-@_-</c:formatCode>
                <c:ptCount val="177"/>
                <c:pt idx="0">
                  <c:v>50</c:v>
                </c:pt>
                <c:pt idx="1">
                  <c:v>80</c:v>
                </c:pt>
                <c:pt idx="2">
                  <c:v>3</c:v>
                </c:pt>
                <c:pt idx="3">
                  <c:v>8</c:v>
                </c:pt>
                <c:pt idx="4">
                  <c:v>20</c:v>
                </c:pt>
                <c:pt idx="5">
                  <c:v>3</c:v>
                </c:pt>
                <c:pt idx="6">
                  <c:v>8</c:v>
                </c:pt>
                <c:pt idx="7">
                  <c:v>3</c:v>
                </c:pt>
                <c:pt idx="8">
                  <c:v>8</c:v>
                </c:pt>
                <c:pt idx="9">
                  <c:v>20</c:v>
                </c:pt>
                <c:pt idx="10">
                  <c:v>40</c:v>
                </c:pt>
                <c:pt idx="11">
                  <c:v>60</c:v>
                </c:pt>
                <c:pt idx="12">
                  <c:v>3</c:v>
                </c:pt>
                <c:pt idx="13">
                  <c:v>8</c:v>
                </c:pt>
                <c:pt idx="14">
                  <c:v>20</c:v>
                </c:pt>
                <c:pt idx="15">
                  <c:v>40</c:v>
                </c:pt>
                <c:pt idx="16">
                  <c:v>3</c:v>
                </c:pt>
                <c:pt idx="17">
                  <c:v>8</c:v>
                </c:pt>
                <c:pt idx="18">
                  <c:v>20</c:v>
                </c:pt>
                <c:pt idx="19">
                  <c:v>3</c:v>
                </c:pt>
                <c:pt idx="20">
                  <c:v>8</c:v>
                </c:pt>
                <c:pt idx="21">
                  <c:v>20</c:v>
                </c:pt>
                <c:pt idx="22">
                  <c:v>3</c:v>
                </c:pt>
                <c:pt idx="23">
                  <c:v>8</c:v>
                </c:pt>
                <c:pt idx="24">
                  <c:v>20</c:v>
                </c:pt>
                <c:pt idx="25">
                  <c:v>3</c:v>
                </c:pt>
                <c:pt idx="26">
                  <c:v>8</c:v>
                </c:pt>
                <c:pt idx="27">
                  <c:v>3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20</c:v>
                </c:pt>
                <c:pt idx="32">
                  <c:v>30</c:v>
                </c:pt>
                <c:pt idx="33">
                  <c:v>50</c:v>
                </c:pt>
                <c:pt idx="34">
                  <c:v>8</c:v>
                </c:pt>
                <c:pt idx="35">
                  <c:v>20</c:v>
                </c:pt>
                <c:pt idx="36">
                  <c:v>30</c:v>
                </c:pt>
                <c:pt idx="37">
                  <c:v>50</c:v>
                </c:pt>
                <c:pt idx="38">
                  <c:v>8</c:v>
                </c:pt>
                <c:pt idx="39">
                  <c:v>20</c:v>
                </c:pt>
                <c:pt idx="40">
                  <c:v>30</c:v>
                </c:pt>
                <c:pt idx="41">
                  <c:v>50</c:v>
                </c:pt>
                <c:pt idx="42">
                  <c:v>80</c:v>
                </c:pt>
                <c:pt idx="43">
                  <c:v>8</c:v>
                </c:pt>
                <c:pt idx="44">
                  <c:v>20</c:v>
                </c:pt>
                <c:pt idx="45">
                  <c:v>30</c:v>
                </c:pt>
                <c:pt idx="46">
                  <c:v>3</c:v>
                </c:pt>
                <c:pt idx="47">
                  <c:v>8</c:v>
                </c:pt>
                <c:pt idx="48">
                  <c:v>3</c:v>
                </c:pt>
                <c:pt idx="49">
                  <c:v>8</c:v>
                </c:pt>
                <c:pt idx="50">
                  <c:v>20</c:v>
                </c:pt>
                <c:pt idx="51">
                  <c:v>40</c:v>
                </c:pt>
                <c:pt idx="52">
                  <c:v>60</c:v>
                </c:pt>
                <c:pt idx="53">
                  <c:v>3</c:v>
                </c:pt>
                <c:pt idx="54">
                  <c:v>8</c:v>
                </c:pt>
                <c:pt idx="55">
                  <c:v>20</c:v>
                </c:pt>
                <c:pt idx="56">
                  <c:v>40</c:v>
                </c:pt>
                <c:pt idx="57">
                  <c:v>60</c:v>
                </c:pt>
                <c:pt idx="58">
                  <c:v>80</c:v>
                </c:pt>
                <c:pt idx="59">
                  <c:v>3</c:v>
                </c:pt>
                <c:pt idx="60">
                  <c:v>8</c:v>
                </c:pt>
                <c:pt idx="61">
                  <c:v>20</c:v>
                </c:pt>
                <c:pt idx="62">
                  <c:v>3</c:v>
                </c:pt>
                <c:pt idx="63">
                  <c:v>8</c:v>
                </c:pt>
                <c:pt idx="64">
                  <c:v>3</c:v>
                </c:pt>
                <c:pt idx="65">
                  <c:v>8</c:v>
                </c:pt>
                <c:pt idx="66">
                  <c:v>20</c:v>
                </c:pt>
                <c:pt idx="67">
                  <c:v>40</c:v>
                </c:pt>
                <c:pt idx="68">
                  <c:v>60</c:v>
                </c:pt>
                <c:pt idx="69">
                  <c:v>3</c:v>
                </c:pt>
                <c:pt idx="70">
                  <c:v>8</c:v>
                </c:pt>
                <c:pt idx="71">
                  <c:v>20</c:v>
                </c:pt>
                <c:pt idx="72">
                  <c:v>40</c:v>
                </c:pt>
                <c:pt idx="73">
                  <c:v>60</c:v>
                </c:pt>
                <c:pt idx="74">
                  <c:v>80</c:v>
                </c:pt>
                <c:pt idx="75">
                  <c:v>3</c:v>
                </c:pt>
                <c:pt idx="76">
                  <c:v>8</c:v>
                </c:pt>
                <c:pt idx="77">
                  <c:v>20</c:v>
                </c:pt>
                <c:pt idx="78">
                  <c:v>30</c:v>
                </c:pt>
                <c:pt idx="79">
                  <c:v>60</c:v>
                </c:pt>
                <c:pt idx="80">
                  <c:v>3</c:v>
                </c:pt>
                <c:pt idx="81">
                  <c:v>8</c:v>
                </c:pt>
                <c:pt idx="82">
                  <c:v>20</c:v>
                </c:pt>
                <c:pt idx="83">
                  <c:v>40</c:v>
                </c:pt>
                <c:pt idx="84">
                  <c:v>60</c:v>
                </c:pt>
                <c:pt idx="85">
                  <c:v>80</c:v>
                </c:pt>
                <c:pt idx="86">
                  <c:v>#N/A</c:v>
                </c:pt>
                <c:pt idx="87">
                  <c:v>3</c:v>
                </c:pt>
                <c:pt idx="88">
                  <c:v>8</c:v>
                </c:pt>
                <c:pt idx="89">
                  <c:v>20</c:v>
                </c:pt>
                <c:pt idx="90">
                  <c:v>3</c:v>
                </c:pt>
                <c:pt idx="91">
                  <c:v>8</c:v>
                </c:pt>
                <c:pt idx="92">
                  <c:v>20</c:v>
                </c:pt>
                <c:pt idx="93">
                  <c:v>4</c:v>
                </c:pt>
                <c:pt idx="94">
                  <c:v>8</c:v>
                </c:pt>
                <c:pt idx="95">
                  <c:v>20</c:v>
                </c:pt>
                <c:pt idx="96">
                  <c:v>40</c:v>
                </c:pt>
                <c:pt idx="97">
                  <c:v>60</c:v>
                </c:pt>
                <c:pt idx="98">
                  <c:v>80</c:v>
                </c:pt>
                <c:pt idx="99">
                  <c:v>4</c:v>
                </c:pt>
                <c:pt idx="100">
                  <c:v>4</c:v>
                </c:pt>
                <c:pt idx="101">
                  <c:v>8</c:v>
                </c:pt>
                <c:pt idx="102">
                  <c:v>20</c:v>
                </c:pt>
                <c:pt idx="103">
                  <c:v>40</c:v>
                </c:pt>
                <c:pt idx="104">
                  <c:v>60</c:v>
                </c:pt>
                <c:pt idx="105">
                  <c:v>4</c:v>
                </c:pt>
                <c:pt idx="106">
                  <c:v>8</c:v>
                </c:pt>
                <c:pt idx="107">
                  <c:v>4</c:v>
                </c:pt>
                <c:pt idx="108">
                  <c:v>4</c:v>
                </c:pt>
                <c:pt idx="109">
                  <c:v>8</c:v>
                </c:pt>
                <c:pt idx="110">
                  <c:v>20</c:v>
                </c:pt>
                <c:pt idx="111">
                  <c:v>4</c:v>
                </c:pt>
                <c:pt idx="112">
                  <c:v>8</c:v>
                </c:pt>
                <c:pt idx="113">
                  <c:v>20</c:v>
                </c:pt>
                <c:pt idx="114">
                  <c:v>40</c:v>
                </c:pt>
                <c:pt idx="115">
                  <c:v>8</c:v>
                </c:pt>
                <c:pt idx="116">
                  <c:v>8</c:v>
                </c:pt>
                <c:pt idx="117">
                  <c:v>20</c:v>
                </c:pt>
                <c:pt idx="118">
                  <c:v>30</c:v>
                </c:pt>
                <c:pt idx="119">
                  <c:v>50</c:v>
                </c:pt>
                <c:pt idx="120">
                  <c:v>#N/A</c:v>
                </c:pt>
                <c:pt idx="121">
                  <c:v>#N/A</c:v>
                </c:pt>
                <c:pt idx="122">
                  <c:v>8</c:v>
                </c:pt>
                <c:pt idx="123">
                  <c:v>20</c:v>
                </c:pt>
                <c:pt idx="124">
                  <c:v>30</c:v>
                </c:pt>
                <c:pt idx="125">
                  <c:v>50</c:v>
                </c:pt>
                <c:pt idx="126">
                  <c:v>8</c:v>
                </c:pt>
                <c:pt idx="127">
                  <c:v>20</c:v>
                </c:pt>
                <c:pt idx="128">
                  <c:v>30</c:v>
                </c:pt>
                <c:pt idx="129">
                  <c:v>50</c:v>
                </c:pt>
                <c:pt idx="130">
                  <c:v>#N/A</c:v>
                </c:pt>
                <c:pt idx="131">
                  <c:v>4</c:v>
                </c:pt>
                <c:pt idx="132">
                  <c:v>4</c:v>
                </c:pt>
                <c:pt idx="133">
                  <c:v>8</c:v>
                </c:pt>
                <c:pt idx="134">
                  <c:v>20</c:v>
                </c:pt>
                <c:pt idx="135">
                  <c:v>40</c:v>
                </c:pt>
                <c:pt idx="136">
                  <c:v>4</c:v>
                </c:pt>
                <c:pt idx="137">
                  <c:v>8</c:v>
                </c:pt>
                <c:pt idx="138">
                  <c:v>20</c:v>
                </c:pt>
                <c:pt idx="139">
                  <c:v>40</c:v>
                </c:pt>
                <c:pt idx="140">
                  <c:v>4</c:v>
                </c:pt>
                <c:pt idx="141">
                  <c:v>4</c:v>
                </c:pt>
                <c:pt idx="142">
                  <c:v>8</c:v>
                </c:pt>
                <c:pt idx="143">
                  <c:v>8</c:v>
                </c:pt>
                <c:pt idx="144">
                  <c:v>20</c:v>
                </c:pt>
                <c:pt idx="145">
                  <c:v>30</c:v>
                </c:pt>
                <c:pt idx="146">
                  <c:v>4</c:v>
                </c:pt>
                <c:pt idx="147">
                  <c:v>8</c:v>
                </c:pt>
                <c:pt idx="148">
                  <c:v>20</c:v>
                </c:pt>
                <c:pt idx="149">
                  <c:v>4</c:v>
                </c:pt>
                <c:pt idx="150">
                  <c:v>4</c:v>
                </c:pt>
                <c:pt idx="151">
                  <c:v>12</c:v>
                </c:pt>
                <c:pt idx="152">
                  <c:v>20</c:v>
                </c:pt>
                <c:pt idx="153">
                  <c:v>40</c:v>
                </c:pt>
                <c:pt idx="154">
                  <c:v>60</c:v>
                </c:pt>
                <c:pt idx="155">
                  <c:v>#N/A</c:v>
                </c:pt>
                <c:pt idx="156">
                  <c:v>4</c:v>
                </c:pt>
                <c:pt idx="157">
                  <c:v>12</c:v>
                </c:pt>
                <c:pt idx="158">
                  <c:v>20</c:v>
                </c:pt>
                <c:pt idx="159">
                  <c:v>40</c:v>
                </c:pt>
                <c:pt idx="160">
                  <c:v>60</c:v>
                </c:pt>
                <c:pt idx="161">
                  <c:v>#N/A</c:v>
                </c:pt>
                <c:pt idx="162">
                  <c:v>4</c:v>
                </c:pt>
                <c:pt idx="163">
                  <c:v>12</c:v>
                </c:pt>
                <c:pt idx="164">
                  <c:v>20</c:v>
                </c:pt>
                <c:pt idx="165">
                  <c:v>40</c:v>
                </c:pt>
                <c:pt idx="166">
                  <c:v>4</c:v>
                </c:pt>
                <c:pt idx="167">
                  <c:v>12</c:v>
                </c:pt>
                <c:pt idx="168">
                  <c:v>20</c:v>
                </c:pt>
                <c:pt idx="169">
                  <c:v>40</c:v>
                </c:pt>
                <c:pt idx="170">
                  <c:v>60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</c:numCache>
            </c:numRef>
          </c:xVal>
          <c:yVal>
            <c:numRef>
              <c:f>Backtesting!$JP$69:$JP$245</c:f>
              <c:numCache>
                <c:formatCode>_-* #,##0.0_-;\-* #,##0.0_-;_-* "-"??_-;_-@_-</c:formatCode>
                <c:ptCount val="177"/>
                <c:pt idx="0">
                  <c:v>69.318618911523259</c:v>
                </c:pt>
                <c:pt idx="1">
                  <c:v>107.88941027667983</c:v>
                </c:pt>
                <c:pt idx="2">
                  <c:v>20.009448707813924</c:v>
                </c:pt>
                <c:pt idx="3">
                  <c:v>25.6119068409851</c:v>
                </c:pt>
                <c:pt idx="4">
                  <c:v>44.346019337184551</c:v>
                </c:pt>
                <c:pt idx="5">
                  <c:v>19.730848282152632</c:v>
                </c:pt>
                <c:pt idx="6">
                  <c:v>26.811783764062021</c:v>
                </c:pt>
                <c:pt idx="7">
                  <c:v>18.946345758589239</c:v>
                </c:pt>
                <c:pt idx="8">
                  <c:v>26.767640012161749</c:v>
                </c:pt>
                <c:pt idx="9">
                  <c:v>40.517600243235023</c:v>
                </c:pt>
                <c:pt idx="10">
                  <c:v>59.511774764366059</c:v>
                </c:pt>
                <c:pt idx="11">
                  <c:v>82.205458680449993</c:v>
                </c:pt>
                <c:pt idx="12">
                  <c:v>19.672046457889937</c:v>
                </c:pt>
                <c:pt idx="13">
                  <c:v>27.468281909394953</c:v>
                </c:pt>
                <c:pt idx="14">
                  <c:v>42.908867619337187</c:v>
                </c:pt>
                <c:pt idx="15">
                  <c:v>61.499423776223779</c:v>
                </c:pt>
                <c:pt idx="16">
                  <c:v>19.054887686226817</c:v>
                </c:pt>
                <c:pt idx="17">
                  <c:v>24.929902341137119</c:v>
                </c:pt>
                <c:pt idx="18">
                  <c:v>39.323627363940403</c:v>
                </c:pt>
                <c:pt idx="19">
                  <c:v>17.49003441775616</c:v>
                </c:pt>
                <c:pt idx="20">
                  <c:v>23.485624323502588</c:v>
                </c:pt>
                <c:pt idx="21">
                  <c:v>40.190379811492861</c:v>
                </c:pt>
                <c:pt idx="22">
                  <c:v>17.815226512617816</c:v>
                </c:pt>
                <c:pt idx="23">
                  <c:v>25.066381757373062</c:v>
                </c:pt>
                <c:pt idx="24">
                  <c:v>40.397165825478872</c:v>
                </c:pt>
                <c:pt idx="25">
                  <c:v>19.022130495591366</c:v>
                </c:pt>
                <c:pt idx="26">
                  <c:v>25.387217756156883</c:v>
                </c:pt>
                <c:pt idx="27">
                  <c:v>17.082868713894804</c:v>
                </c:pt>
                <c:pt idx="28">
                  <c:v>24.054723502584363</c:v>
                </c:pt>
                <c:pt idx="29">
                  <c:v>39.055239160839157</c:v>
                </c:pt>
                <c:pt idx="30">
                  <c:v>22.19027935542718</c:v>
                </c:pt>
                <c:pt idx="31">
                  <c:v>36.953457707509884</c:v>
                </c:pt>
                <c:pt idx="32">
                  <c:v>48.994890605047111</c:v>
                </c:pt>
                <c:pt idx="33">
                  <c:v>78.306876740650651</c:v>
                </c:pt>
                <c:pt idx="34">
                  <c:v>22.972673761021586</c:v>
                </c:pt>
                <c:pt idx="35">
                  <c:v>37.058402918820313</c:v>
                </c:pt>
                <c:pt idx="36">
                  <c:v>45.393461356035267</c:v>
                </c:pt>
                <c:pt idx="37">
                  <c:v>69.99746646397081</c:v>
                </c:pt>
                <c:pt idx="38">
                  <c:v>23.50473821830343</c:v>
                </c:pt>
                <c:pt idx="39">
                  <c:v>37.212500334448158</c:v>
                </c:pt>
                <c:pt idx="40">
                  <c:v>41.866552508361195</c:v>
                </c:pt>
                <c:pt idx="41">
                  <c:v>63.615309698996647</c:v>
                </c:pt>
                <c:pt idx="42">
                  <c:v>118.500310611128</c:v>
                </c:pt>
                <c:pt idx="43">
                  <c:v>24.573953906962604</c:v>
                </c:pt>
                <c:pt idx="44">
                  <c:v>37.110605290361804</c:v>
                </c:pt>
                <c:pt idx="45">
                  <c:v>47.890415810276679</c:v>
                </c:pt>
                <c:pt idx="46">
                  <c:v>18.569740589844933</c:v>
                </c:pt>
                <c:pt idx="47">
                  <c:v>25.429040072970505</c:v>
                </c:pt>
                <c:pt idx="48">
                  <c:v>17.730661964122834</c:v>
                </c:pt>
                <c:pt idx="49">
                  <c:v>23.443848707813927</c:v>
                </c:pt>
                <c:pt idx="50">
                  <c:v>36.861438491942835</c:v>
                </c:pt>
                <c:pt idx="51">
                  <c:v>55.754455457585884</c:v>
                </c:pt>
                <c:pt idx="52">
                  <c:v>77.623219458802055</c:v>
                </c:pt>
                <c:pt idx="53">
                  <c:v>18.162558102766802</c:v>
                </c:pt>
                <c:pt idx="54">
                  <c:v>25.998846336272418</c:v>
                </c:pt>
                <c:pt idx="55">
                  <c:v>41.039352751596226</c:v>
                </c:pt>
                <c:pt idx="56">
                  <c:v>57.263651200972937</c:v>
                </c:pt>
                <c:pt idx="57">
                  <c:v>80.09238577075098</c:v>
                </c:pt>
                <c:pt idx="58">
                  <c:v>125.40573986013986</c:v>
                </c:pt>
                <c:pt idx="59">
                  <c:v>20.220383581635755</c:v>
                </c:pt>
                <c:pt idx="60">
                  <c:v>29.212562359379749</c:v>
                </c:pt>
                <c:pt idx="61">
                  <c:v>43.186218060200659</c:v>
                </c:pt>
                <c:pt idx="62">
                  <c:v>19.506276923076921</c:v>
                </c:pt>
                <c:pt idx="63">
                  <c:v>25.355454910307085</c:v>
                </c:pt>
                <c:pt idx="64">
                  <c:v>19.222718151413801</c:v>
                </c:pt>
                <c:pt idx="65">
                  <c:v>26.314208574034662</c:v>
                </c:pt>
                <c:pt idx="66">
                  <c:v>42.338397567649736</c:v>
                </c:pt>
                <c:pt idx="67">
                  <c:v>59.016362663423536</c:v>
                </c:pt>
                <c:pt idx="68">
                  <c:v>83.423387290969913</c:v>
                </c:pt>
                <c:pt idx="69">
                  <c:v>18.862208574034657</c:v>
                </c:pt>
                <c:pt idx="70">
                  <c:v>25.128435147461236</c:v>
                </c:pt>
                <c:pt idx="71">
                  <c:v>41.533547217999399</c:v>
                </c:pt>
                <c:pt idx="72">
                  <c:v>57.357794101550631</c:v>
                </c:pt>
                <c:pt idx="73">
                  <c:v>81.402100334448164</c:v>
                </c:pt>
                <c:pt idx="74">
                  <c:v>109.81424530252357</c:v>
                </c:pt>
                <c:pt idx="75">
                  <c:v>18.912447065977499</c:v>
                </c:pt>
                <c:pt idx="76">
                  <c:v>26.709691456369718</c:v>
                </c:pt>
                <c:pt idx="77">
                  <c:v>40.654796959562177</c:v>
                </c:pt>
                <c:pt idx="78">
                  <c:v>45.526023472179993</c:v>
                </c:pt>
                <c:pt idx="79">
                  <c:v>76.041502462754636</c:v>
                </c:pt>
                <c:pt idx="80">
                  <c:v>18.115088355123142</c:v>
                </c:pt>
                <c:pt idx="81">
                  <c:v>23.312285071450287</c:v>
                </c:pt>
                <c:pt idx="82">
                  <c:v>34.469990878686531</c:v>
                </c:pt>
                <c:pt idx="83">
                  <c:v>56.254159197324419</c:v>
                </c:pt>
                <c:pt idx="84">
                  <c:v>79.133284037701429</c:v>
                </c:pt>
                <c:pt idx="85">
                  <c:v>115.9472403770143</c:v>
                </c:pt>
                <c:pt idx="86">
                  <c:v>#N/A</c:v>
                </c:pt>
                <c:pt idx="87">
                  <c:v>19.764375068409851</c:v>
                </c:pt>
                <c:pt idx="88">
                  <c:v>26.335124840377009</c:v>
                </c:pt>
                <c:pt idx="89">
                  <c:v>40.906184493767107</c:v>
                </c:pt>
                <c:pt idx="90">
                  <c:v>19.376209911827303</c:v>
                </c:pt>
                <c:pt idx="91">
                  <c:v>27.161959987838248</c:v>
                </c:pt>
                <c:pt idx="92">
                  <c:v>42.925571784736995</c:v>
                </c:pt>
                <c:pt idx="93">
                  <c:v>20.606947765278193</c:v>
                </c:pt>
                <c:pt idx="94">
                  <c:v>24.23271170568562</c:v>
                </c:pt>
                <c:pt idx="95">
                  <c:v>39.401901124961988</c:v>
                </c:pt>
                <c:pt idx="96">
                  <c:v>58.067244025539672</c:v>
                </c:pt>
                <c:pt idx="97">
                  <c:v>83.810205168744289</c:v>
                </c:pt>
                <c:pt idx="98">
                  <c:v>116.72520401337792</c:v>
                </c:pt>
                <c:pt idx="99">
                  <c:v>21.016983155974454</c:v>
                </c:pt>
                <c:pt idx="100">
                  <c:v>21.125759318941927</c:v>
                </c:pt>
                <c:pt idx="101">
                  <c:v>27.291882760717545</c:v>
                </c:pt>
                <c:pt idx="102">
                  <c:v>41.963661416844026</c:v>
                </c:pt>
                <c:pt idx="103">
                  <c:v>57.463937245363326</c:v>
                </c:pt>
                <c:pt idx="104">
                  <c:v>77.836461903314074</c:v>
                </c:pt>
                <c:pt idx="105">
                  <c:v>20.096787838248709</c:v>
                </c:pt>
                <c:pt idx="106">
                  <c:v>27.258635451505018</c:v>
                </c:pt>
                <c:pt idx="107">
                  <c:v>20.96840571602311</c:v>
                </c:pt>
                <c:pt idx="108">
                  <c:v>19.329129096989966</c:v>
                </c:pt>
                <c:pt idx="109">
                  <c:v>24.328928428093644</c:v>
                </c:pt>
                <c:pt idx="110">
                  <c:v>39.456376284584977</c:v>
                </c:pt>
                <c:pt idx="111">
                  <c:v>20.023645363332321</c:v>
                </c:pt>
                <c:pt idx="112">
                  <c:v>25.45458339920949</c:v>
                </c:pt>
                <c:pt idx="113">
                  <c:v>39.743730009121315</c:v>
                </c:pt>
                <c:pt idx="114">
                  <c:v>61.420572818485859</c:v>
                </c:pt>
                <c:pt idx="115">
                  <c:v>25.008818485861962</c:v>
                </c:pt>
                <c:pt idx="116">
                  <c:v>22.65982973548191</c:v>
                </c:pt>
                <c:pt idx="117">
                  <c:v>35.905405655214345</c:v>
                </c:pt>
                <c:pt idx="118">
                  <c:v>47.423181270903001</c:v>
                </c:pt>
                <c:pt idx="119">
                  <c:v>77.692655761629666</c:v>
                </c:pt>
                <c:pt idx="120">
                  <c:v>#N/A</c:v>
                </c:pt>
                <c:pt idx="121">
                  <c:v>#N/A</c:v>
                </c:pt>
                <c:pt idx="122">
                  <c:v>27.003392885375497</c:v>
                </c:pt>
                <c:pt idx="123">
                  <c:v>44.321005290361803</c:v>
                </c:pt>
                <c:pt idx="124">
                  <c:v>51.026175372453629</c:v>
                </c:pt>
                <c:pt idx="125">
                  <c:v>71.266594101550623</c:v>
                </c:pt>
                <c:pt idx="126">
                  <c:v>25.213057950744904</c:v>
                </c:pt>
                <c:pt idx="127">
                  <c:v>38.341626147765275</c:v>
                </c:pt>
                <c:pt idx="128">
                  <c:v>50.094358163575549</c:v>
                </c:pt>
                <c:pt idx="129">
                  <c:v>75.733957798723026</c:v>
                </c:pt>
                <c:pt idx="130">
                  <c:v>#N/A</c:v>
                </c:pt>
                <c:pt idx="131">
                  <c:v>20.659761872909698</c:v>
                </c:pt>
                <c:pt idx="132">
                  <c:v>22.177022316813623</c:v>
                </c:pt>
                <c:pt idx="133">
                  <c:v>28.696273517786555</c:v>
                </c:pt>
                <c:pt idx="134">
                  <c:v>41.97672252964427</c:v>
                </c:pt>
                <c:pt idx="135">
                  <c:v>59.808873700212828</c:v>
                </c:pt>
                <c:pt idx="136">
                  <c:v>20.069480449984798</c:v>
                </c:pt>
                <c:pt idx="137">
                  <c:v>27.295176771055036</c:v>
                </c:pt>
                <c:pt idx="138">
                  <c:v>43.788940346609913</c:v>
                </c:pt>
                <c:pt idx="139">
                  <c:v>60.656023107327449</c:v>
                </c:pt>
                <c:pt idx="140">
                  <c:v>20.922155062328976</c:v>
                </c:pt>
                <c:pt idx="141">
                  <c:v>22.050697598054121</c:v>
                </c:pt>
                <c:pt idx="142">
                  <c:v>25.902576588628762</c:v>
                </c:pt>
                <c:pt idx="143">
                  <c:v>25.590152994831257</c:v>
                </c:pt>
                <c:pt idx="144">
                  <c:v>41.047026208574025</c:v>
                </c:pt>
                <c:pt idx="145">
                  <c:v>49.471698145332923</c:v>
                </c:pt>
                <c:pt idx="146">
                  <c:v>21.741040681058067</c:v>
                </c:pt>
                <c:pt idx="147">
                  <c:v>27.045895287321372</c:v>
                </c:pt>
                <c:pt idx="148">
                  <c:v>41.813564487686222</c:v>
                </c:pt>
                <c:pt idx="149">
                  <c:v>19.348700760109455</c:v>
                </c:pt>
                <c:pt idx="150">
                  <c:v>19.409982487078139</c:v>
                </c:pt>
                <c:pt idx="151">
                  <c:v>30.887849079219787</c:v>
                </c:pt>
                <c:pt idx="152">
                  <c:v>40.719506810504527</c:v>
                </c:pt>
                <c:pt idx="153">
                  <c:v>56.400732701318518</c:v>
                </c:pt>
                <c:pt idx="154">
                  <c:v>87.731429334205075</c:v>
                </c:pt>
                <c:pt idx="155">
                  <c:v>#N/A</c:v>
                </c:pt>
                <c:pt idx="156">
                  <c:v>19.52442312302496</c:v>
                </c:pt>
                <c:pt idx="157">
                  <c:v>31.154789255748071</c:v>
                </c:pt>
                <c:pt idx="158">
                  <c:v>40.570238531110391</c:v>
                </c:pt>
                <c:pt idx="159">
                  <c:v>60.8369621880789</c:v>
                </c:pt>
                <c:pt idx="160">
                  <c:v>84.639629072681714</c:v>
                </c:pt>
                <c:pt idx="161">
                  <c:v>#N/A</c:v>
                </c:pt>
                <c:pt idx="162">
                  <c:v>20.677774436090228</c:v>
                </c:pt>
                <c:pt idx="163">
                  <c:v>30.840203334423013</c:v>
                </c:pt>
                <c:pt idx="164">
                  <c:v>42.995307072027899</c:v>
                </c:pt>
                <c:pt idx="165">
                  <c:v>59.703342595619482</c:v>
                </c:pt>
                <c:pt idx="166">
                  <c:v>20.222166067342272</c:v>
                </c:pt>
                <c:pt idx="167">
                  <c:v>32.237415277323748</c:v>
                </c:pt>
                <c:pt idx="168">
                  <c:v>41.746812901819773</c:v>
                </c:pt>
                <c:pt idx="169">
                  <c:v>56.641298899422473</c:v>
                </c:pt>
                <c:pt idx="170">
                  <c:v>85.3851064618067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80-4231-B158-24EDA454B3D6}"/>
            </c:ext>
          </c:extLst>
        </c:ser>
        <c:ser>
          <c:idx val="1"/>
          <c:order val="1"/>
          <c:tx>
            <c:v>100m+ Jackpots</c:v>
          </c:tx>
          <c:spPr>
            <a:ln w="19050">
              <a:noFill/>
            </a:ln>
          </c:spPr>
          <c:marker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Backtesting!$JS$69:$JS$245</c:f>
              <c:numCache>
                <c:formatCode>_-* #,##0.0_-;\-* #,##0.0_-;_-* "-"??_-;_-@_-</c:formatCode>
                <c:ptCount val="17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120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100</c:v>
                </c:pt>
                <c:pt idx="121">
                  <c:v>160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100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100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100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</c:numCache>
            </c:numRef>
          </c:xVal>
          <c:yVal>
            <c:numRef>
              <c:f>Backtesting!$JR$69:$JR$245</c:f>
              <c:numCache>
                <c:formatCode>_-* #,##0.0_-;\-* #,##0.0_-;_-* "-"??_-;_-@_-</c:formatCode>
                <c:ptCount val="17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244.63164487686225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183.08447309212528</c:v>
                </c:pt>
                <c:pt idx="121">
                  <c:v>284.83741380358765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137.55484439039225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169.14758330609132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156.82348817696416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80-4231-B158-24EDA454B3D6}"/>
            </c:ext>
          </c:extLst>
        </c:ser>
        <c:ser>
          <c:idx val="2"/>
          <c:order val="2"/>
          <c:tx>
            <c:v>Sub 100m Linear Regression Extrapolated</c:v>
          </c:tx>
          <c:spPr>
            <a:ln w="19050">
              <a:solidFill>
                <a:schemeClr val="tx2">
                  <a:lumMod val="40000"/>
                  <a:lumOff val="60000"/>
                </a:schemeClr>
              </a:solidFill>
              <a:prstDash val="sysDot"/>
            </a:ln>
          </c:spPr>
          <c:marker>
            <c:symbol val="none"/>
          </c:marker>
          <c:xVal>
            <c:numRef>
              <c:f>Backtesting!$JU$69:$JU$245</c:f>
              <c:numCache>
                <c:formatCode>General</c:formatCode>
                <c:ptCount val="17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</c:numCache>
            </c:numRef>
          </c:xVal>
          <c:yVal>
            <c:numRef>
              <c:f>Backtesting!$JT$69:$JT$245</c:f>
              <c:numCache>
                <c:formatCode>_-* #,##0.0_-;\-* #,##0.0_-;_-* "-"??_-;_-@_-</c:formatCode>
                <c:ptCount val="177"/>
                <c:pt idx="0">
                  <c:v>16.832999999999998</c:v>
                </c:pt>
                <c:pt idx="1">
                  <c:v>27.671999999999997</c:v>
                </c:pt>
                <c:pt idx="2">
                  <c:v>38.510999999999996</c:v>
                </c:pt>
                <c:pt idx="3">
                  <c:v>49.35</c:v>
                </c:pt>
                <c:pt idx="4">
                  <c:v>60.189</c:v>
                </c:pt>
                <c:pt idx="5">
                  <c:v>71.028000000000006</c:v>
                </c:pt>
                <c:pt idx="6">
                  <c:v>81.867000000000004</c:v>
                </c:pt>
                <c:pt idx="7">
                  <c:v>92.706000000000003</c:v>
                </c:pt>
                <c:pt idx="8">
                  <c:v>103.545</c:v>
                </c:pt>
                <c:pt idx="9">
                  <c:v>114.384</c:v>
                </c:pt>
                <c:pt idx="10">
                  <c:v>125.22300000000001</c:v>
                </c:pt>
                <c:pt idx="11">
                  <c:v>136.06200000000001</c:v>
                </c:pt>
                <c:pt idx="12">
                  <c:v>146.90100000000001</c:v>
                </c:pt>
                <c:pt idx="13">
                  <c:v>157.74</c:v>
                </c:pt>
                <c:pt idx="14">
                  <c:v>168.57900000000001</c:v>
                </c:pt>
                <c:pt idx="15">
                  <c:v>179.41800000000001</c:v>
                </c:pt>
                <c:pt idx="16">
                  <c:v>190.25700000000001</c:v>
                </c:pt>
                <c:pt idx="17">
                  <c:v>201.096</c:v>
                </c:pt>
                <c:pt idx="18">
                  <c:v>211.935</c:v>
                </c:pt>
                <c:pt idx="19">
                  <c:v>222.774</c:v>
                </c:pt>
                <c:pt idx="20">
                  <c:v>233.61300000000003</c:v>
                </c:pt>
                <c:pt idx="21" formatCode="General">
                  <c:v>#N/A</c:v>
                </c:pt>
                <c:pt idx="22" formatCode="General">
                  <c:v>#N/A</c:v>
                </c:pt>
                <c:pt idx="23" formatCode="General">
                  <c:v>#N/A</c:v>
                </c:pt>
                <c:pt idx="24" formatCode="General">
                  <c:v>#N/A</c:v>
                </c:pt>
                <c:pt idx="25" formatCode="General">
                  <c:v>#N/A</c:v>
                </c:pt>
                <c:pt idx="26" formatCode="General">
                  <c:v>#N/A</c:v>
                </c:pt>
                <c:pt idx="27" formatCode="General">
                  <c:v>#N/A</c:v>
                </c:pt>
                <c:pt idx="28" formatCode="General">
                  <c:v>#N/A</c:v>
                </c:pt>
                <c:pt idx="29" formatCode="General">
                  <c:v>#N/A</c:v>
                </c:pt>
                <c:pt idx="30" formatCode="General">
                  <c:v>#N/A</c:v>
                </c:pt>
                <c:pt idx="31" formatCode="General">
                  <c:v>#N/A</c:v>
                </c:pt>
                <c:pt idx="32" formatCode="General">
                  <c:v>#N/A</c:v>
                </c:pt>
                <c:pt idx="33" formatCode="General">
                  <c:v>#N/A</c:v>
                </c:pt>
                <c:pt idx="34" formatCode="General">
                  <c:v>#N/A</c:v>
                </c:pt>
                <c:pt idx="35" formatCode="General">
                  <c:v>#N/A</c:v>
                </c:pt>
                <c:pt idx="36" formatCode="General">
                  <c:v>#N/A</c:v>
                </c:pt>
                <c:pt idx="37" formatCode="General">
                  <c:v>#N/A</c:v>
                </c:pt>
                <c:pt idx="38" formatCode="General">
                  <c:v>#N/A</c:v>
                </c:pt>
                <c:pt idx="39" formatCode="General">
                  <c:v>#N/A</c:v>
                </c:pt>
                <c:pt idx="40" formatCode="General">
                  <c:v>#N/A</c:v>
                </c:pt>
                <c:pt idx="41" formatCode="General">
                  <c:v>#N/A</c:v>
                </c:pt>
                <c:pt idx="42" formatCode="General">
                  <c:v>#N/A</c:v>
                </c:pt>
                <c:pt idx="43" formatCode="General">
                  <c:v>#N/A</c:v>
                </c:pt>
                <c:pt idx="44" formatCode="General">
                  <c:v>#N/A</c:v>
                </c:pt>
                <c:pt idx="45" formatCode="General">
                  <c:v>#N/A</c:v>
                </c:pt>
                <c:pt idx="46" formatCode="General">
                  <c:v>#N/A</c:v>
                </c:pt>
                <c:pt idx="47" formatCode="General">
                  <c:v>#N/A</c:v>
                </c:pt>
                <c:pt idx="48" formatCode="General">
                  <c:v>#N/A</c:v>
                </c:pt>
                <c:pt idx="49" formatCode="General">
                  <c:v>#N/A</c:v>
                </c:pt>
                <c:pt idx="50" formatCode="General">
                  <c:v>#N/A</c:v>
                </c:pt>
                <c:pt idx="51" formatCode="General">
                  <c:v>#N/A</c:v>
                </c:pt>
                <c:pt idx="52" formatCode="General">
                  <c:v>#N/A</c:v>
                </c:pt>
                <c:pt idx="53" formatCode="General">
                  <c:v>#N/A</c:v>
                </c:pt>
                <c:pt idx="54" formatCode="General">
                  <c:v>#N/A</c:v>
                </c:pt>
                <c:pt idx="55" formatCode="General">
                  <c:v>#N/A</c:v>
                </c:pt>
                <c:pt idx="56" formatCode="General">
                  <c:v>#N/A</c:v>
                </c:pt>
                <c:pt idx="57" formatCode="General">
                  <c:v>#N/A</c:v>
                </c:pt>
                <c:pt idx="58" formatCode="General">
                  <c:v>#N/A</c:v>
                </c:pt>
                <c:pt idx="59" formatCode="General">
                  <c:v>#N/A</c:v>
                </c:pt>
                <c:pt idx="60" formatCode="General">
                  <c:v>#N/A</c:v>
                </c:pt>
                <c:pt idx="61" formatCode="General">
                  <c:v>#N/A</c:v>
                </c:pt>
                <c:pt idx="62" formatCode="General">
                  <c:v>#N/A</c:v>
                </c:pt>
                <c:pt idx="63" formatCode="General">
                  <c:v>#N/A</c:v>
                </c:pt>
                <c:pt idx="64" formatCode="General">
                  <c:v>#N/A</c:v>
                </c:pt>
                <c:pt idx="65" formatCode="General">
                  <c:v>#N/A</c:v>
                </c:pt>
                <c:pt idx="66" formatCode="General">
                  <c:v>#N/A</c:v>
                </c:pt>
                <c:pt idx="67" formatCode="General">
                  <c:v>#N/A</c:v>
                </c:pt>
                <c:pt idx="68" formatCode="General">
                  <c:v>#N/A</c:v>
                </c:pt>
                <c:pt idx="69" formatCode="General">
                  <c:v>#N/A</c:v>
                </c:pt>
                <c:pt idx="70" formatCode="General">
                  <c:v>#N/A</c:v>
                </c:pt>
                <c:pt idx="71" formatCode="General">
                  <c:v>#N/A</c:v>
                </c:pt>
                <c:pt idx="72" formatCode="General">
                  <c:v>#N/A</c:v>
                </c:pt>
                <c:pt idx="73" formatCode="General">
                  <c:v>#N/A</c:v>
                </c:pt>
                <c:pt idx="74" formatCode="General">
                  <c:v>#N/A</c:v>
                </c:pt>
                <c:pt idx="75" formatCode="General">
                  <c:v>#N/A</c:v>
                </c:pt>
                <c:pt idx="76" formatCode="General">
                  <c:v>#N/A</c:v>
                </c:pt>
                <c:pt idx="77" formatCode="General">
                  <c:v>#N/A</c:v>
                </c:pt>
                <c:pt idx="78" formatCode="General">
                  <c:v>#N/A</c:v>
                </c:pt>
                <c:pt idx="79" formatCode="General">
                  <c:v>#N/A</c:v>
                </c:pt>
                <c:pt idx="80" formatCode="General">
                  <c:v>#N/A</c:v>
                </c:pt>
                <c:pt idx="81" formatCode="General">
                  <c:v>#N/A</c:v>
                </c:pt>
                <c:pt idx="82" formatCode="General">
                  <c:v>#N/A</c:v>
                </c:pt>
                <c:pt idx="83" formatCode="General">
                  <c:v>#N/A</c:v>
                </c:pt>
                <c:pt idx="84" formatCode="General">
                  <c:v>#N/A</c:v>
                </c:pt>
                <c:pt idx="85" formatCode="General">
                  <c:v>#N/A</c:v>
                </c:pt>
                <c:pt idx="86" formatCode="General">
                  <c:v>#N/A</c:v>
                </c:pt>
                <c:pt idx="87" formatCode="General">
                  <c:v>#N/A</c:v>
                </c:pt>
                <c:pt idx="88" formatCode="General">
                  <c:v>#N/A</c:v>
                </c:pt>
                <c:pt idx="89" formatCode="General">
                  <c:v>#N/A</c:v>
                </c:pt>
                <c:pt idx="90" formatCode="General">
                  <c:v>#N/A</c:v>
                </c:pt>
                <c:pt idx="91" formatCode="General">
                  <c:v>#N/A</c:v>
                </c:pt>
                <c:pt idx="92" formatCode="General">
                  <c:v>#N/A</c:v>
                </c:pt>
                <c:pt idx="93" formatCode="General">
                  <c:v>#N/A</c:v>
                </c:pt>
                <c:pt idx="94" formatCode="General">
                  <c:v>#N/A</c:v>
                </c:pt>
                <c:pt idx="95" formatCode="General">
                  <c:v>#N/A</c:v>
                </c:pt>
                <c:pt idx="96" formatCode="General">
                  <c:v>#N/A</c:v>
                </c:pt>
                <c:pt idx="97" formatCode="General">
                  <c:v>#N/A</c:v>
                </c:pt>
                <c:pt idx="98" formatCode="General">
                  <c:v>#N/A</c:v>
                </c:pt>
                <c:pt idx="99" formatCode="General">
                  <c:v>#N/A</c:v>
                </c:pt>
                <c:pt idx="100" formatCode="General">
                  <c:v>#N/A</c:v>
                </c:pt>
                <c:pt idx="101" formatCode="General">
                  <c:v>#N/A</c:v>
                </c:pt>
                <c:pt idx="102" formatCode="General">
                  <c:v>#N/A</c:v>
                </c:pt>
                <c:pt idx="103" formatCode="General">
                  <c:v>#N/A</c:v>
                </c:pt>
                <c:pt idx="104" formatCode="General">
                  <c:v>#N/A</c:v>
                </c:pt>
                <c:pt idx="105" formatCode="General">
                  <c:v>#N/A</c:v>
                </c:pt>
                <c:pt idx="106" formatCode="General">
                  <c:v>#N/A</c:v>
                </c:pt>
                <c:pt idx="107" formatCode="General">
                  <c:v>#N/A</c:v>
                </c:pt>
                <c:pt idx="108" formatCode="General">
                  <c:v>#N/A</c:v>
                </c:pt>
                <c:pt idx="109" formatCode="General">
                  <c:v>#N/A</c:v>
                </c:pt>
                <c:pt idx="110" formatCode="General">
                  <c:v>#N/A</c:v>
                </c:pt>
                <c:pt idx="111" formatCode="General">
                  <c:v>#N/A</c:v>
                </c:pt>
                <c:pt idx="112" formatCode="General">
                  <c:v>#N/A</c:v>
                </c:pt>
                <c:pt idx="113" formatCode="General">
                  <c:v>#N/A</c:v>
                </c:pt>
                <c:pt idx="114" formatCode="General">
                  <c:v>#N/A</c:v>
                </c:pt>
                <c:pt idx="115" formatCode="General">
                  <c:v>#N/A</c:v>
                </c:pt>
                <c:pt idx="116" formatCode="General">
                  <c:v>#N/A</c:v>
                </c:pt>
                <c:pt idx="117" formatCode="General">
                  <c:v>#N/A</c:v>
                </c:pt>
                <c:pt idx="118" formatCode="General">
                  <c:v>#N/A</c:v>
                </c:pt>
                <c:pt idx="119" formatCode="General">
                  <c:v>#N/A</c:v>
                </c:pt>
                <c:pt idx="120" formatCode="General">
                  <c:v>#N/A</c:v>
                </c:pt>
                <c:pt idx="121" formatCode="General">
                  <c:v>#N/A</c:v>
                </c:pt>
                <c:pt idx="122" formatCode="General">
                  <c:v>#N/A</c:v>
                </c:pt>
                <c:pt idx="123" formatCode="General">
                  <c:v>#N/A</c:v>
                </c:pt>
                <c:pt idx="124" formatCode="General">
                  <c:v>#N/A</c:v>
                </c:pt>
                <c:pt idx="125" formatCode="General">
                  <c:v>#N/A</c:v>
                </c:pt>
                <c:pt idx="126" formatCode="General">
                  <c:v>#N/A</c:v>
                </c:pt>
                <c:pt idx="127" formatCode="General">
                  <c:v>#N/A</c:v>
                </c:pt>
                <c:pt idx="128" formatCode="General">
                  <c:v>#N/A</c:v>
                </c:pt>
                <c:pt idx="129" formatCode="General">
                  <c:v>#N/A</c:v>
                </c:pt>
                <c:pt idx="130" formatCode="General">
                  <c:v>#N/A</c:v>
                </c:pt>
                <c:pt idx="131" formatCode="General">
                  <c:v>#N/A</c:v>
                </c:pt>
                <c:pt idx="132" formatCode="General">
                  <c:v>#N/A</c:v>
                </c:pt>
                <c:pt idx="133" formatCode="General">
                  <c:v>#N/A</c:v>
                </c:pt>
                <c:pt idx="134" formatCode="General">
                  <c:v>#N/A</c:v>
                </c:pt>
                <c:pt idx="135" formatCode="General">
                  <c:v>#N/A</c:v>
                </c:pt>
                <c:pt idx="136" formatCode="General">
                  <c:v>#N/A</c:v>
                </c:pt>
                <c:pt idx="137" formatCode="General">
                  <c:v>#N/A</c:v>
                </c:pt>
                <c:pt idx="138" formatCode="General">
                  <c:v>#N/A</c:v>
                </c:pt>
                <c:pt idx="139" formatCode="General">
                  <c:v>#N/A</c:v>
                </c:pt>
                <c:pt idx="140" formatCode="General">
                  <c:v>#N/A</c:v>
                </c:pt>
                <c:pt idx="141" formatCode="General">
                  <c:v>#N/A</c:v>
                </c:pt>
                <c:pt idx="142" formatCode="General">
                  <c:v>#N/A</c:v>
                </c:pt>
                <c:pt idx="143" formatCode="General">
                  <c:v>#N/A</c:v>
                </c:pt>
                <c:pt idx="144" formatCode="General">
                  <c:v>#N/A</c:v>
                </c:pt>
                <c:pt idx="145" formatCode="General">
                  <c:v>#N/A</c:v>
                </c:pt>
                <c:pt idx="146" formatCode="General">
                  <c:v>#N/A</c:v>
                </c:pt>
                <c:pt idx="147" formatCode="General">
                  <c:v>#N/A</c:v>
                </c:pt>
                <c:pt idx="148" formatCode="General">
                  <c:v>#N/A</c:v>
                </c:pt>
                <c:pt idx="149" formatCode="General">
                  <c:v>#N/A</c:v>
                </c:pt>
                <c:pt idx="150" formatCode="General">
                  <c:v>#N/A</c:v>
                </c:pt>
                <c:pt idx="151" formatCode="General">
                  <c:v>#N/A</c:v>
                </c:pt>
                <c:pt idx="152" formatCode="General">
                  <c:v>#N/A</c:v>
                </c:pt>
                <c:pt idx="153" formatCode="General">
                  <c:v>#N/A</c:v>
                </c:pt>
                <c:pt idx="154" formatCode="General">
                  <c:v>#N/A</c:v>
                </c:pt>
                <c:pt idx="155" formatCode="General">
                  <c:v>#N/A</c:v>
                </c:pt>
                <c:pt idx="156" formatCode="General">
                  <c:v>#N/A</c:v>
                </c:pt>
                <c:pt idx="157" formatCode="General">
                  <c:v>#N/A</c:v>
                </c:pt>
                <c:pt idx="158" formatCode="General">
                  <c:v>#N/A</c:v>
                </c:pt>
                <c:pt idx="159" formatCode="General">
                  <c:v>#N/A</c:v>
                </c:pt>
                <c:pt idx="160" formatCode="General">
                  <c:v>#N/A</c:v>
                </c:pt>
                <c:pt idx="161" formatCode="General">
                  <c:v>#N/A</c:v>
                </c:pt>
                <c:pt idx="162" formatCode="General">
                  <c:v>#N/A</c:v>
                </c:pt>
                <c:pt idx="163" formatCode="General">
                  <c:v>#N/A</c:v>
                </c:pt>
                <c:pt idx="164" formatCode="General">
                  <c:v>#N/A</c:v>
                </c:pt>
                <c:pt idx="165" formatCode="General">
                  <c:v>#N/A</c:v>
                </c:pt>
                <c:pt idx="166" formatCode="General">
                  <c:v>#N/A</c:v>
                </c:pt>
                <c:pt idx="167" formatCode="General">
                  <c:v>#N/A</c:v>
                </c:pt>
                <c:pt idx="168" formatCode="General">
                  <c:v>#N/A</c:v>
                </c:pt>
                <c:pt idx="169" formatCode="General">
                  <c:v>#N/A</c:v>
                </c:pt>
                <c:pt idx="170" formatCode="General">
                  <c:v>#N/A</c:v>
                </c:pt>
                <c:pt idx="171" formatCode="General">
                  <c:v>#N/A</c:v>
                </c:pt>
                <c:pt idx="172" formatCode="General">
                  <c:v>#N/A</c:v>
                </c:pt>
                <c:pt idx="173" formatCode="General">
                  <c:v>#N/A</c:v>
                </c:pt>
                <c:pt idx="174" formatCode="General">
                  <c:v>#N/A</c:v>
                </c:pt>
                <c:pt idx="175" formatCode="General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80-4231-B158-24EDA454B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920512"/>
        <c:axId val="818924672"/>
      </c:scatterChart>
      <c:valAx>
        <c:axId val="818920512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Jackpot ($m)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4672"/>
        <c:crosses val="autoZero"/>
        <c:crossBetween val="midCat"/>
      </c:valAx>
      <c:valAx>
        <c:axId val="8189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Entries (m's)</a:t>
                </a:r>
              </a:p>
            </c:rich>
          </c:tx>
          <c:overlay val="0"/>
        </c:title>
        <c:numFmt formatCode="#,##0_ ;\-#,##0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2051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3.xml"/><Relationship Id="rId13" Type="http://schemas.openxmlformats.org/officeDocument/2006/relationships/chart" Target="../charts/chart68.xml"/><Relationship Id="rId18" Type="http://schemas.openxmlformats.org/officeDocument/2006/relationships/chart" Target="../charts/chart73.xml"/><Relationship Id="rId3" Type="http://schemas.openxmlformats.org/officeDocument/2006/relationships/chart" Target="../charts/chart58.xml"/><Relationship Id="rId7" Type="http://schemas.openxmlformats.org/officeDocument/2006/relationships/chart" Target="../charts/chart62.xml"/><Relationship Id="rId12" Type="http://schemas.openxmlformats.org/officeDocument/2006/relationships/chart" Target="../charts/chart67.xml"/><Relationship Id="rId17" Type="http://schemas.openxmlformats.org/officeDocument/2006/relationships/chart" Target="../charts/chart72.xml"/><Relationship Id="rId2" Type="http://schemas.openxmlformats.org/officeDocument/2006/relationships/chart" Target="../charts/chart57.xml"/><Relationship Id="rId16" Type="http://schemas.openxmlformats.org/officeDocument/2006/relationships/chart" Target="../charts/chart71.xml"/><Relationship Id="rId20" Type="http://schemas.openxmlformats.org/officeDocument/2006/relationships/chart" Target="../charts/chart75.xml"/><Relationship Id="rId1" Type="http://schemas.openxmlformats.org/officeDocument/2006/relationships/chart" Target="../charts/chart56.xml"/><Relationship Id="rId6" Type="http://schemas.openxmlformats.org/officeDocument/2006/relationships/chart" Target="../charts/chart61.xml"/><Relationship Id="rId11" Type="http://schemas.openxmlformats.org/officeDocument/2006/relationships/chart" Target="../charts/chart66.xml"/><Relationship Id="rId5" Type="http://schemas.openxmlformats.org/officeDocument/2006/relationships/chart" Target="../charts/chart60.xml"/><Relationship Id="rId15" Type="http://schemas.openxmlformats.org/officeDocument/2006/relationships/chart" Target="../charts/chart70.xml"/><Relationship Id="rId10" Type="http://schemas.openxmlformats.org/officeDocument/2006/relationships/chart" Target="../charts/chart65.xml"/><Relationship Id="rId19" Type="http://schemas.openxmlformats.org/officeDocument/2006/relationships/chart" Target="../charts/chart74.xml"/><Relationship Id="rId4" Type="http://schemas.openxmlformats.org/officeDocument/2006/relationships/chart" Target="../charts/chart59.xml"/><Relationship Id="rId9" Type="http://schemas.openxmlformats.org/officeDocument/2006/relationships/chart" Target="../charts/chart64.xml"/><Relationship Id="rId14" Type="http://schemas.openxmlformats.org/officeDocument/2006/relationships/chart" Target="../charts/chart69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88.xml"/><Relationship Id="rId18" Type="http://schemas.openxmlformats.org/officeDocument/2006/relationships/chart" Target="../charts/chart93.xml"/><Relationship Id="rId26" Type="http://schemas.openxmlformats.org/officeDocument/2006/relationships/chart" Target="../charts/chart101.xml"/><Relationship Id="rId39" Type="http://schemas.openxmlformats.org/officeDocument/2006/relationships/chart" Target="../charts/chart114.xml"/><Relationship Id="rId21" Type="http://schemas.openxmlformats.org/officeDocument/2006/relationships/chart" Target="../charts/chart96.xml"/><Relationship Id="rId34" Type="http://schemas.openxmlformats.org/officeDocument/2006/relationships/chart" Target="../charts/chart109.xml"/><Relationship Id="rId42" Type="http://schemas.openxmlformats.org/officeDocument/2006/relationships/chart" Target="../charts/chart117.xml"/><Relationship Id="rId47" Type="http://schemas.openxmlformats.org/officeDocument/2006/relationships/chart" Target="../charts/chart122.xml"/><Relationship Id="rId50" Type="http://schemas.openxmlformats.org/officeDocument/2006/relationships/chart" Target="../charts/chart125.xml"/><Relationship Id="rId55" Type="http://schemas.openxmlformats.org/officeDocument/2006/relationships/image" Target="../media/image1.png"/><Relationship Id="rId7" Type="http://schemas.openxmlformats.org/officeDocument/2006/relationships/chart" Target="../charts/chart82.xml"/><Relationship Id="rId2" Type="http://schemas.openxmlformats.org/officeDocument/2006/relationships/chart" Target="../charts/chart77.xml"/><Relationship Id="rId16" Type="http://schemas.openxmlformats.org/officeDocument/2006/relationships/chart" Target="../charts/chart91.xml"/><Relationship Id="rId29" Type="http://schemas.openxmlformats.org/officeDocument/2006/relationships/chart" Target="../charts/chart104.xml"/><Relationship Id="rId11" Type="http://schemas.openxmlformats.org/officeDocument/2006/relationships/chart" Target="../charts/chart86.xml"/><Relationship Id="rId24" Type="http://schemas.openxmlformats.org/officeDocument/2006/relationships/chart" Target="../charts/chart99.xml"/><Relationship Id="rId32" Type="http://schemas.openxmlformats.org/officeDocument/2006/relationships/chart" Target="../charts/chart107.xml"/><Relationship Id="rId37" Type="http://schemas.openxmlformats.org/officeDocument/2006/relationships/chart" Target="../charts/chart112.xml"/><Relationship Id="rId40" Type="http://schemas.openxmlformats.org/officeDocument/2006/relationships/chart" Target="../charts/chart115.xml"/><Relationship Id="rId45" Type="http://schemas.openxmlformats.org/officeDocument/2006/relationships/chart" Target="../charts/chart120.xml"/><Relationship Id="rId53" Type="http://schemas.openxmlformats.org/officeDocument/2006/relationships/chart" Target="../charts/chart128.xml"/><Relationship Id="rId5" Type="http://schemas.openxmlformats.org/officeDocument/2006/relationships/chart" Target="../charts/chart80.xml"/><Relationship Id="rId10" Type="http://schemas.openxmlformats.org/officeDocument/2006/relationships/chart" Target="../charts/chart85.xml"/><Relationship Id="rId19" Type="http://schemas.openxmlformats.org/officeDocument/2006/relationships/chart" Target="../charts/chart94.xml"/><Relationship Id="rId31" Type="http://schemas.openxmlformats.org/officeDocument/2006/relationships/chart" Target="../charts/chart106.xml"/><Relationship Id="rId44" Type="http://schemas.openxmlformats.org/officeDocument/2006/relationships/chart" Target="../charts/chart119.xml"/><Relationship Id="rId52" Type="http://schemas.openxmlformats.org/officeDocument/2006/relationships/chart" Target="../charts/chart127.xml"/><Relationship Id="rId4" Type="http://schemas.openxmlformats.org/officeDocument/2006/relationships/chart" Target="../charts/chart79.xml"/><Relationship Id="rId9" Type="http://schemas.openxmlformats.org/officeDocument/2006/relationships/chart" Target="../charts/chart84.xml"/><Relationship Id="rId14" Type="http://schemas.openxmlformats.org/officeDocument/2006/relationships/chart" Target="../charts/chart89.xml"/><Relationship Id="rId22" Type="http://schemas.openxmlformats.org/officeDocument/2006/relationships/chart" Target="../charts/chart97.xml"/><Relationship Id="rId27" Type="http://schemas.openxmlformats.org/officeDocument/2006/relationships/chart" Target="../charts/chart102.xml"/><Relationship Id="rId30" Type="http://schemas.openxmlformats.org/officeDocument/2006/relationships/chart" Target="../charts/chart105.xml"/><Relationship Id="rId35" Type="http://schemas.openxmlformats.org/officeDocument/2006/relationships/chart" Target="../charts/chart110.xml"/><Relationship Id="rId43" Type="http://schemas.openxmlformats.org/officeDocument/2006/relationships/chart" Target="../charts/chart118.xml"/><Relationship Id="rId48" Type="http://schemas.openxmlformats.org/officeDocument/2006/relationships/chart" Target="../charts/chart123.xml"/><Relationship Id="rId8" Type="http://schemas.openxmlformats.org/officeDocument/2006/relationships/chart" Target="../charts/chart83.xml"/><Relationship Id="rId51" Type="http://schemas.openxmlformats.org/officeDocument/2006/relationships/chart" Target="../charts/chart126.xml"/><Relationship Id="rId3" Type="http://schemas.openxmlformats.org/officeDocument/2006/relationships/chart" Target="../charts/chart78.xml"/><Relationship Id="rId12" Type="http://schemas.openxmlformats.org/officeDocument/2006/relationships/chart" Target="../charts/chart87.xml"/><Relationship Id="rId17" Type="http://schemas.openxmlformats.org/officeDocument/2006/relationships/chart" Target="../charts/chart92.xml"/><Relationship Id="rId25" Type="http://schemas.openxmlformats.org/officeDocument/2006/relationships/chart" Target="../charts/chart100.xml"/><Relationship Id="rId33" Type="http://schemas.openxmlformats.org/officeDocument/2006/relationships/chart" Target="../charts/chart108.xml"/><Relationship Id="rId38" Type="http://schemas.openxmlformats.org/officeDocument/2006/relationships/chart" Target="../charts/chart113.xml"/><Relationship Id="rId46" Type="http://schemas.openxmlformats.org/officeDocument/2006/relationships/chart" Target="../charts/chart121.xml"/><Relationship Id="rId20" Type="http://schemas.openxmlformats.org/officeDocument/2006/relationships/chart" Target="../charts/chart95.xml"/><Relationship Id="rId41" Type="http://schemas.openxmlformats.org/officeDocument/2006/relationships/chart" Target="../charts/chart116.xml"/><Relationship Id="rId54" Type="http://schemas.openxmlformats.org/officeDocument/2006/relationships/chart" Target="../charts/chart129.xml"/><Relationship Id="rId1" Type="http://schemas.openxmlformats.org/officeDocument/2006/relationships/chart" Target="../charts/chart76.xml"/><Relationship Id="rId6" Type="http://schemas.openxmlformats.org/officeDocument/2006/relationships/chart" Target="../charts/chart81.xml"/><Relationship Id="rId15" Type="http://schemas.openxmlformats.org/officeDocument/2006/relationships/chart" Target="../charts/chart90.xml"/><Relationship Id="rId23" Type="http://schemas.openxmlformats.org/officeDocument/2006/relationships/chart" Target="../charts/chart98.xml"/><Relationship Id="rId28" Type="http://schemas.openxmlformats.org/officeDocument/2006/relationships/chart" Target="../charts/chart103.xml"/><Relationship Id="rId36" Type="http://schemas.openxmlformats.org/officeDocument/2006/relationships/chart" Target="../charts/chart111.xml"/><Relationship Id="rId49" Type="http://schemas.openxmlformats.org/officeDocument/2006/relationships/chart" Target="../charts/chart1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154</xdr:col>
      <xdr:colOff>224120</xdr:colOff>
      <xdr:row>5</xdr:row>
      <xdr:rowOff>11208</xdr:rowOff>
    </xdr:from>
    <xdr:to>
      <xdr:col>154</xdr:col>
      <xdr:colOff>4904120</xdr:colOff>
      <xdr:row>20</xdr:row>
      <xdr:rowOff>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0CCF8E-9265-4901-8A52-244925387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154</xdr:col>
      <xdr:colOff>302559</xdr:colOff>
      <xdr:row>20</xdr:row>
      <xdr:rowOff>100854</xdr:rowOff>
    </xdr:from>
    <xdr:to>
      <xdr:col>154</xdr:col>
      <xdr:colOff>4982559</xdr:colOff>
      <xdr:row>35</xdr:row>
      <xdr:rowOff>123354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F40419-0A2C-4E28-8006-2FEE776AE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169</xdr:col>
      <xdr:colOff>291353</xdr:colOff>
      <xdr:row>4</xdr:row>
      <xdr:rowOff>123264</xdr:rowOff>
    </xdr:from>
    <xdr:to>
      <xdr:col>169</xdr:col>
      <xdr:colOff>4971353</xdr:colOff>
      <xdr:row>19</xdr:row>
      <xdr:rowOff>112146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D5FE4F-7250-449B-9731-81FC5C998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169</xdr:col>
      <xdr:colOff>268941</xdr:colOff>
      <xdr:row>20</xdr:row>
      <xdr:rowOff>123264</xdr:rowOff>
    </xdr:from>
    <xdr:to>
      <xdr:col>169</xdr:col>
      <xdr:colOff>4948941</xdr:colOff>
      <xdr:row>35</xdr:row>
      <xdr:rowOff>145764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3D2D70-268C-494D-8F81-1A4DCE0E3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214</xdr:col>
      <xdr:colOff>268941</xdr:colOff>
      <xdr:row>5</xdr:row>
      <xdr:rowOff>201706</xdr:rowOff>
    </xdr:from>
    <xdr:to>
      <xdr:col>214</xdr:col>
      <xdr:colOff>4948941</xdr:colOff>
      <xdr:row>21</xdr:row>
      <xdr:rowOff>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34FB0C-54AF-46A9-A414-2532AC825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214</xdr:col>
      <xdr:colOff>257735</xdr:colOff>
      <xdr:row>21</xdr:row>
      <xdr:rowOff>134470</xdr:rowOff>
    </xdr:from>
    <xdr:to>
      <xdr:col>214</xdr:col>
      <xdr:colOff>4937735</xdr:colOff>
      <xdr:row>36</xdr:row>
      <xdr:rowOff>156970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D7F291-4C8C-4BD4-951E-2613CF72A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229</xdr:col>
      <xdr:colOff>246531</xdr:colOff>
      <xdr:row>6</xdr:row>
      <xdr:rowOff>67235</xdr:rowOff>
    </xdr:from>
    <xdr:to>
      <xdr:col>229</xdr:col>
      <xdr:colOff>4926531</xdr:colOff>
      <xdr:row>21</xdr:row>
      <xdr:rowOff>89735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750DD6-E919-4002-BF35-207E2E9EF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229</xdr:col>
      <xdr:colOff>224119</xdr:colOff>
      <xdr:row>22</xdr:row>
      <xdr:rowOff>100853</xdr:rowOff>
    </xdr:from>
    <xdr:to>
      <xdr:col>229</xdr:col>
      <xdr:colOff>4904119</xdr:colOff>
      <xdr:row>37</xdr:row>
      <xdr:rowOff>123353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F673528-C409-462D-857F-09ECE1746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251</xdr:col>
      <xdr:colOff>224116</xdr:colOff>
      <xdr:row>7</xdr:row>
      <xdr:rowOff>56029</xdr:rowOff>
    </xdr:from>
    <xdr:to>
      <xdr:col>251</xdr:col>
      <xdr:colOff>4904116</xdr:colOff>
      <xdr:row>22</xdr:row>
      <xdr:rowOff>78529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F20EB08-531D-4779-B856-39B1ACC73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251</xdr:col>
      <xdr:colOff>201704</xdr:colOff>
      <xdr:row>23</xdr:row>
      <xdr:rowOff>89647</xdr:rowOff>
    </xdr:from>
    <xdr:to>
      <xdr:col>251</xdr:col>
      <xdr:colOff>4881704</xdr:colOff>
      <xdr:row>38</xdr:row>
      <xdr:rowOff>112147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C754F5-6B78-4B6E-95D1-84BB84950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251</xdr:col>
      <xdr:colOff>212911</xdr:colOff>
      <xdr:row>39</xdr:row>
      <xdr:rowOff>134470</xdr:rowOff>
    </xdr:from>
    <xdr:to>
      <xdr:col>251</xdr:col>
      <xdr:colOff>4892911</xdr:colOff>
      <xdr:row>54</xdr:row>
      <xdr:rowOff>156970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5AAA7F1-B3F3-44EB-8E1E-4D15B63E5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192</xdr:col>
      <xdr:colOff>268941</xdr:colOff>
      <xdr:row>5</xdr:row>
      <xdr:rowOff>201706</xdr:rowOff>
    </xdr:from>
    <xdr:to>
      <xdr:col>192</xdr:col>
      <xdr:colOff>4948941</xdr:colOff>
      <xdr:row>21</xdr:row>
      <xdr:rowOff>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B041F2F-1621-42E9-9A41-7BEED20C0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192</xdr:col>
      <xdr:colOff>257735</xdr:colOff>
      <xdr:row>21</xdr:row>
      <xdr:rowOff>134470</xdr:rowOff>
    </xdr:from>
    <xdr:to>
      <xdr:col>192</xdr:col>
      <xdr:colOff>4937735</xdr:colOff>
      <xdr:row>36</xdr:row>
      <xdr:rowOff>156970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F7547F-CEDD-4443-ABD9-FDE812A9D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375</xdr:col>
      <xdr:colOff>236725</xdr:colOff>
      <xdr:row>7</xdr:row>
      <xdr:rowOff>166687</xdr:rowOff>
    </xdr:from>
    <xdr:to>
      <xdr:col>375</xdr:col>
      <xdr:colOff>4926530</xdr:colOff>
      <xdr:row>22</xdr:row>
      <xdr:rowOff>189187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8581D02-6C42-4DC2-8C1A-8B57DA3113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375</xdr:col>
      <xdr:colOff>214313</xdr:colOff>
      <xdr:row>24</xdr:row>
      <xdr:rowOff>9805</xdr:rowOff>
    </xdr:from>
    <xdr:to>
      <xdr:col>375</xdr:col>
      <xdr:colOff>4904118</xdr:colOff>
      <xdr:row>39</xdr:row>
      <xdr:rowOff>32305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6CD607B-ADF2-4010-A5B3-C2696EF61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390</xdr:col>
      <xdr:colOff>236725</xdr:colOff>
      <xdr:row>7</xdr:row>
      <xdr:rowOff>166687</xdr:rowOff>
    </xdr:from>
    <xdr:to>
      <xdr:col>390</xdr:col>
      <xdr:colOff>4926530</xdr:colOff>
      <xdr:row>22</xdr:row>
      <xdr:rowOff>189187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28A4878-5300-471A-8850-C9F042FCD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390</xdr:col>
      <xdr:colOff>214313</xdr:colOff>
      <xdr:row>24</xdr:row>
      <xdr:rowOff>9805</xdr:rowOff>
    </xdr:from>
    <xdr:to>
      <xdr:col>390</xdr:col>
      <xdr:colOff>4904118</xdr:colOff>
      <xdr:row>39</xdr:row>
      <xdr:rowOff>32305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1D06791-81EA-4951-9055-A716F502D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258</xdr:col>
      <xdr:colOff>224116</xdr:colOff>
      <xdr:row>7</xdr:row>
      <xdr:rowOff>56029</xdr:rowOff>
    </xdr:from>
    <xdr:to>
      <xdr:col>258</xdr:col>
      <xdr:colOff>4904116</xdr:colOff>
      <xdr:row>22</xdr:row>
      <xdr:rowOff>78529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D5422F7-0456-4E4D-8228-0E8365D18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258</xdr:col>
      <xdr:colOff>201704</xdr:colOff>
      <xdr:row>23</xdr:row>
      <xdr:rowOff>89647</xdr:rowOff>
    </xdr:from>
    <xdr:to>
      <xdr:col>258</xdr:col>
      <xdr:colOff>4881704</xdr:colOff>
      <xdr:row>38</xdr:row>
      <xdr:rowOff>112147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1306805-458B-446D-88FC-AF8FA855C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258</xdr:col>
      <xdr:colOff>212911</xdr:colOff>
      <xdr:row>39</xdr:row>
      <xdr:rowOff>134470</xdr:rowOff>
    </xdr:from>
    <xdr:to>
      <xdr:col>258</xdr:col>
      <xdr:colOff>4892911</xdr:colOff>
      <xdr:row>54</xdr:row>
      <xdr:rowOff>156970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B98ADA8-624C-4789-A9B6-BAB42B4FF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176</xdr:col>
      <xdr:colOff>224116</xdr:colOff>
      <xdr:row>7</xdr:row>
      <xdr:rowOff>56029</xdr:rowOff>
    </xdr:from>
    <xdr:to>
      <xdr:col>176</xdr:col>
      <xdr:colOff>4904116</xdr:colOff>
      <xdr:row>22</xdr:row>
      <xdr:rowOff>78529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69C8AB0-C948-459A-B50E-F599EB6FF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176</xdr:col>
      <xdr:colOff>201704</xdr:colOff>
      <xdr:row>23</xdr:row>
      <xdr:rowOff>89647</xdr:rowOff>
    </xdr:from>
    <xdr:to>
      <xdr:col>176</xdr:col>
      <xdr:colOff>4881704</xdr:colOff>
      <xdr:row>38</xdr:row>
      <xdr:rowOff>112147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548362B-6D35-415B-B1C0-110B571C8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199</xdr:col>
      <xdr:colOff>224116</xdr:colOff>
      <xdr:row>7</xdr:row>
      <xdr:rowOff>56029</xdr:rowOff>
    </xdr:from>
    <xdr:to>
      <xdr:col>199</xdr:col>
      <xdr:colOff>4904116</xdr:colOff>
      <xdr:row>22</xdr:row>
      <xdr:rowOff>78529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FAE3846-CEB4-4D6E-8203-43D4B549D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199</xdr:col>
      <xdr:colOff>201704</xdr:colOff>
      <xdr:row>23</xdr:row>
      <xdr:rowOff>89647</xdr:rowOff>
    </xdr:from>
    <xdr:to>
      <xdr:col>199</xdr:col>
      <xdr:colOff>4881704</xdr:colOff>
      <xdr:row>38</xdr:row>
      <xdr:rowOff>112147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198AFEB-AC09-4D4B-843A-8881894C2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236</xdr:col>
      <xdr:colOff>224116</xdr:colOff>
      <xdr:row>7</xdr:row>
      <xdr:rowOff>56029</xdr:rowOff>
    </xdr:from>
    <xdr:to>
      <xdr:col>236</xdr:col>
      <xdr:colOff>4904116</xdr:colOff>
      <xdr:row>22</xdr:row>
      <xdr:rowOff>78529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79F67C4-6F71-4FFC-81A8-45C1AC1A1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236</xdr:col>
      <xdr:colOff>201704</xdr:colOff>
      <xdr:row>23</xdr:row>
      <xdr:rowOff>89647</xdr:rowOff>
    </xdr:from>
    <xdr:to>
      <xdr:col>236</xdr:col>
      <xdr:colOff>4881704</xdr:colOff>
      <xdr:row>38</xdr:row>
      <xdr:rowOff>112147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8107D70-A64F-4EDA-9C56-D7A5189B7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39</xdr:col>
      <xdr:colOff>291353</xdr:colOff>
      <xdr:row>4</xdr:row>
      <xdr:rowOff>123264</xdr:rowOff>
    </xdr:from>
    <xdr:to>
      <xdr:col>39</xdr:col>
      <xdr:colOff>4971353</xdr:colOff>
      <xdr:row>19</xdr:row>
      <xdr:rowOff>112146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277BD43-0332-40FE-BD26-16E46B320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39</xdr:col>
      <xdr:colOff>268941</xdr:colOff>
      <xdr:row>20</xdr:row>
      <xdr:rowOff>123264</xdr:rowOff>
    </xdr:from>
    <xdr:to>
      <xdr:col>39</xdr:col>
      <xdr:colOff>4948941</xdr:colOff>
      <xdr:row>35</xdr:row>
      <xdr:rowOff>145764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A2BD5FFF-6726-445B-B118-F440CC30C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46</xdr:col>
      <xdr:colOff>291353</xdr:colOff>
      <xdr:row>4</xdr:row>
      <xdr:rowOff>123264</xdr:rowOff>
    </xdr:from>
    <xdr:to>
      <xdr:col>46</xdr:col>
      <xdr:colOff>4971353</xdr:colOff>
      <xdr:row>19</xdr:row>
      <xdr:rowOff>112146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2AD4C1C-E535-48B9-9B04-3435744A9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268941</xdr:colOff>
      <xdr:row>20</xdr:row>
      <xdr:rowOff>123264</xdr:rowOff>
    </xdr:from>
    <xdr:to>
      <xdr:col>46</xdr:col>
      <xdr:colOff>4948941</xdr:colOff>
      <xdr:row>35</xdr:row>
      <xdr:rowOff>145764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09475E2-D51D-4ABF-A672-CB2224945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65</xdr:col>
      <xdr:colOff>291353</xdr:colOff>
      <xdr:row>4</xdr:row>
      <xdr:rowOff>123264</xdr:rowOff>
    </xdr:from>
    <xdr:to>
      <xdr:col>65</xdr:col>
      <xdr:colOff>4971353</xdr:colOff>
      <xdr:row>19</xdr:row>
      <xdr:rowOff>112146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1641005-048C-48BA-AEF3-D8467710F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65</xdr:col>
      <xdr:colOff>268941</xdr:colOff>
      <xdr:row>20</xdr:row>
      <xdr:rowOff>123264</xdr:rowOff>
    </xdr:from>
    <xdr:to>
      <xdr:col>65</xdr:col>
      <xdr:colOff>4948941</xdr:colOff>
      <xdr:row>35</xdr:row>
      <xdr:rowOff>145764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4DAF5EB-F4E6-4248-B5C6-F83687A71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72</xdr:col>
      <xdr:colOff>291353</xdr:colOff>
      <xdr:row>4</xdr:row>
      <xdr:rowOff>123264</xdr:rowOff>
    </xdr:from>
    <xdr:to>
      <xdr:col>72</xdr:col>
      <xdr:colOff>4971353</xdr:colOff>
      <xdr:row>19</xdr:row>
      <xdr:rowOff>112146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D05BA86A-9DD4-4392-B3F5-B16B08364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72</xdr:col>
      <xdr:colOff>268941</xdr:colOff>
      <xdr:row>20</xdr:row>
      <xdr:rowOff>123264</xdr:rowOff>
    </xdr:from>
    <xdr:to>
      <xdr:col>72</xdr:col>
      <xdr:colOff>4948941</xdr:colOff>
      <xdr:row>35</xdr:row>
      <xdr:rowOff>145764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1692A5F4-4893-4AD7-8C4A-F6E7EB331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87</xdr:col>
      <xdr:colOff>291353</xdr:colOff>
      <xdr:row>4</xdr:row>
      <xdr:rowOff>123264</xdr:rowOff>
    </xdr:from>
    <xdr:to>
      <xdr:col>87</xdr:col>
      <xdr:colOff>4971353</xdr:colOff>
      <xdr:row>19</xdr:row>
      <xdr:rowOff>112146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37DC35D3-BD41-4F30-AD06-4374DA4CB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87</xdr:col>
      <xdr:colOff>268941</xdr:colOff>
      <xdr:row>20</xdr:row>
      <xdr:rowOff>123264</xdr:rowOff>
    </xdr:from>
    <xdr:to>
      <xdr:col>87</xdr:col>
      <xdr:colOff>4948941</xdr:colOff>
      <xdr:row>35</xdr:row>
      <xdr:rowOff>145764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2ECF90F6-D3D7-47F9-BCE1-6CA4A19B9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102</xdr:col>
      <xdr:colOff>291353</xdr:colOff>
      <xdr:row>4</xdr:row>
      <xdr:rowOff>123264</xdr:rowOff>
    </xdr:from>
    <xdr:to>
      <xdr:col>102</xdr:col>
      <xdr:colOff>4971353</xdr:colOff>
      <xdr:row>19</xdr:row>
      <xdr:rowOff>112146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EDC1842B-CF34-487D-A029-2653775C9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102</xdr:col>
      <xdr:colOff>268941</xdr:colOff>
      <xdr:row>20</xdr:row>
      <xdr:rowOff>123264</xdr:rowOff>
    </xdr:from>
    <xdr:to>
      <xdr:col>102</xdr:col>
      <xdr:colOff>4948941</xdr:colOff>
      <xdr:row>35</xdr:row>
      <xdr:rowOff>145764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D772744D-064C-4519-870B-1FF112398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87</xdr:col>
      <xdr:colOff>184625</xdr:colOff>
      <xdr:row>38</xdr:row>
      <xdr:rowOff>145349</xdr:rowOff>
    </xdr:from>
    <xdr:to>
      <xdr:col>87</xdr:col>
      <xdr:colOff>6664625</xdr:colOff>
      <xdr:row>57</xdr:row>
      <xdr:rowOff>125849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3BC0B18-7B0B-4690-9177-1971000AF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117</xdr:col>
      <xdr:colOff>291353</xdr:colOff>
      <xdr:row>4</xdr:row>
      <xdr:rowOff>123264</xdr:rowOff>
    </xdr:from>
    <xdr:to>
      <xdr:col>117</xdr:col>
      <xdr:colOff>4971353</xdr:colOff>
      <xdr:row>19</xdr:row>
      <xdr:rowOff>112146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9ECF9138-63BE-4A3E-9994-BA3D06C69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117</xdr:col>
      <xdr:colOff>268941</xdr:colOff>
      <xdr:row>20</xdr:row>
      <xdr:rowOff>123264</xdr:rowOff>
    </xdr:from>
    <xdr:to>
      <xdr:col>117</xdr:col>
      <xdr:colOff>4948941</xdr:colOff>
      <xdr:row>35</xdr:row>
      <xdr:rowOff>145764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DFD27B8-A11E-49FE-8D07-CCDAA31B7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132</xdr:col>
      <xdr:colOff>291353</xdr:colOff>
      <xdr:row>4</xdr:row>
      <xdr:rowOff>123264</xdr:rowOff>
    </xdr:from>
    <xdr:to>
      <xdr:col>132</xdr:col>
      <xdr:colOff>4971353</xdr:colOff>
      <xdr:row>19</xdr:row>
      <xdr:rowOff>112146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7EBD3A48-7CD7-49D9-BCAE-78704F1F8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132</xdr:col>
      <xdr:colOff>268941</xdr:colOff>
      <xdr:row>20</xdr:row>
      <xdr:rowOff>123264</xdr:rowOff>
    </xdr:from>
    <xdr:to>
      <xdr:col>132</xdr:col>
      <xdr:colOff>4948941</xdr:colOff>
      <xdr:row>35</xdr:row>
      <xdr:rowOff>145764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8C1FE8A8-58E9-426B-A490-E20854B24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117</xdr:col>
      <xdr:colOff>394607</xdr:colOff>
      <xdr:row>38</xdr:row>
      <xdr:rowOff>54428</xdr:rowOff>
    </xdr:from>
    <xdr:to>
      <xdr:col>117</xdr:col>
      <xdr:colOff>5074607</xdr:colOff>
      <xdr:row>53</xdr:row>
      <xdr:rowOff>76928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FC811247-A68E-4A35-BE46-95805E4C4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139</xdr:col>
      <xdr:colOff>224116</xdr:colOff>
      <xdr:row>7</xdr:row>
      <xdr:rowOff>56029</xdr:rowOff>
    </xdr:from>
    <xdr:to>
      <xdr:col>139</xdr:col>
      <xdr:colOff>4904116</xdr:colOff>
      <xdr:row>22</xdr:row>
      <xdr:rowOff>78529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E2879C73-6B86-4EED-B119-69202782D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139</xdr:col>
      <xdr:colOff>201704</xdr:colOff>
      <xdr:row>23</xdr:row>
      <xdr:rowOff>89647</xdr:rowOff>
    </xdr:from>
    <xdr:to>
      <xdr:col>139</xdr:col>
      <xdr:colOff>4881704</xdr:colOff>
      <xdr:row>38</xdr:row>
      <xdr:rowOff>112147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F98A5F26-E494-4342-A721-D2F10EE29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87</xdr:col>
      <xdr:colOff>225135</xdr:colOff>
      <xdr:row>59</xdr:row>
      <xdr:rowOff>181841</xdr:rowOff>
    </xdr:from>
    <xdr:to>
      <xdr:col>87</xdr:col>
      <xdr:colOff>6705135</xdr:colOff>
      <xdr:row>78</xdr:row>
      <xdr:rowOff>162341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E9CD3645-2310-44C1-B48C-8E77A411F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273</xdr:col>
      <xdr:colOff>224116</xdr:colOff>
      <xdr:row>7</xdr:row>
      <xdr:rowOff>56029</xdr:rowOff>
    </xdr:from>
    <xdr:to>
      <xdr:col>273</xdr:col>
      <xdr:colOff>4904116</xdr:colOff>
      <xdr:row>22</xdr:row>
      <xdr:rowOff>78529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E6CB52F3-AA02-40D9-868B-FF99425A1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273</xdr:col>
      <xdr:colOff>201704</xdr:colOff>
      <xdr:row>23</xdr:row>
      <xdr:rowOff>89647</xdr:rowOff>
    </xdr:from>
    <xdr:to>
      <xdr:col>273</xdr:col>
      <xdr:colOff>4881704</xdr:colOff>
      <xdr:row>38</xdr:row>
      <xdr:rowOff>112147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3585E86-3670-4E95-9DA4-CCF4C395D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273</xdr:col>
      <xdr:colOff>212911</xdr:colOff>
      <xdr:row>39</xdr:row>
      <xdr:rowOff>134470</xdr:rowOff>
    </xdr:from>
    <xdr:to>
      <xdr:col>273</xdr:col>
      <xdr:colOff>4892911</xdr:colOff>
      <xdr:row>54</xdr:row>
      <xdr:rowOff>156970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74A02F73-BC42-4D1D-BEA0-D08A47B2D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280</xdr:col>
      <xdr:colOff>224116</xdr:colOff>
      <xdr:row>7</xdr:row>
      <xdr:rowOff>56029</xdr:rowOff>
    </xdr:from>
    <xdr:to>
      <xdr:col>280</xdr:col>
      <xdr:colOff>4904116</xdr:colOff>
      <xdr:row>22</xdr:row>
      <xdr:rowOff>78529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E83BE3EB-9A8D-45E2-9C2E-CDD3A4EE26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280</xdr:col>
      <xdr:colOff>201704</xdr:colOff>
      <xdr:row>23</xdr:row>
      <xdr:rowOff>89647</xdr:rowOff>
    </xdr:from>
    <xdr:to>
      <xdr:col>280</xdr:col>
      <xdr:colOff>4881704</xdr:colOff>
      <xdr:row>38</xdr:row>
      <xdr:rowOff>112147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F12B29DB-8487-40D2-9A74-59C7D8DAE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280</xdr:col>
      <xdr:colOff>212911</xdr:colOff>
      <xdr:row>39</xdr:row>
      <xdr:rowOff>134470</xdr:rowOff>
    </xdr:from>
    <xdr:to>
      <xdr:col>280</xdr:col>
      <xdr:colOff>4892911</xdr:colOff>
      <xdr:row>54</xdr:row>
      <xdr:rowOff>156970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93AE5534-0AA4-42B4-A9CA-3E2ED0A84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291353</xdr:colOff>
      <xdr:row>4</xdr:row>
      <xdr:rowOff>123264</xdr:rowOff>
    </xdr:from>
    <xdr:to>
      <xdr:col>13</xdr:col>
      <xdr:colOff>4971353</xdr:colOff>
      <xdr:row>19</xdr:row>
      <xdr:rowOff>112146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C95492A-2B13-4A37-857D-39A6AD856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268941</xdr:colOff>
      <xdr:row>20</xdr:row>
      <xdr:rowOff>123263</xdr:rowOff>
    </xdr:from>
    <xdr:to>
      <xdr:col>17</xdr:col>
      <xdr:colOff>249529</xdr:colOff>
      <xdr:row>39</xdr:row>
      <xdr:rowOff>22498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C598A5B-2059-4BE8-9530-EF18BC47A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159</xdr:col>
      <xdr:colOff>252829</xdr:colOff>
      <xdr:row>3</xdr:row>
      <xdr:rowOff>23112</xdr:rowOff>
    </xdr:from>
    <xdr:to>
      <xdr:col>159</xdr:col>
      <xdr:colOff>4932829</xdr:colOff>
      <xdr:row>18</xdr:row>
      <xdr:rowOff>45612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D87F26-1AE9-4A10-8F54-2DEE7C84F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224120</xdr:colOff>
      <xdr:row>3</xdr:row>
      <xdr:rowOff>11208</xdr:rowOff>
    </xdr:from>
    <xdr:to>
      <xdr:col>17</xdr:col>
      <xdr:colOff>4904120</xdr:colOff>
      <xdr:row>18</xdr:row>
      <xdr:rowOff>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665E87-5605-4497-B79F-562C6280D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302559</xdr:colOff>
      <xdr:row>18</xdr:row>
      <xdr:rowOff>100854</xdr:rowOff>
    </xdr:from>
    <xdr:to>
      <xdr:col>17</xdr:col>
      <xdr:colOff>4982559</xdr:colOff>
      <xdr:row>33</xdr:row>
      <xdr:rowOff>123354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222FC2-EF93-4696-B27D-715DB901B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291353</xdr:colOff>
      <xdr:row>2</xdr:row>
      <xdr:rowOff>123264</xdr:rowOff>
    </xdr:from>
    <xdr:to>
      <xdr:col>32</xdr:col>
      <xdr:colOff>4971353</xdr:colOff>
      <xdr:row>17</xdr:row>
      <xdr:rowOff>112146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69301C-66BA-4819-9416-9E5C13F95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268941</xdr:colOff>
      <xdr:row>18</xdr:row>
      <xdr:rowOff>123264</xdr:rowOff>
    </xdr:from>
    <xdr:to>
      <xdr:col>32</xdr:col>
      <xdr:colOff>4948941</xdr:colOff>
      <xdr:row>33</xdr:row>
      <xdr:rowOff>145764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69860A-CF00-4A0B-B541-18B9853C8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62</xdr:col>
      <xdr:colOff>268941</xdr:colOff>
      <xdr:row>3</xdr:row>
      <xdr:rowOff>201706</xdr:rowOff>
    </xdr:from>
    <xdr:to>
      <xdr:col>62</xdr:col>
      <xdr:colOff>4948941</xdr:colOff>
      <xdr:row>19</xdr:row>
      <xdr:rowOff>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5496A2-BB9C-4E0F-9702-D6E8A3C6F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62</xdr:col>
      <xdr:colOff>257735</xdr:colOff>
      <xdr:row>19</xdr:row>
      <xdr:rowOff>134470</xdr:rowOff>
    </xdr:from>
    <xdr:to>
      <xdr:col>62</xdr:col>
      <xdr:colOff>4937735</xdr:colOff>
      <xdr:row>34</xdr:row>
      <xdr:rowOff>156970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FA3E57-3CE2-4DC8-92A5-BA201A1F0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77</xdr:col>
      <xdr:colOff>246531</xdr:colOff>
      <xdr:row>4</xdr:row>
      <xdr:rowOff>67235</xdr:rowOff>
    </xdr:from>
    <xdr:to>
      <xdr:col>77</xdr:col>
      <xdr:colOff>4926531</xdr:colOff>
      <xdr:row>19</xdr:row>
      <xdr:rowOff>89735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31DA6B-2BB7-4295-A18F-6111E7880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77</xdr:col>
      <xdr:colOff>224119</xdr:colOff>
      <xdr:row>20</xdr:row>
      <xdr:rowOff>100853</xdr:rowOff>
    </xdr:from>
    <xdr:to>
      <xdr:col>77</xdr:col>
      <xdr:colOff>4904119</xdr:colOff>
      <xdr:row>35</xdr:row>
      <xdr:rowOff>123353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D368F51-F216-4A42-B52D-9E8B56471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92</xdr:col>
      <xdr:colOff>224116</xdr:colOff>
      <xdr:row>5</xdr:row>
      <xdr:rowOff>56029</xdr:rowOff>
    </xdr:from>
    <xdr:to>
      <xdr:col>92</xdr:col>
      <xdr:colOff>4904116</xdr:colOff>
      <xdr:row>20</xdr:row>
      <xdr:rowOff>78529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6FF4D82-788E-40E2-BAD4-8FE70BFB0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92</xdr:col>
      <xdr:colOff>201704</xdr:colOff>
      <xdr:row>21</xdr:row>
      <xdr:rowOff>89647</xdr:rowOff>
    </xdr:from>
    <xdr:to>
      <xdr:col>92</xdr:col>
      <xdr:colOff>4881704</xdr:colOff>
      <xdr:row>36</xdr:row>
      <xdr:rowOff>112147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F3A702A-8072-4D51-A608-86FC6D68C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92</xdr:col>
      <xdr:colOff>212911</xdr:colOff>
      <xdr:row>37</xdr:row>
      <xdr:rowOff>134470</xdr:rowOff>
    </xdr:from>
    <xdr:to>
      <xdr:col>92</xdr:col>
      <xdr:colOff>4892911</xdr:colOff>
      <xdr:row>52</xdr:row>
      <xdr:rowOff>156970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AB3034F-2051-4C10-B1EC-140818850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123</xdr:col>
      <xdr:colOff>236725</xdr:colOff>
      <xdr:row>5</xdr:row>
      <xdr:rowOff>166687</xdr:rowOff>
    </xdr:from>
    <xdr:to>
      <xdr:col>123</xdr:col>
      <xdr:colOff>4926530</xdr:colOff>
      <xdr:row>20</xdr:row>
      <xdr:rowOff>189187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40F7C19-709A-4722-BCCE-5298CF103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123</xdr:col>
      <xdr:colOff>214313</xdr:colOff>
      <xdr:row>22</xdr:row>
      <xdr:rowOff>9805</xdr:rowOff>
    </xdr:from>
    <xdr:to>
      <xdr:col>123</xdr:col>
      <xdr:colOff>4904118</xdr:colOff>
      <xdr:row>37</xdr:row>
      <xdr:rowOff>32305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242387-DD09-4B57-A02B-676945096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139</xdr:col>
      <xdr:colOff>329173</xdr:colOff>
      <xdr:row>4</xdr:row>
      <xdr:rowOff>108556</xdr:rowOff>
    </xdr:from>
    <xdr:to>
      <xdr:col>139</xdr:col>
      <xdr:colOff>5019678</xdr:colOff>
      <xdr:row>19</xdr:row>
      <xdr:rowOff>131056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D48E01-9B0A-4E45-8C24-0F01B3C90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139</xdr:col>
      <xdr:colOff>306761</xdr:colOff>
      <xdr:row>20</xdr:row>
      <xdr:rowOff>142174</xdr:rowOff>
    </xdr:from>
    <xdr:to>
      <xdr:col>139</xdr:col>
      <xdr:colOff>4997266</xdr:colOff>
      <xdr:row>35</xdr:row>
      <xdr:rowOff>164674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E0A2837-B907-4FDC-BCD0-892DA8A7C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47</xdr:col>
      <xdr:colOff>268941</xdr:colOff>
      <xdr:row>3</xdr:row>
      <xdr:rowOff>201706</xdr:rowOff>
    </xdr:from>
    <xdr:to>
      <xdr:col>47</xdr:col>
      <xdr:colOff>4948941</xdr:colOff>
      <xdr:row>19</xdr:row>
      <xdr:rowOff>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D9675E1-206B-4B67-A0CC-859C1A427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47</xdr:col>
      <xdr:colOff>257735</xdr:colOff>
      <xdr:row>19</xdr:row>
      <xdr:rowOff>134470</xdr:rowOff>
    </xdr:from>
    <xdr:to>
      <xdr:col>47</xdr:col>
      <xdr:colOff>4937735</xdr:colOff>
      <xdr:row>34</xdr:row>
      <xdr:rowOff>156970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42F6EF2-D24C-439E-AD17-B39941AF9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159</xdr:col>
      <xdr:colOff>214312</xdr:colOff>
      <xdr:row>19</xdr:row>
      <xdr:rowOff>83344</xdr:rowOff>
    </xdr:from>
    <xdr:to>
      <xdr:col>159</xdr:col>
      <xdr:colOff>4894312</xdr:colOff>
      <xdr:row>34</xdr:row>
      <xdr:rowOff>105844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08FC3BA-44CE-469B-B344-4EEC6D4A0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107</xdr:col>
      <xdr:colOff>224116</xdr:colOff>
      <xdr:row>5</xdr:row>
      <xdr:rowOff>56029</xdr:rowOff>
    </xdr:from>
    <xdr:to>
      <xdr:col>107</xdr:col>
      <xdr:colOff>4904116</xdr:colOff>
      <xdr:row>20</xdr:row>
      <xdr:rowOff>78529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D777707-2250-494F-8E3F-53DCB10E9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151</xdr:col>
      <xdr:colOff>224120</xdr:colOff>
      <xdr:row>5</xdr:row>
      <xdr:rowOff>11208</xdr:rowOff>
    </xdr:from>
    <xdr:to>
      <xdr:col>151</xdr:col>
      <xdr:colOff>4904120</xdr:colOff>
      <xdr:row>20</xdr:row>
      <xdr:rowOff>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5389D-3BA4-4A26-85A5-3EBCDD873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151</xdr:col>
      <xdr:colOff>302559</xdr:colOff>
      <xdr:row>20</xdr:row>
      <xdr:rowOff>100854</xdr:rowOff>
    </xdr:from>
    <xdr:to>
      <xdr:col>151</xdr:col>
      <xdr:colOff>4982559</xdr:colOff>
      <xdr:row>35</xdr:row>
      <xdr:rowOff>123354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F220AA-3A8A-456D-A812-391D816AF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166</xdr:col>
      <xdr:colOff>291353</xdr:colOff>
      <xdr:row>4</xdr:row>
      <xdr:rowOff>123264</xdr:rowOff>
    </xdr:from>
    <xdr:to>
      <xdr:col>166</xdr:col>
      <xdr:colOff>4971353</xdr:colOff>
      <xdr:row>19</xdr:row>
      <xdr:rowOff>112146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D64E31-5BE5-47EF-9D05-4F9E2C63B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166</xdr:col>
      <xdr:colOff>268941</xdr:colOff>
      <xdr:row>20</xdr:row>
      <xdr:rowOff>123264</xdr:rowOff>
    </xdr:from>
    <xdr:to>
      <xdr:col>166</xdr:col>
      <xdr:colOff>4948941</xdr:colOff>
      <xdr:row>35</xdr:row>
      <xdr:rowOff>145764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3BB263-B3B5-4374-AAEB-BA1D40FC5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210</xdr:col>
      <xdr:colOff>268941</xdr:colOff>
      <xdr:row>5</xdr:row>
      <xdr:rowOff>201706</xdr:rowOff>
    </xdr:from>
    <xdr:to>
      <xdr:col>210</xdr:col>
      <xdr:colOff>4948941</xdr:colOff>
      <xdr:row>21</xdr:row>
      <xdr:rowOff>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7576B7-0FAB-419C-A601-B4DAF0D94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210</xdr:col>
      <xdr:colOff>257735</xdr:colOff>
      <xdr:row>21</xdr:row>
      <xdr:rowOff>134470</xdr:rowOff>
    </xdr:from>
    <xdr:to>
      <xdr:col>210</xdr:col>
      <xdr:colOff>4937735</xdr:colOff>
      <xdr:row>36</xdr:row>
      <xdr:rowOff>156970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5FF82E-44CC-4B68-BAC5-20F3FEDF2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225</xdr:col>
      <xdr:colOff>246531</xdr:colOff>
      <xdr:row>6</xdr:row>
      <xdr:rowOff>67235</xdr:rowOff>
    </xdr:from>
    <xdr:to>
      <xdr:col>225</xdr:col>
      <xdr:colOff>4926531</xdr:colOff>
      <xdr:row>21</xdr:row>
      <xdr:rowOff>89735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68CF69-A6CB-453B-98E7-83EBDB6AD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225</xdr:col>
      <xdr:colOff>224119</xdr:colOff>
      <xdr:row>22</xdr:row>
      <xdr:rowOff>100853</xdr:rowOff>
    </xdr:from>
    <xdr:to>
      <xdr:col>225</xdr:col>
      <xdr:colOff>4904119</xdr:colOff>
      <xdr:row>37</xdr:row>
      <xdr:rowOff>123353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6D681B-7D07-43E3-A531-DDB114463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247</xdr:col>
      <xdr:colOff>224116</xdr:colOff>
      <xdr:row>7</xdr:row>
      <xdr:rowOff>56029</xdr:rowOff>
    </xdr:from>
    <xdr:to>
      <xdr:col>247</xdr:col>
      <xdr:colOff>4904116</xdr:colOff>
      <xdr:row>22</xdr:row>
      <xdr:rowOff>78529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19FA006-3091-4934-84D2-D5F981B1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247</xdr:col>
      <xdr:colOff>201704</xdr:colOff>
      <xdr:row>23</xdr:row>
      <xdr:rowOff>89647</xdr:rowOff>
    </xdr:from>
    <xdr:to>
      <xdr:col>247</xdr:col>
      <xdr:colOff>4881704</xdr:colOff>
      <xdr:row>38</xdr:row>
      <xdr:rowOff>112147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9D5BD11-54A4-471B-AEBB-CF7B0A5695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247</xdr:col>
      <xdr:colOff>212911</xdr:colOff>
      <xdr:row>39</xdr:row>
      <xdr:rowOff>134470</xdr:rowOff>
    </xdr:from>
    <xdr:to>
      <xdr:col>247</xdr:col>
      <xdr:colOff>4892911</xdr:colOff>
      <xdr:row>54</xdr:row>
      <xdr:rowOff>156970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B718B67-1EA6-47C1-AAFE-69F87C83B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188</xdr:col>
      <xdr:colOff>268941</xdr:colOff>
      <xdr:row>5</xdr:row>
      <xdr:rowOff>201706</xdr:rowOff>
    </xdr:from>
    <xdr:to>
      <xdr:col>188</xdr:col>
      <xdr:colOff>4948941</xdr:colOff>
      <xdr:row>21</xdr:row>
      <xdr:rowOff>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CCDECA2-D50F-4D16-83FA-F6935BD8D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188</xdr:col>
      <xdr:colOff>257735</xdr:colOff>
      <xdr:row>21</xdr:row>
      <xdr:rowOff>134470</xdr:rowOff>
    </xdr:from>
    <xdr:to>
      <xdr:col>188</xdr:col>
      <xdr:colOff>4937735</xdr:colOff>
      <xdr:row>36</xdr:row>
      <xdr:rowOff>156970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B498D15-732F-47C9-A7FA-6F6C3493F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377</xdr:col>
      <xdr:colOff>236725</xdr:colOff>
      <xdr:row>7</xdr:row>
      <xdr:rowOff>166687</xdr:rowOff>
    </xdr:from>
    <xdr:to>
      <xdr:col>377</xdr:col>
      <xdr:colOff>4926530</xdr:colOff>
      <xdr:row>22</xdr:row>
      <xdr:rowOff>189187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7C51AEC-17FB-424D-91D5-BC446DC41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377</xdr:col>
      <xdr:colOff>214313</xdr:colOff>
      <xdr:row>24</xdr:row>
      <xdr:rowOff>9805</xdr:rowOff>
    </xdr:from>
    <xdr:to>
      <xdr:col>377</xdr:col>
      <xdr:colOff>4904118</xdr:colOff>
      <xdr:row>39</xdr:row>
      <xdr:rowOff>32305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E14FF32-7737-4D53-AE21-EFEE88396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392</xdr:col>
      <xdr:colOff>236725</xdr:colOff>
      <xdr:row>7</xdr:row>
      <xdr:rowOff>166687</xdr:rowOff>
    </xdr:from>
    <xdr:to>
      <xdr:col>392</xdr:col>
      <xdr:colOff>4926530</xdr:colOff>
      <xdr:row>22</xdr:row>
      <xdr:rowOff>189187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9FEBDB2-6534-4B0C-8DE6-167D434B4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392</xdr:col>
      <xdr:colOff>214313</xdr:colOff>
      <xdr:row>24</xdr:row>
      <xdr:rowOff>9805</xdr:rowOff>
    </xdr:from>
    <xdr:to>
      <xdr:col>392</xdr:col>
      <xdr:colOff>4904118</xdr:colOff>
      <xdr:row>39</xdr:row>
      <xdr:rowOff>32305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FEB0496-4374-4344-A792-03FAE1371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254</xdr:col>
      <xdr:colOff>224116</xdr:colOff>
      <xdr:row>7</xdr:row>
      <xdr:rowOff>56029</xdr:rowOff>
    </xdr:from>
    <xdr:to>
      <xdr:col>254</xdr:col>
      <xdr:colOff>4904116</xdr:colOff>
      <xdr:row>22</xdr:row>
      <xdr:rowOff>78529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867DFD6-3D95-4607-82E9-E8EF6BAEE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254</xdr:col>
      <xdr:colOff>201704</xdr:colOff>
      <xdr:row>23</xdr:row>
      <xdr:rowOff>89647</xdr:rowOff>
    </xdr:from>
    <xdr:to>
      <xdr:col>254</xdr:col>
      <xdr:colOff>4881704</xdr:colOff>
      <xdr:row>38</xdr:row>
      <xdr:rowOff>112147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D14B46A-2A41-4882-A5AC-1C8160921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254</xdr:col>
      <xdr:colOff>212911</xdr:colOff>
      <xdr:row>39</xdr:row>
      <xdr:rowOff>134470</xdr:rowOff>
    </xdr:from>
    <xdr:to>
      <xdr:col>254</xdr:col>
      <xdr:colOff>4892911</xdr:colOff>
      <xdr:row>54</xdr:row>
      <xdr:rowOff>156970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AF14721-1E5E-420C-BACA-E473B9703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173</xdr:col>
      <xdr:colOff>224116</xdr:colOff>
      <xdr:row>7</xdr:row>
      <xdr:rowOff>56029</xdr:rowOff>
    </xdr:from>
    <xdr:to>
      <xdr:col>173</xdr:col>
      <xdr:colOff>4904116</xdr:colOff>
      <xdr:row>22</xdr:row>
      <xdr:rowOff>78529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7A2E0F0-7E0A-462A-8AAF-519583B1E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173</xdr:col>
      <xdr:colOff>201704</xdr:colOff>
      <xdr:row>23</xdr:row>
      <xdr:rowOff>89647</xdr:rowOff>
    </xdr:from>
    <xdr:to>
      <xdr:col>173</xdr:col>
      <xdr:colOff>4881704</xdr:colOff>
      <xdr:row>38</xdr:row>
      <xdr:rowOff>112147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6913A18-3E21-4FC2-BDBC-26DE96AE2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195</xdr:col>
      <xdr:colOff>224116</xdr:colOff>
      <xdr:row>7</xdr:row>
      <xdr:rowOff>56029</xdr:rowOff>
    </xdr:from>
    <xdr:to>
      <xdr:col>195</xdr:col>
      <xdr:colOff>4904116</xdr:colOff>
      <xdr:row>22</xdr:row>
      <xdr:rowOff>78529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9CE72D9-EA7A-4BBA-AA9E-F3A63694C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195</xdr:col>
      <xdr:colOff>201704</xdr:colOff>
      <xdr:row>23</xdr:row>
      <xdr:rowOff>89647</xdr:rowOff>
    </xdr:from>
    <xdr:to>
      <xdr:col>195</xdr:col>
      <xdr:colOff>4881704</xdr:colOff>
      <xdr:row>38</xdr:row>
      <xdr:rowOff>112147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BBBBA1C-BA20-4E9C-B3DA-406599928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232</xdr:col>
      <xdr:colOff>224116</xdr:colOff>
      <xdr:row>7</xdr:row>
      <xdr:rowOff>56029</xdr:rowOff>
    </xdr:from>
    <xdr:to>
      <xdr:col>232</xdr:col>
      <xdr:colOff>4904116</xdr:colOff>
      <xdr:row>22</xdr:row>
      <xdr:rowOff>78529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C720935-9FC0-494C-8B42-BAE06AAD0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232</xdr:col>
      <xdr:colOff>201704</xdr:colOff>
      <xdr:row>23</xdr:row>
      <xdr:rowOff>89647</xdr:rowOff>
    </xdr:from>
    <xdr:to>
      <xdr:col>232</xdr:col>
      <xdr:colOff>4881704</xdr:colOff>
      <xdr:row>38</xdr:row>
      <xdr:rowOff>112147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04088C8-9DF0-4B21-B3A3-A6BF07F83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39</xdr:col>
      <xdr:colOff>291353</xdr:colOff>
      <xdr:row>4</xdr:row>
      <xdr:rowOff>123264</xdr:rowOff>
    </xdr:from>
    <xdr:to>
      <xdr:col>39</xdr:col>
      <xdr:colOff>4971353</xdr:colOff>
      <xdr:row>19</xdr:row>
      <xdr:rowOff>112146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FCA7256-3092-4AC0-AE70-8E3728CC3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39</xdr:col>
      <xdr:colOff>268941</xdr:colOff>
      <xdr:row>20</xdr:row>
      <xdr:rowOff>123264</xdr:rowOff>
    </xdr:from>
    <xdr:to>
      <xdr:col>39</xdr:col>
      <xdr:colOff>4948941</xdr:colOff>
      <xdr:row>35</xdr:row>
      <xdr:rowOff>145764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6A1E50BA-A2A5-4721-A50D-9EA3D456D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46</xdr:col>
      <xdr:colOff>291353</xdr:colOff>
      <xdr:row>4</xdr:row>
      <xdr:rowOff>123264</xdr:rowOff>
    </xdr:from>
    <xdr:to>
      <xdr:col>46</xdr:col>
      <xdr:colOff>4971353</xdr:colOff>
      <xdr:row>19</xdr:row>
      <xdr:rowOff>112146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0AD0100-0913-4D16-91AF-CFC2DC9F7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268941</xdr:colOff>
      <xdr:row>20</xdr:row>
      <xdr:rowOff>123264</xdr:rowOff>
    </xdr:from>
    <xdr:to>
      <xdr:col>46</xdr:col>
      <xdr:colOff>4948941</xdr:colOff>
      <xdr:row>35</xdr:row>
      <xdr:rowOff>145764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37838098-14DB-44A5-9831-26B2DC8DC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62</xdr:col>
      <xdr:colOff>291353</xdr:colOff>
      <xdr:row>4</xdr:row>
      <xdr:rowOff>123264</xdr:rowOff>
    </xdr:from>
    <xdr:to>
      <xdr:col>62</xdr:col>
      <xdr:colOff>4971353</xdr:colOff>
      <xdr:row>19</xdr:row>
      <xdr:rowOff>112146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C76CE5F-AC9C-4857-8C2F-21B142032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62</xdr:col>
      <xdr:colOff>268941</xdr:colOff>
      <xdr:row>20</xdr:row>
      <xdr:rowOff>123264</xdr:rowOff>
    </xdr:from>
    <xdr:to>
      <xdr:col>62</xdr:col>
      <xdr:colOff>4948941</xdr:colOff>
      <xdr:row>35</xdr:row>
      <xdr:rowOff>145764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C98F8DB-61B2-4603-AC27-51005CF95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69</xdr:col>
      <xdr:colOff>291353</xdr:colOff>
      <xdr:row>4</xdr:row>
      <xdr:rowOff>123264</xdr:rowOff>
    </xdr:from>
    <xdr:to>
      <xdr:col>69</xdr:col>
      <xdr:colOff>4971353</xdr:colOff>
      <xdr:row>19</xdr:row>
      <xdr:rowOff>112146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BDBED88-056B-45F9-A6EB-854FD107D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69</xdr:col>
      <xdr:colOff>268941</xdr:colOff>
      <xdr:row>20</xdr:row>
      <xdr:rowOff>123264</xdr:rowOff>
    </xdr:from>
    <xdr:to>
      <xdr:col>69</xdr:col>
      <xdr:colOff>4948941</xdr:colOff>
      <xdr:row>35</xdr:row>
      <xdr:rowOff>145764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34D3883-2E22-4B0B-B81E-6BFF39849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84</xdr:col>
      <xdr:colOff>291353</xdr:colOff>
      <xdr:row>4</xdr:row>
      <xdr:rowOff>123264</xdr:rowOff>
    </xdr:from>
    <xdr:to>
      <xdr:col>84</xdr:col>
      <xdr:colOff>4971353</xdr:colOff>
      <xdr:row>19</xdr:row>
      <xdr:rowOff>112146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B1F7522-26DE-4A38-A051-F10F15B93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84</xdr:col>
      <xdr:colOff>268941</xdr:colOff>
      <xdr:row>20</xdr:row>
      <xdr:rowOff>123264</xdr:rowOff>
    </xdr:from>
    <xdr:to>
      <xdr:col>84</xdr:col>
      <xdr:colOff>4948941</xdr:colOff>
      <xdr:row>35</xdr:row>
      <xdr:rowOff>145764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8F6DABC-9648-4DE5-9BEB-096ACACB2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99</xdr:col>
      <xdr:colOff>291353</xdr:colOff>
      <xdr:row>4</xdr:row>
      <xdr:rowOff>123264</xdr:rowOff>
    </xdr:from>
    <xdr:to>
      <xdr:col>99</xdr:col>
      <xdr:colOff>4971353</xdr:colOff>
      <xdr:row>19</xdr:row>
      <xdr:rowOff>112146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A957257-DE12-4227-949E-5302DBC77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99</xdr:col>
      <xdr:colOff>268941</xdr:colOff>
      <xdr:row>20</xdr:row>
      <xdr:rowOff>123264</xdr:rowOff>
    </xdr:from>
    <xdr:to>
      <xdr:col>99</xdr:col>
      <xdr:colOff>4948941</xdr:colOff>
      <xdr:row>35</xdr:row>
      <xdr:rowOff>145764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BD3815C-EDF5-4E01-A16A-94343CB0E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84</xdr:col>
      <xdr:colOff>184625</xdr:colOff>
      <xdr:row>38</xdr:row>
      <xdr:rowOff>145349</xdr:rowOff>
    </xdr:from>
    <xdr:to>
      <xdr:col>84</xdr:col>
      <xdr:colOff>6664625</xdr:colOff>
      <xdr:row>57</xdr:row>
      <xdr:rowOff>125849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DF193E81-F00B-4D85-AAE6-45237855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114</xdr:col>
      <xdr:colOff>291353</xdr:colOff>
      <xdr:row>4</xdr:row>
      <xdr:rowOff>123264</xdr:rowOff>
    </xdr:from>
    <xdr:to>
      <xdr:col>114</xdr:col>
      <xdr:colOff>4971353</xdr:colOff>
      <xdr:row>19</xdr:row>
      <xdr:rowOff>112146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2F10D9BA-A79B-4764-9639-1410CFD8A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114</xdr:col>
      <xdr:colOff>268941</xdr:colOff>
      <xdr:row>20</xdr:row>
      <xdr:rowOff>123264</xdr:rowOff>
    </xdr:from>
    <xdr:to>
      <xdr:col>114</xdr:col>
      <xdr:colOff>4948941</xdr:colOff>
      <xdr:row>35</xdr:row>
      <xdr:rowOff>145764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3441030C-4088-464A-B938-F573B24B0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129</xdr:col>
      <xdr:colOff>291353</xdr:colOff>
      <xdr:row>4</xdr:row>
      <xdr:rowOff>123264</xdr:rowOff>
    </xdr:from>
    <xdr:to>
      <xdr:col>129</xdr:col>
      <xdr:colOff>4971353</xdr:colOff>
      <xdr:row>19</xdr:row>
      <xdr:rowOff>112146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A7A94B2-8813-4D03-B778-0CF49FB0E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129</xdr:col>
      <xdr:colOff>268941</xdr:colOff>
      <xdr:row>20</xdr:row>
      <xdr:rowOff>123264</xdr:rowOff>
    </xdr:from>
    <xdr:to>
      <xdr:col>129</xdr:col>
      <xdr:colOff>4948941</xdr:colOff>
      <xdr:row>35</xdr:row>
      <xdr:rowOff>145764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3750794C-FBF7-4223-80A1-B22B75672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114</xdr:col>
      <xdr:colOff>394607</xdr:colOff>
      <xdr:row>38</xdr:row>
      <xdr:rowOff>54428</xdr:rowOff>
    </xdr:from>
    <xdr:to>
      <xdr:col>114</xdr:col>
      <xdr:colOff>5074607</xdr:colOff>
      <xdr:row>53</xdr:row>
      <xdr:rowOff>76928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71CD110C-031D-41B3-919E-529CF8B0F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136</xdr:col>
      <xdr:colOff>224116</xdr:colOff>
      <xdr:row>7</xdr:row>
      <xdr:rowOff>56029</xdr:rowOff>
    </xdr:from>
    <xdr:to>
      <xdr:col>136</xdr:col>
      <xdr:colOff>4904116</xdr:colOff>
      <xdr:row>22</xdr:row>
      <xdr:rowOff>78529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C6103021-F404-4D51-B5E8-73C3B586E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136</xdr:col>
      <xdr:colOff>201704</xdr:colOff>
      <xdr:row>23</xdr:row>
      <xdr:rowOff>89647</xdr:rowOff>
    </xdr:from>
    <xdr:to>
      <xdr:col>136</xdr:col>
      <xdr:colOff>4881704</xdr:colOff>
      <xdr:row>38</xdr:row>
      <xdr:rowOff>112147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8D9179C4-1A6E-422F-B1E0-4D1990E83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84</xdr:col>
      <xdr:colOff>225135</xdr:colOff>
      <xdr:row>59</xdr:row>
      <xdr:rowOff>181841</xdr:rowOff>
    </xdr:from>
    <xdr:to>
      <xdr:col>84</xdr:col>
      <xdr:colOff>6705135</xdr:colOff>
      <xdr:row>78</xdr:row>
      <xdr:rowOff>162341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EC1F5943-23C1-492A-B245-E8771D83C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271</xdr:col>
      <xdr:colOff>224116</xdr:colOff>
      <xdr:row>7</xdr:row>
      <xdr:rowOff>56029</xdr:rowOff>
    </xdr:from>
    <xdr:to>
      <xdr:col>271</xdr:col>
      <xdr:colOff>4904116</xdr:colOff>
      <xdr:row>22</xdr:row>
      <xdr:rowOff>78529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8ADFE0F-B58C-41DE-BBC7-A82D6F1AD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271</xdr:col>
      <xdr:colOff>201704</xdr:colOff>
      <xdr:row>23</xdr:row>
      <xdr:rowOff>89647</xdr:rowOff>
    </xdr:from>
    <xdr:to>
      <xdr:col>271</xdr:col>
      <xdr:colOff>4881704</xdr:colOff>
      <xdr:row>38</xdr:row>
      <xdr:rowOff>112147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D7189D6E-B3AB-442E-9E27-7E870421F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271</xdr:col>
      <xdr:colOff>212911</xdr:colOff>
      <xdr:row>39</xdr:row>
      <xdr:rowOff>134470</xdr:rowOff>
    </xdr:from>
    <xdr:to>
      <xdr:col>271</xdr:col>
      <xdr:colOff>4892911</xdr:colOff>
      <xdr:row>54</xdr:row>
      <xdr:rowOff>156970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EEA539FA-3029-44DF-BF6F-F6C12F1D9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282</xdr:col>
      <xdr:colOff>224116</xdr:colOff>
      <xdr:row>7</xdr:row>
      <xdr:rowOff>56029</xdr:rowOff>
    </xdr:from>
    <xdr:to>
      <xdr:col>282</xdr:col>
      <xdr:colOff>4904116</xdr:colOff>
      <xdr:row>22</xdr:row>
      <xdr:rowOff>78529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5AB1EEC3-8711-4244-A985-9DE5D215E4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282</xdr:col>
      <xdr:colOff>201704</xdr:colOff>
      <xdr:row>23</xdr:row>
      <xdr:rowOff>89647</xdr:rowOff>
    </xdr:from>
    <xdr:to>
      <xdr:col>282</xdr:col>
      <xdr:colOff>4881704</xdr:colOff>
      <xdr:row>38</xdr:row>
      <xdr:rowOff>112147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A805FC97-AE23-489E-BF5F-044AC6491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282</xdr:col>
      <xdr:colOff>212911</xdr:colOff>
      <xdr:row>39</xdr:row>
      <xdr:rowOff>134470</xdr:rowOff>
    </xdr:from>
    <xdr:to>
      <xdr:col>282</xdr:col>
      <xdr:colOff>4892911</xdr:colOff>
      <xdr:row>54</xdr:row>
      <xdr:rowOff>156970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43C36EB8-8558-4DBC-97BE-58D1FF075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282</xdr:col>
      <xdr:colOff>21165</xdr:colOff>
      <xdr:row>74</xdr:row>
      <xdr:rowOff>74083</xdr:rowOff>
    </xdr:from>
    <xdr:to>
      <xdr:col>284</xdr:col>
      <xdr:colOff>539750</xdr:colOff>
      <xdr:row>92</xdr:row>
      <xdr:rowOff>1334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47F01B5-3E8D-4384-86BC-9E4CDDFA89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280</xdr:col>
      <xdr:colOff>804333</xdr:colOff>
      <xdr:row>58</xdr:row>
      <xdr:rowOff>84666</xdr:rowOff>
    </xdr:from>
    <xdr:to>
      <xdr:col>282</xdr:col>
      <xdr:colOff>4438059</xdr:colOff>
      <xdr:row>73</xdr:row>
      <xdr:rowOff>122404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EC7DFDF-D0FB-2122-3A85-E82E81547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5304250" y="11133666"/>
          <a:ext cx="4723809" cy="28952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Research\PM%20-%20Research\Gaming\5.%20TLC\4.%20Market%20Data\1.%20Monte%20Carlo%20Simulation\2.%20Oz%20Lotto\Model\OzLotto%20Monte%20Carlo%20-%20Master%20v8.xlsm" TargetMode="External"/><Relationship Id="rId1" Type="http://schemas.openxmlformats.org/officeDocument/2006/relationships/externalLinkPath" Target="/Research/PM%20-%20Research/Gaming/4.%20Lotteries/3.%20Market%20Data/1.%20Monte%20Carlo%20Simulation/2.%20Oz%20Lotto/Model/OzLotto%20Monte%20Carlo%20-%20Master%20v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ixonau-my.sharepoint.com/DOCUME~1/n143334/LOCALS~1/Temp/L.Notes5.Data/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ixonau-my.sharepoint.com/DOCUME~1/n143334/LOCALS~1/Temp/L.Notes5.Data/Canad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ixonau-my.sharepoint.com/DOCUME~1/n143334/LOCALS~1/Temp/L.Notes5.Data/Australia%20Directory/trade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Research\PM%20-%20Research\Gaming\5.%20TLC\4.%20Market%20Data\1.%20Monte%20Carlo%20Simulation\1.%20Powerball\Oz%20Lotto%20Monte%20Carlo%20-%203%20Period%20Model.xlsm" TargetMode="External"/><Relationship Id="rId1" Type="http://schemas.openxmlformats.org/officeDocument/2006/relationships/externalLinkPath" Target="/Research/PM%20-%20Research/Gaming/5.%20TLC/4.%20Market%20Data/1.%20Monte%20Carlo%20Simulation/1.%20Powerball/Oz%20Lotto%20Monte%20Carlo%20-%203%20Period%20Model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Research\PM%20-%20Research\Gaming\5.%20TLC\4.%20Market%20Data\1.%20Monte%20Carlo%20Simulation\1.%20Powerball\1.%20Superseded\Aug-23\Powerball%20Monte%20Carlo%20-%20v18%20WIP.xlsm" TargetMode="External"/><Relationship Id="rId1" Type="http://schemas.openxmlformats.org/officeDocument/2006/relationships/externalLinkPath" Target="/Research/PM%20-%20Research/Gaming/4.%20Lotteries/3.%20Market%20Data/1.%20Monte%20Carlo%20Simulation/1.%20Powerball/1.%20Superseded/Aug-23/Powerball%20Monte%20Carlo%20-%20v18%20WI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V"/>
      <sheetName val="I"/>
      <sheetName val="Base Code"/>
      <sheetName val="FY24"/>
      <sheetName val="1H24"/>
      <sheetName val="1H24 ROP"/>
      <sheetName val="II"/>
      <sheetName val="Summary"/>
      <sheetName val="III"/>
      <sheetName val="Tables (2)"/>
      <sheetName val="Backtesting (2)"/>
      <sheetName val="FY23E"/>
      <sheetName val="IV"/>
      <sheetName val="V"/>
      <sheetName val="Game Changes FY23e"/>
      <sheetName val="Sheet4"/>
      <sheetName val="Sheet3"/>
      <sheetName val="Historical Ticket Sales"/>
      <sheetName val="Tables2"/>
      <sheetName val="HY's"/>
      <sheetName val="FY's"/>
      <sheetName val="GC's"/>
      <sheetName val="GC Workings"/>
      <sheetName val="Sheet2"/>
    </sheetNames>
    <sheetDataSet>
      <sheetData sheetId="0"/>
      <sheetData sheetId="1"/>
      <sheetData sheetId="2">
        <row r="2">
          <cell r="AD2">
            <v>5000</v>
          </cell>
        </row>
        <row r="7">
          <cell r="D7">
            <v>45129</v>
          </cell>
          <cell r="G7">
            <v>3</v>
          </cell>
        </row>
        <row r="8">
          <cell r="D8">
            <v>45291</v>
          </cell>
          <cell r="G8">
            <v>5</v>
          </cell>
        </row>
        <row r="9">
          <cell r="G9">
            <v>10</v>
          </cell>
        </row>
        <row r="10">
          <cell r="G10">
            <v>20</v>
          </cell>
        </row>
        <row r="11">
          <cell r="G11">
            <v>30</v>
          </cell>
        </row>
        <row r="12">
          <cell r="G12">
            <v>50</v>
          </cell>
        </row>
        <row r="13">
          <cell r="D13">
            <v>62.891499000000003</v>
          </cell>
          <cell r="G13">
            <v>70</v>
          </cell>
        </row>
        <row r="14">
          <cell r="G14">
            <v>100</v>
          </cell>
        </row>
        <row r="15">
          <cell r="G15">
            <v>150</v>
          </cell>
        </row>
        <row r="16">
          <cell r="G16">
            <v>200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66">
          <cell r="K166">
            <v>8555928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mption"/>
      <sheetName val="production"/>
      <sheetName val="exports"/>
      <sheetName val="Housing &amp; Construction"/>
      <sheetName val="surveys"/>
      <sheetName val="labour"/>
      <sheetName val="weekly"/>
      <sheetName val="Table"/>
      <sheetName val="inflation"/>
      <sheetName val="Chart1"/>
      <sheetName val="Chart2"/>
      <sheetName val="Chart3"/>
      <sheetName val="Chart7"/>
      <sheetName val="Chart10"/>
      <sheetName val="Chart11"/>
      <sheetName val="Chart16"/>
      <sheetName val="Chart18"/>
      <sheetName val="Chart17"/>
      <sheetName val="Chart19"/>
      <sheetName val="Chart20"/>
      <sheetName val="Chart21"/>
      <sheetName val="Chart23"/>
      <sheetName val="Chart24"/>
      <sheetName val="Chart25"/>
      <sheetName val="Chart26"/>
      <sheetName val="Chart27"/>
      <sheetName val="Chart28"/>
      <sheetName val="Chart29"/>
      <sheetName val="Chart31"/>
      <sheetName val="Chart30"/>
      <sheetName val="Chart32"/>
      <sheetName val="Chart4"/>
      <sheetName val="GDP"/>
      <sheetName val="Exchange Rates"/>
      <sheetName val="Industrial Production"/>
    </sheetNames>
    <sheetDataSet>
      <sheetData sheetId="0">
        <row r="7">
          <cell r="B7">
            <v>34730</v>
          </cell>
          <cell r="T7">
            <v>0</v>
          </cell>
          <cell r="Z7">
            <v>10.923999999999999</v>
          </cell>
          <cell r="AF7">
            <v>5.0960000000000001</v>
          </cell>
        </row>
      </sheetData>
      <sheetData sheetId="1"/>
      <sheetData sheetId="2">
        <row r="7">
          <cell r="C7">
            <v>34730</v>
          </cell>
          <cell r="G7">
            <v>34730</v>
          </cell>
          <cell r="J7">
            <v>34730</v>
          </cell>
        </row>
      </sheetData>
      <sheetData sheetId="3">
        <row r="7">
          <cell r="C7">
            <v>34730</v>
          </cell>
          <cell r="N7">
            <v>34730</v>
          </cell>
          <cell r="AB7">
            <v>259.2</v>
          </cell>
        </row>
      </sheetData>
      <sheetData sheetId="4">
        <row r="7">
          <cell r="C7">
            <v>34730</v>
          </cell>
        </row>
        <row r="37">
          <cell r="AF37">
            <v>61</v>
          </cell>
        </row>
      </sheetData>
      <sheetData sheetId="5">
        <row r="9">
          <cell r="B9">
            <v>34730</v>
          </cell>
          <cell r="M9">
            <v>34730</v>
          </cell>
          <cell r="T9">
            <v>34730</v>
          </cell>
        </row>
      </sheetData>
      <sheetData sheetId="6">
        <row r="6">
          <cell r="A6">
            <v>34705</v>
          </cell>
          <cell r="K6">
            <v>34705</v>
          </cell>
        </row>
        <row r="95">
          <cell r="N95">
            <v>35328</v>
          </cell>
          <cell r="Q95">
            <v>35339</v>
          </cell>
          <cell r="U95">
            <v>2.9</v>
          </cell>
        </row>
      </sheetData>
      <sheetData sheetId="7"/>
      <sheetData sheetId="8">
        <row r="7">
          <cell r="B7">
            <v>34730</v>
          </cell>
          <cell r="H7">
            <v>34730</v>
          </cell>
          <cell r="R7">
            <v>34730</v>
          </cell>
          <cell r="X7">
            <v>34730</v>
          </cell>
          <cell r="AD7">
            <v>34730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ail Sales"/>
      <sheetName val="Production"/>
      <sheetName val="Housing&amp;Construction"/>
      <sheetName val="Exports"/>
      <sheetName val="GDP (Monthly)"/>
      <sheetName val="GDP (Quarterly)"/>
      <sheetName val="Current Account"/>
      <sheetName val="Inflation"/>
      <sheetName val="Employment"/>
      <sheetName val="Quarterly"/>
      <sheetName val="Leading Indicator"/>
      <sheetName val="Commodity Prices"/>
      <sheetName val="Charts&gt;&gt;&gt;"/>
      <sheetName val="Chart2"/>
      <sheetName val="Chart3"/>
      <sheetName val="Chart4"/>
      <sheetName val="Chart1"/>
      <sheetName val="Chart5"/>
      <sheetName val="Chart6"/>
      <sheetName val="Chart7"/>
      <sheetName val="Chart8"/>
      <sheetName val="Chart9"/>
      <sheetName val="Chart10"/>
      <sheetName val="Lists"/>
      <sheetName val="consumption"/>
      <sheetName val="surveys"/>
      <sheetName val="labour"/>
      <sheetName val="weekly"/>
    </sheetNames>
    <sheetDataSet>
      <sheetData sheetId="0"/>
      <sheetData sheetId="1">
        <row r="8">
          <cell r="M8" t="e">
            <v>#NAME?</v>
          </cell>
          <cell r="V8" t="e">
            <v>#NAME?</v>
          </cell>
          <cell r="AQ8" t="e">
            <v>#NAME?</v>
          </cell>
        </row>
        <row r="12">
          <cell r="M12">
            <v>35155</v>
          </cell>
        </row>
        <row r="56">
          <cell r="P56" t="e">
            <v>#NAME?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 (Volumes &amp; Prices)"/>
      <sheetName val="Data by Country"/>
      <sheetName val="Data by Country Year"/>
      <sheetName val="ch. Exports &amp; AUD"/>
      <sheetName val="ch. Volumes"/>
      <sheetName val="ch. Prices (2)"/>
      <sheetName val="ch. By Country"/>
      <sheetName val="Commodities"/>
      <sheetName val="Trade by Commodity"/>
      <sheetName val="Ch. TWI weights"/>
      <sheetName val="ch. volumes (2)"/>
      <sheetName val="ch. Prices"/>
      <sheetName val="ch. county spe"/>
      <sheetName val="Exports"/>
      <sheetName val="Interest_Rate_Markets"/>
      <sheetName val="Consumption &amp; Investment"/>
      <sheetName val="Markets_12"/>
    </sheetNames>
    <sheetDataSet>
      <sheetData sheetId="0"/>
      <sheetData sheetId="1" refreshError="1"/>
      <sheetData sheetId="2">
        <row r="29">
          <cell r="BO29">
            <v>115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V"/>
      <sheetName val="I"/>
      <sheetName val="Base Code"/>
      <sheetName val="II"/>
    </sheetNames>
    <sheetDataSet>
      <sheetData sheetId="0"/>
      <sheetData sheetId="1"/>
      <sheetData sheetId="2">
        <row r="7">
          <cell r="C7">
            <v>10000</v>
          </cell>
        </row>
        <row r="17">
          <cell r="C17">
            <v>43646</v>
          </cell>
        </row>
        <row r="20">
          <cell r="C20">
            <v>45.379620000000003</v>
          </cell>
        </row>
        <row r="46">
          <cell r="C46">
            <v>44377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dates"/>
      <sheetName val="NAV"/>
      <sheetName val="I"/>
      <sheetName val="Base Code"/>
      <sheetName val="Sheet4"/>
      <sheetName val="II"/>
      <sheetName val="Summary"/>
      <sheetName val="III"/>
      <sheetName val="Backtesting"/>
      <sheetName val="Tables"/>
      <sheetName val="IV"/>
      <sheetName val="V"/>
      <sheetName val="Sheet2"/>
    </sheetNames>
    <sheetDataSet>
      <sheetData sheetId="0" refreshError="1"/>
      <sheetData sheetId="1" refreshError="1"/>
      <sheetData sheetId="2" refreshError="1"/>
      <sheetData sheetId="3">
        <row r="7">
          <cell r="C7">
            <v>10000</v>
          </cell>
        </row>
        <row r="23">
          <cell r="C23">
            <v>134.49039999999999</v>
          </cell>
        </row>
        <row r="27">
          <cell r="F27">
            <v>4</v>
          </cell>
          <cell r="G27">
            <v>19.974092427446696</v>
          </cell>
        </row>
        <row r="28">
          <cell r="F28">
            <v>8</v>
          </cell>
          <cell r="G28">
            <v>25.305907371541505</v>
          </cell>
        </row>
        <row r="29">
          <cell r="F29">
            <v>12</v>
          </cell>
          <cell r="G29">
            <v>30.115652852239293</v>
          </cell>
        </row>
        <row r="30">
          <cell r="F30">
            <v>20</v>
          </cell>
          <cell r="G30">
            <v>39.693605617581504</v>
          </cell>
        </row>
        <row r="31">
          <cell r="F31">
            <v>30</v>
          </cell>
          <cell r="G31">
            <v>48.266256907114609</v>
          </cell>
        </row>
        <row r="32">
          <cell r="F32">
            <v>40</v>
          </cell>
          <cell r="G32">
            <v>58.082261817290259</v>
          </cell>
        </row>
        <row r="33">
          <cell r="F33">
            <v>50</v>
          </cell>
          <cell r="G33">
            <v>73.025292490118574</v>
          </cell>
        </row>
        <row r="34">
          <cell r="F34">
            <v>60</v>
          </cell>
          <cell r="G34">
            <v>85.538143600849935</v>
          </cell>
        </row>
        <row r="35">
          <cell r="F35">
            <v>80</v>
          </cell>
          <cell r="G35">
            <v>122.974</v>
          </cell>
        </row>
        <row r="36">
          <cell r="F36">
            <v>100</v>
          </cell>
          <cell r="G36">
            <v>158.31399999999999</v>
          </cell>
        </row>
        <row r="37">
          <cell r="F37">
            <v>120</v>
          </cell>
          <cell r="G37">
            <v>197.25399999999999</v>
          </cell>
        </row>
        <row r="38">
          <cell r="F38">
            <v>150</v>
          </cell>
          <cell r="G38">
            <v>262.41399999999993</v>
          </cell>
        </row>
        <row r="39">
          <cell r="F39">
            <v>160</v>
          </cell>
          <cell r="G39">
            <v>285.93399999999991</v>
          </cell>
        </row>
        <row r="40">
          <cell r="F40">
            <v>200</v>
          </cell>
          <cell r="G40">
            <v>389.01399999999995</v>
          </cell>
        </row>
        <row r="41">
          <cell r="F41">
            <v>220</v>
          </cell>
          <cell r="G41">
            <v>445.95399999999995</v>
          </cell>
        </row>
        <row r="42">
          <cell r="F42">
            <v>250</v>
          </cell>
          <cell r="G42">
            <v>538.11400000000003</v>
          </cell>
        </row>
        <row r="43">
          <cell r="F43">
            <v>300</v>
          </cell>
          <cell r="G43">
            <v>709.71400000000006</v>
          </cell>
        </row>
        <row r="44">
          <cell r="F44">
            <v>350</v>
          </cell>
          <cell r="G44">
            <v>903.81400000000008</v>
          </cell>
        </row>
        <row r="45">
          <cell r="F45">
            <v>400</v>
          </cell>
          <cell r="G45">
            <v>1100</v>
          </cell>
        </row>
        <row r="46">
          <cell r="F46">
            <v>450</v>
          </cell>
          <cell r="G46">
            <v>1300</v>
          </cell>
        </row>
        <row r="47">
          <cell r="F47">
            <v>500</v>
          </cell>
          <cell r="G47">
            <v>1500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>
        <row r="47">
          <cell r="AK47">
            <v>137.55484439039225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EAP">
  <a:themeElements>
    <a:clrScheme name="EAP boie">
      <a:dk1>
        <a:sysClr val="windowText" lastClr="000000"/>
      </a:dk1>
      <a:lt1>
        <a:sysClr val="window" lastClr="FFFFFF"/>
      </a:lt1>
      <a:dk2>
        <a:srgbClr val="950427"/>
      </a:dk2>
      <a:lt2>
        <a:srgbClr val="6D6E70"/>
      </a:lt2>
      <a:accent1>
        <a:srgbClr val="27446E"/>
      </a:accent1>
      <a:accent2>
        <a:srgbClr val="B78754"/>
      </a:accent2>
      <a:accent3>
        <a:srgbClr val="583B1C"/>
      </a:accent3>
      <a:accent4>
        <a:srgbClr val="828246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FA86-0C0D-4FD8-8367-83FDA6233293}">
  <sheetPr codeName="Sheet23">
    <tabColor theme="4" tint="0.79998168889431442"/>
  </sheetPr>
  <dimension ref="A1:OB395"/>
  <sheetViews>
    <sheetView showGridLines="0" topLeftCell="Q1" zoomScale="87" zoomScaleNormal="87" workbookViewId="0">
      <pane ySplit="4" topLeftCell="A5" activePane="bottomLeft" state="frozen"/>
      <selection pane="bottomLeft" activeCell="CV47" sqref="CV47"/>
    </sheetView>
  </sheetViews>
  <sheetFormatPr defaultRowHeight="15" outlineLevelCol="1" x14ac:dyDescent="0.25"/>
  <cols>
    <col min="1" max="1" width="2.7109375" style="6" customWidth="1"/>
    <col min="2" max="2" width="10.7109375" style="4" customWidth="1" outlineLevel="1"/>
    <col min="3" max="4" width="11.28515625" style="4" customWidth="1" outlineLevel="1"/>
    <col min="5" max="5" width="2.7109375" style="6" customWidth="1" outlineLevel="1"/>
    <col min="6" max="6" width="7.5703125" style="4" customWidth="1" outlineLevel="1"/>
    <col min="7" max="7" width="10.7109375" style="4" customWidth="1" outlineLevel="1"/>
    <col min="8" max="9" width="11.28515625" style="4" customWidth="1" outlineLevel="1"/>
    <col min="10" max="10" width="2.7109375" style="6" customWidth="1" outlineLevel="1"/>
    <col min="11" max="11" width="3.28515625" style="7" customWidth="1" outlineLevel="1"/>
    <col min="12" max="12" width="2.7109375" style="6" customWidth="1" outlineLevel="1"/>
    <col min="13" max="14" width="5.140625" style="6" customWidth="1" outlineLevel="1"/>
    <col min="15" max="21" width="8.5703125" style="6" customWidth="1" outlineLevel="1"/>
    <col min="22" max="22" width="13.7109375" style="5" customWidth="1" outlineLevel="1"/>
    <col min="23" max="24" width="13" style="4" customWidth="1" outlineLevel="1"/>
    <col min="25" max="25" width="13.28515625" style="3" customWidth="1" outlineLevel="1"/>
    <col min="26" max="26" width="2.7109375" style="1" customWidth="1"/>
    <col min="27" max="28" width="11.7109375" style="2" customWidth="1" outlineLevel="1"/>
    <col min="29" max="29" width="11.7109375" style="1" customWidth="1" outlineLevel="1"/>
    <col min="30" max="30" width="12.140625" style="1" customWidth="1" outlineLevel="1"/>
    <col min="31" max="31" width="2.7109375" style="1" customWidth="1" outlineLevel="1"/>
    <col min="32" max="33" width="11.7109375" style="1" customWidth="1" outlineLevel="1"/>
    <col min="34" max="34" width="2.7109375" style="1" customWidth="1" outlineLevel="1"/>
    <col min="35" max="38" width="13.7109375" style="2" customWidth="1" outlineLevel="1"/>
    <col min="39" max="39" width="2.7109375" style="1" customWidth="1" outlineLevel="1"/>
    <col min="40" max="40" width="76.7109375" style="1" customWidth="1" outlineLevel="1"/>
    <col min="41" max="41" width="2.7109375" style="1" customWidth="1" outlineLevel="1"/>
    <col min="42" max="45" width="13.7109375" style="2" customWidth="1" outlineLevel="1"/>
    <col min="46" max="46" width="2.7109375" style="1" customWidth="1" outlineLevel="1"/>
    <col min="47" max="47" width="76.7109375" style="1" customWidth="1" outlineLevel="1"/>
    <col min="48" max="48" width="2.7109375" style="1" customWidth="1" outlineLevel="1"/>
    <col min="49" max="50" width="11.7109375" style="2" customWidth="1" outlineLevel="1"/>
    <col min="51" max="51" width="11.7109375" style="1" customWidth="1" outlineLevel="1"/>
    <col min="52" max="52" width="12.140625" style="1" customWidth="1" outlineLevel="1"/>
    <col min="53" max="53" width="2.7109375" style="1" customWidth="1" outlineLevel="1"/>
    <col min="54" max="59" width="11.7109375" style="1" customWidth="1" outlineLevel="1"/>
    <col min="60" max="60" width="2.7109375" style="1" customWidth="1" outlineLevel="1"/>
    <col min="61" max="64" width="13.7109375" style="2" customWidth="1" outlineLevel="1"/>
    <col min="65" max="65" width="2.7109375" style="1" customWidth="1" outlineLevel="1"/>
    <col min="66" max="66" width="76.7109375" style="1" customWidth="1" outlineLevel="1"/>
    <col min="67" max="67" width="2.7109375" style="1" customWidth="1" outlineLevel="1"/>
    <col min="68" max="71" width="13.7109375" style="2" customWidth="1" outlineLevel="1"/>
    <col min="72" max="72" width="2.7109375" style="1" customWidth="1" outlineLevel="1"/>
    <col min="73" max="73" width="76.7109375" style="1" customWidth="1" outlineLevel="1"/>
    <col min="74" max="74" width="2.7109375" style="1" customWidth="1"/>
    <col min="75" max="76" width="11.7109375" style="2" customWidth="1" outlineLevel="1"/>
    <col min="77" max="77" width="11.7109375" style="1" customWidth="1" outlineLevel="1"/>
    <col min="78" max="78" width="12.140625" style="1" customWidth="1" outlineLevel="1"/>
    <col min="79" max="79" width="2.7109375" style="1" customWidth="1" outlineLevel="1"/>
    <col min="80" max="81" width="11.7109375" style="1" customWidth="1" outlineLevel="1"/>
    <col min="82" max="82" width="2.7109375" style="1" customWidth="1" outlineLevel="1"/>
    <col min="83" max="86" width="13.7109375" style="2" customWidth="1" outlineLevel="1"/>
    <col min="87" max="87" width="2.7109375" style="1" customWidth="1" outlineLevel="1"/>
    <col min="88" max="88" width="103" style="1" customWidth="1" outlineLevel="1"/>
    <col min="89" max="89" width="2.7109375" style="1" customWidth="1" outlineLevel="1"/>
    <col min="90" max="93" width="16.7109375" style="2" customWidth="1" outlineLevel="1"/>
    <col min="94" max="94" width="2.7109375" style="1" customWidth="1" outlineLevel="1"/>
    <col min="95" max="96" width="11.7109375" style="1" customWidth="1" outlineLevel="1"/>
    <col min="97" max="97" width="2.7109375" style="1" customWidth="1" outlineLevel="1"/>
    <col min="98" max="101" width="13.7109375" style="2" customWidth="1" outlineLevel="1"/>
    <col min="102" max="102" width="2.7109375" style="1" customWidth="1" outlineLevel="1"/>
    <col min="103" max="103" width="76.7109375" style="1" customWidth="1" outlineLevel="1"/>
    <col min="104" max="104" width="2.7109375" style="1" customWidth="1" outlineLevel="1"/>
    <col min="105" max="106" width="11.7109375" style="2" customWidth="1" outlineLevel="1"/>
    <col min="107" max="107" width="11.7109375" style="1" customWidth="1" outlineLevel="1"/>
    <col min="108" max="108" width="12.140625" style="1" customWidth="1" outlineLevel="1"/>
    <col min="109" max="109" width="2.7109375" style="1" customWidth="1" outlineLevel="1"/>
    <col min="110" max="111" width="11.7109375" style="1" customWidth="1" outlineLevel="1"/>
    <col min="112" max="112" width="2.7109375" style="1" customWidth="1" outlineLevel="1"/>
    <col min="113" max="116" width="13.7109375" style="2" customWidth="1" outlineLevel="1"/>
    <col min="117" max="117" width="2.7109375" style="1" customWidth="1" outlineLevel="1"/>
    <col min="118" max="118" width="76.7109375" style="1" customWidth="1" outlineLevel="1"/>
    <col min="119" max="119" width="2.7109375" style="1" customWidth="1" outlineLevel="1"/>
    <col min="120" max="121" width="11.7109375" style="2" customWidth="1" outlineLevel="1"/>
    <col min="122" max="122" width="11.7109375" style="1" customWidth="1" outlineLevel="1"/>
    <col min="123" max="123" width="12.140625" style="1" customWidth="1" outlineLevel="1"/>
    <col min="124" max="124" width="2.7109375" style="1" customWidth="1" outlineLevel="1"/>
    <col min="125" max="126" width="11.7109375" style="1" customWidth="1" outlineLevel="1"/>
    <col min="127" max="127" width="2.7109375" style="1" customWidth="1" outlineLevel="1"/>
    <col min="128" max="131" width="13.7109375" style="2" customWidth="1" outlineLevel="1"/>
    <col min="132" max="132" width="2.7109375" style="1" customWidth="1" outlineLevel="1"/>
    <col min="133" max="133" width="76.7109375" style="1" customWidth="1" outlineLevel="1"/>
    <col min="134" max="134" width="2.7109375" style="1" customWidth="1" outlineLevel="1"/>
    <col min="135" max="138" width="13.7109375" style="2" customWidth="1" outlineLevel="1"/>
    <col min="139" max="139" width="2.7109375" style="1" customWidth="1" outlineLevel="1"/>
    <col min="140" max="140" width="76.7109375" style="1" customWidth="1" outlineLevel="1"/>
    <col min="141" max="141" width="2.7109375" style="1" customWidth="1"/>
    <col min="142" max="145" width="11.7109375" style="1" customWidth="1" outlineLevel="1"/>
    <col min="146" max="146" width="2.7109375" style="1" customWidth="1" outlineLevel="1"/>
    <col min="147" max="148" width="11.7109375" style="1" customWidth="1" outlineLevel="1"/>
    <col min="149" max="149" width="2.7109375" style="1" customWidth="1" outlineLevel="1"/>
    <col min="150" max="153" width="13.7109375" style="2" customWidth="1" outlineLevel="1"/>
    <col min="154" max="154" width="2.7109375" style="1" customWidth="1" outlineLevel="1"/>
    <col min="155" max="155" width="76.7109375" style="1" customWidth="1" outlineLevel="1"/>
    <col min="156" max="156" width="2.7109375" style="1" customWidth="1" outlineLevel="1"/>
    <col min="157" max="160" width="11.7109375" style="1" customWidth="1" outlineLevel="1"/>
    <col min="161" max="161" width="2.7109375" style="1" customWidth="1" outlineLevel="1"/>
    <col min="162" max="163" width="11.7109375" style="1" customWidth="1" outlineLevel="1"/>
    <col min="164" max="164" width="2.7109375" style="1" customWidth="1" outlineLevel="1"/>
    <col min="165" max="168" width="13.7109375" style="2" customWidth="1" outlineLevel="1"/>
    <col min="169" max="169" width="2.7109375" style="1" customWidth="1" outlineLevel="1"/>
    <col min="170" max="170" width="76.7109375" style="1" customWidth="1" outlineLevel="1"/>
    <col min="171" max="171" width="2.7109375" style="1" customWidth="1" outlineLevel="1"/>
    <col min="172" max="175" width="13.7109375" style="2" customWidth="1" outlineLevel="1"/>
    <col min="176" max="176" width="2.7109375" style="1" customWidth="1" outlineLevel="1"/>
    <col min="177" max="177" width="76.7109375" style="1" customWidth="1" outlineLevel="1"/>
    <col min="178" max="178" width="2.7109375" style="1" customWidth="1" outlineLevel="1"/>
    <col min="179" max="182" width="11.7109375" style="1" customWidth="1" outlineLevel="1"/>
    <col min="183" max="183" width="2.7109375" style="1" customWidth="1" outlineLevel="1"/>
    <col min="184" max="186" width="11.7109375" style="1" customWidth="1" outlineLevel="1"/>
    <col min="187" max="187" width="2.7109375" style="1" customWidth="1" outlineLevel="1"/>
    <col min="188" max="191" width="13.7109375" style="2" customWidth="1" outlineLevel="1"/>
    <col min="192" max="192" width="2.7109375" style="1" customWidth="1" outlineLevel="1"/>
    <col min="193" max="193" width="76.7109375" style="1" customWidth="1" outlineLevel="1"/>
    <col min="194" max="194" width="2.7109375" style="1" customWidth="1" outlineLevel="1"/>
    <col min="195" max="198" width="13.7109375" style="2" customWidth="1" outlineLevel="1"/>
    <col min="199" max="199" width="2.7109375" style="1" customWidth="1" outlineLevel="1"/>
    <col min="200" max="200" width="76.7109375" style="1" customWidth="1" outlineLevel="1"/>
    <col min="201" max="201" width="2.7109375" style="1" customWidth="1" outlineLevel="1"/>
    <col min="202" max="205" width="11.7109375" style="1" customWidth="1" outlineLevel="1"/>
    <col min="206" max="206" width="2.7109375" style="1" customWidth="1" outlineLevel="1"/>
    <col min="207" max="208" width="11.7109375" style="1" customWidth="1" outlineLevel="1"/>
    <col min="209" max="209" width="2.7109375" style="1" customWidth="1" outlineLevel="1"/>
    <col min="210" max="213" width="13.7109375" style="2" customWidth="1" outlineLevel="1"/>
    <col min="214" max="214" width="2.7109375" style="1" customWidth="1" outlineLevel="1"/>
    <col min="215" max="215" width="76.7109375" style="1" customWidth="1" outlineLevel="1"/>
    <col min="216" max="216" width="2.7109375" style="1" customWidth="1" outlineLevel="1"/>
    <col min="217" max="220" width="11.7109375" style="1" customWidth="1" outlineLevel="1"/>
    <col min="221" max="221" width="2.7109375" style="1" customWidth="1" outlineLevel="1"/>
    <col min="222" max="223" width="11.7109375" style="1" customWidth="1" outlineLevel="1"/>
    <col min="224" max="224" width="2.7109375" style="1" customWidth="1" outlineLevel="1"/>
    <col min="225" max="228" width="13.7109375" style="2" customWidth="1" outlineLevel="1"/>
    <col min="229" max="229" width="2.7109375" style="1" customWidth="1" outlineLevel="1"/>
    <col min="230" max="230" width="76.7109375" style="1" customWidth="1" outlineLevel="1"/>
    <col min="231" max="231" width="2.7109375" style="1" customWidth="1" outlineLevel="1"/>
    <col min="232" max="235" width="13.7109375" style="2" customWidth="1" outlineLevel="1"/>
    <col min="236" max="236" width="2.7109375" style="1" customWidth="1" outlineLevel="1"/>
    <col min="237" max="237" width="76.7109375" style="1" customWidth="1" outlineLevel="1"/>
    <col min="238" max="238" width="2.7109375" style="1" customWidth="1" outlineLevel="1"/>
    <col min="239" max="242" width="11.7109375" style="1" customWidth="1" outlineLevel="1"/>
    <col min="243" max="243" width="2.7109375" style="1" customWidth="1" outlineLevel="1"/>
    <col min="244" max="245" width="11.7109375" style="1" customWidth="1" outlineLevel="1"/>
    <col min="246" max="246" width="2.7109375" style="1" customWidth="1" outlineLevel="1"/>
    <col min="247" max="250" width="13.7109375" style="2" customWidth="1" outlineLevel="1"/>
    <col min="251" max="251" width="2.7109375" style="1" customWidth="1" outlineLevel="1"/>
    <col min="252" max="252" width="76.7109375" style="1" customWidth="1" outlineLevel="1"/>
    <col min="253" max="253" width="2.7109375" style="1" customWidth="1" outlineLevel="1"/>
    <col min="254" max="257" width="13.7109375" style="2" customWidth="1" outlineLevel="1"/>
    <col min="258" max="258" width="2.7109375" style="1" customWidth="1" outlineLevel="1"/>
    <col min="259" max="259" width="76.7109375" style="1" customWidth="1" outlineLevel="1"/>
    <col min="260" max="260" width="2.7109375" style="1" customWidth="1" outlineLevel="1"/>
    <col min="261" max="262" width="11.7109375" style="1" customWidth="1" outlineLevel="1"/>
    <col min="263" max="264" width="13" style="1" bestFit="1" customWidth="1" outlineLevel="1"/>
    <col min="265" max="265" width="2.7109375" style="1" customWidth="1" outlineLevel="1"/>
    <col min="266" max="267" width="11.7109375" style="1" customWidth="1" outlineLevel="1"/>
    <col min="268" max="268" width="2.7109375" style="1" customWidth="1" outlineLevel="1"/>
    <col min="269" max="272" width="13.7109375" style="2" customWidth="1" outlineLevel="1"/>
    <col min="273" max="273" width="2.7109375" style="1" customWidth="1" outlineLevel="1"/>
    <col min="274" max="274" width="76.7109375" style="1" customWidth="1" outlineLevel="1"/>
    <col min="275" max="275" width="2.7109375" style="1" customWidth="1" outlineLevel="1"/>
    <col min="276" max="279" width="13.7109375" style="2" customWidth="1" outlineLevel="1"/>
    <col min="280" max="280" width="2.7109375" style="1" customWidth="1" outlineLevel="1"/>
    <col min="281" max="281" width="76.7109375" style="1" customWidth="1" outlineLevel="1"/>
    <col min="282" max="282" width="2.7109375" style="1" customWidth="1"/>
    <col min="283" max="286" width="11.7109375" style="1" customWidth="1" outlineLevel="1"/>
    <col min="287" max="287" width="2.7109375" style="1" customWidth="1" outlineLevel="1"/>
    <col min="288" max="289" width="11.7109375" style="1" customWidth="1" outlineLevel="1"/>
    <col min="290" max="290" width="2.7109375" style="1" customWidth="1" outlineLevel="1"/>
    <col min="291" max="294" width="11.7109375" style="1" customWidth="1" outlineLevel="1"/>
    <col min="295" max="295" width="2.7109375" style="1" customWidth="1" outlineLevel="1"/>
    <col min="296" max="297" width="11.7109375" style="1" customWidth="1" outlineLevel="1"/>
    <col min="298" max="298" width="2.7109375" style="1" customWidth="1" outlineLevel="1"/>
    <col min="299" max="302" width="11.7109375" style="1" customWidth="1" outlineLevel="1"/>
    <col min="303" max="303" width="2.7109375" style="1" customWidth="1" outlineLevel="1"/>
    <col min="304" max="305" width="11.7109375" style="1" customWidth="1" outlineLevel="1"/>
    <col min="306" max="306" width="2.7109375" style="1" customWidth="1" outlineLevel="1"/>
    <col min="307" max="310" width="11.7109375" style="1" customWidth="1" outlineLevel="1"/>
    <col min="311" max="311" width="2.7109375" style="1" customWidth="1" outlineLevel="1"/>
    <col min="312" max="313" width="11.7109375" style="1" customWidth="1" outlineLevel="1"/>
    <col min="314" max="314" width="2.7109375" style="1" customWidth="1" outlineLevel="1"/>
    <col min="315" max="318" width="11.7109375" style="1" customWidth="1" outlineLevel="1"/>
    <col min="319" max="319" width="2.7109375" style="1" customWidth="1" outlineLevel="1"/>
    <col min="320" max="321" width="11.7109375" style="1" customWidth="1" outlineLevel="1"/>
    <col min="322" max="322" width="2.7109375" style="1" customWidth="1" outlineLevel="1"/>
    <col min="323" max="326" width="11.7109375" style="1" customWidth="1" outlineLevel="1"/>
    <col min="327" max="327" width="2.7109375" style="1" customWidth="1" outlineLevel="1"/>
    <col min="328" max="329" width="11.7109375" style="1" customWidth="1" outlineLevel="1"/>
    <col min="330" max="330" width="2.7109375" style="1" customWidth="1" outlineLevel="1"/>
    <col min="331" max="334" width="11.7109375" style="1" customWidth="1" outlineLevel="1"/>
    <col min="335" max="335" width="2.7109375" style="1" customWidth="1" outlineLevel="1"/>
    <col min="336" max="337" width="11.7109375" style="1" customWidth="1" outlineLevel="1"/>
    <col min="338" max="338" width="2.7109375" style="1" customWidth="1" outlineLevel="1"/>
    <col min="339" max="342" width="11.7109375" style="1" customWidth="1" outlineLevel="1"/>
    <col min="343" max="343" width="2.7109375" style="1" customWidth="1" outlineLevel="1"/>
    <col min="344" max="345" width="11.7109375" style="1" customWidth="1" outlineLevel="1"/>
    <col min="346" max="346" width="2.7109375" style="1" customWidth="1" outlineLevel="1"/>
    <col min="347" max="350" width="11.7109375" style="1" customWidth="1" outlineLevel="1"/>
    <col min="351" max="351" width="2.7109375" style="1" customWidth="1" outlineLevel="1"/>
    <col min="352" max="353" width="11.7109375" style="1" customWidth="1" outlineLevel="1"/>
    <col min="354" max="354" width="2.7109375" style="1" customWidth="1" outlineLevel="1"/>
    <col min="355" max="358" width="11.7109375" style="1" customWidth="1" outlineLevel="1"/>
    <col min="359" max="359" width="2.7109375" style="1" customWidth="1" outlineLevel="1"/>
    <col min="360" max="361" width="11.7109375" style="1" customWidth="1" outlineLevel="1"/>
    <col min="362" max="362" width="2.7109375" style="1" customWidth="1" outlineLevel="1"/>
    <col min="363" max="366" width="11.7109375" style="1" customWidth="1" outlineLevel="1"/>
    <col min="367" max="367" width="2.7109375" style="1" customWidth="1" outlineLevel="1"/>
    <col min="368" max="369" width="11.7109375" style="1" customWidth="1" outlineLevel="1"/>
    <col min="370" max="370" width="2.7109375" style="1" customWidth="1" outlineLevel="1"/>
    <col min="371" max="374" width="13.7109375" style="2" customWidth="1" outlineLevel="1"/>
    <col min="375" max="375" width="2.7109375" style="1" customWidth="1" outlineLevel="1"/>
    <col min="376" max="376" width="76.7109375" style="1" customWidth="1" outlineLevel="1"/>
    <col min="377" max="377" width="2.7109375" style="1" customWidth="1" outlineLevel="1"/>
    <col min="378" max="381" width="11.7109375" style="1" customWidth="1" outlineLevel="1"/>
    <col min="382" max="382" width="2.7109375" style="1" customWidth="1" outlineLevel="1"/>
    <col min="383" max="384" width="11.7109375" style="1" customWidth="1" outlineLevel="1"/>
    <col min="385" max="385" width="2.7109375" style="1" customWidth="1" outlineLevel="1"/>
    <col min="386" max="389" width="13.7109375" style="2" customWidth="1" outlineLevel="1"/>
    <col min="390" max="390" width="2.7109375" style="1" customWidth="1" outlineLevel="1"/>
    <col min="391" max="391" width="76.7109375" style="1" customWidth="1" outlineLevel="1"/>
    <col min="392" max="392" width="2.7109375" customWidth="1"/>
    <col min="393" max="16384" width="9.140625" style="1"/>
  </cols>
  <sheetData>
    <row r="1" spans="1:392" x14ac:dyDescent="0.25">
      <c r="BP1" s="100" t="s">
        <v>170</v>
      </c>
    </row>
    <row r="2" spans="1:392" s="85" customFormat="1" x14ac:dyDescent="0.25">
      <c r="A2" s="92"/>
      <c r="B2" s="89" t="s">
        <v>144</v>
      </c>
      <c r="C2" s="90"/>
      <c r="D2" s="90"/>
      <c r="E2" s="91"/>
      <c r="F2" s="90"/>
      <c r="G2" s="90"/>
      <c r="H2" s="90"/>
      <c r="I2" s="90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0"/>
      <c r="W2" s="90"/>
      <c r="X2" s="90"/>
      <c r="Y2" s="86" t="s">
        <v>144</v>
      </c>
      <c r="AA2" s="89" t="s">
        <v>143</v>
      </c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86" t="s">
        <v>143</v>
      </c>
      <c r="BW2" s="89" t="s">
        <v>142</v>
      </c>
      <c r="BX2" s="88"/>
      <c r="BY2" s="87"/>
      <c r="BZ2" s="87"/>
      <c r="CA2" s="87"/>
      <c r="CB2" s="87"/>
      <c r="CC2" s="87"/>
      <c r="CD2" s="87"/>
      <c r="CE2" s="88"/>
      <c r="CF2" s="88"/>
      <c r="CG2" s="88"/>
      <c r="CH2" s="88"/>
      <c r="CI2" s="87"/>
      <c r="CJ2" s="87"/>
      <c r="CK2" s="87"/>
      <c r="CL2" s="88"/>
      <c r="CM2" s="88"/>
      <c r="CN2" s="88"/>
      <c r="CO2" s="88"/>
      <c r="CP2" s="87"/>
      <c r="CQ2" s="87"/>
      <c r="CR2" s="87"/>
      <c r="CS2" s="87"/>
      <c r="CT2" s="88"/>
      <c r="CU2" s="88"/>
      <c r="CV2" s="88"/>
      <c r="CW2" s="88"/>
      <c r="CX2" s="87"/>
      <c r="CY2" s="87"/>
      <c r="CZ2" s="87"/>
      <c r="DA2" s="88"/>
      <c r="DB2" s="88"/>
      <c r="DC2" s="87"/>
      <c r="DD2" s="87"/>
      <c r="DE2" s="87"/>
      <c r="DF2" s="87"/>
      <c r="DG2" s="87"/>
      <c r="DH2" s="87"/>
      <c r="DI2" s="88"/>
      <c r="DJ2" s="88"/>
      <c r="DK2" s="88"/>
      <c r="DL2" s="88"/>
      <c r="DM2" s="87"/>
      <c r="DN2" s="87"/>
      <c r="DO2" s="87"/>
      <c r="DP2" s="88"/>
      <c r="DQ2" s="88"/>
      <c r="DR2" s="87"/>
      <c r="DS2" s="87"/>
      <c r="DT2" s="87"/>
      <c r="DU2" s="87"/>
      <c r="DV2" s="87"/>
      <c r="DW2" s="87"/>
      <c r="DX2" s="88"/>
      <c r="DY2" s="88"/>
      <c r="DZ2" s="88"/>
      <c r="EA2" s="88"/>
      <c r="EB2" s="87"/>
      <c r="EC2" s="87"/>
      <c r="ED2" s="87"/>
      <c r="EE2" s="88"/>
      <c r="EF2" s="88"/>
      <c r="EG2" s="88"/>
      <c r="EH2" s="88"/>
      <c r="EI2" s="87"/>
      <c r="EJ2" s="86" t="s">
        <v>142</v>
      </c>
      <c r="EL2" s="89" t="s">
        <v>141</v>
      </c>
      <c r="EM2" s="88"/>
      <c r="EN2" s="87"/>
      <c r="EO2" s="87"/>
      <c r="EP2" s="87"/>
      <c r="EQ2" s="87"/>
      <c r="ER2" s="87"/>
      <c r="ES2" s="87"/>
      <c r="ET2" s="88"/>
      <c r="EU2" s="88"/>
      <c r="EV2" s="88"/>
      <c r="EW2" s="88"/>
      <c r="EX2" s="87"/>
      <c r="EY2" s="87"/>
      <c r="EZ2" s="87"/>
      <c r="FA2" s="88"/>
      <c r="FB2" s="88"/>
      <c r="FC2" s="87"/>
      <c r="FD2" s="87"/>
      <c r="FE2" s="87"/>
      <c r="FF2" s="87"/>
      <c r="FG2" s="87"/>
      <c r="FH2" s="87"/>
      <c r="FI2" s="88"/>
      <c r="FJ2" s="88"/>
      <c r="FK2" s="88"/>
      <c r="FL2" s="88"/>
      <c r="FM2" s="87"/>
      <c r="FN2" s="87"/>
      <c r="FO2" s="87"/>
      <c r="FP2" s="88"/>
      <c r="FQ2" s="88"/>
      <c r="FR2" s="87"/>
      <c r="FS2" s="87"/>
      <c r="FT2" s="87"/>
      <c r="FU2" s="87"/>
      <c r="FV2" s="87"/>
      <c r="FW2" s="87"/>
      <c r="FX2" s="88"/>
      <c r="FY2" s="88"/>
      <c r="FZ2" s="88"/>
      <c r="GA2" s="88"/>
      <c r="GB2" s="87"/>
      <c r="GC2" s="87"/>
      <c r="GD2" s="87"/>
      <c r="GE2" s="87"/>
      <c r="GF2" s="88"/>
      <c r="GG2" s="88"/>
      <c r="GH2" s="87"/>
      <c r="GI2" s="87"/>
      <c r="GJ2" s="87"/>
      <c r="GK2" s="87"/>
      <c r="GL2" s="87"/>
      <c r="GM2" s="87"/>
      <c r="GN2" s="88"/>
      <c r="GO2" s="88"/>
      <c r="GP2" s="88"/>
      <c r="GQ2" s="88"/>
      <c r="GR2" s="87"/>
      <c r="GS2" s="87"/>
      <c r="GT2" s="87"/>
      <c r="GU2" s="88"/>
      <c r="GV2" s="88"/>
      <c r="GW2" s="88"/>
      <c r="GX2" s="88"/>
      <c r="GY2" s="87"/>
      <c r="GZ2" s="86"/>
      <c r="HA2" s="86"/>
      <c r="HB2" s="86"/>
      <c r="HC2" s="86"/>
      <c r="HD2" s="86"/>
      <c r="HE2" s="86"/>
      <c r="HF2" s="86"/>
      <c r="HG2" s="86"/>
      <c r="HH2" s="86"/>
      <c r="HI2" s="86"/>
      <c r="HJ2" s="86"/>
      <c r="HK2" s="86"/>
      <c r="HL2" s="86"/>
      <c r="HM2" s="86"/>
      <c r="HN2" s="86"/>
      <c r="HO2" s="86"/>
      <c r="HP2" s="86"/>
      <c r="HQ2" s="86"/>
      <c r="HR2" s="86"/>
      <c r="HS2" s="86"/>
      <c r="HT2" s="86"/>
      <c r="HU2" s="86"/>
      <c r="HV2" s="86"/>
      <c r="HW2" s="86"/>
      <c r="HX2" s="86"/>
      <c r="HY2" s="86"/>
      <c r="HZ2" s="86"/>
      <c r="IA2" s="86"/>
      <c r="IB2" s="86"/>
      <c r="IC2" s="86"/>
      <c r="ID2" s="86"/>
      <c r="IE2" s="86"/>
      <c r="IF2" s="86"/>
      <c r="IG2" s="86"/>
      <c r="IH2" s="86"/>
      <c r="II2" s="86"/>
      <c r="IJ2" s="86"/>
      <c r="IK2" s="86"/>
      <c r="IL2" s="86"/>
      <c r="IM2" s="86"/>
      <c r="IN2" s="86"/>
      <c r="IO2" s="86"/>
      <c r="IP2" s="86"/>
      <c r="IQ2" s="86"/>
      <c r="IR2" s="86"/>
      <c r="IS2" s="86"/>
      <c r="IT2" s="86"/>
      <c r="IU2" s="86"/>
      <c r="IV2" s="86"/>
      <c r="IW2" s="86"/>
      <c r="IX2" s="86"/>
      <c r="IY2" s="86" t="s">
        <v>141</v>
      </c>
      <c r="IZ2" s="86"/>
      <c r="JA2" s="86"/>
      <c r="JB2" s="86"/>
      <c r="JC2" s="86"/>
      <c r="JD2" s="86"/>
      <c r="JE2" s="86"/>
      <c r="JF2" s="86"/>
      <c r="JG2" s="86"/>
      <c r="JH2" s="86"/>
      <c r="JI2" s="86"/>
      <c r="JJ2" s="86"/>
      <c r="JK2" s="86"/>
      <c r="JL2" s="86"/>
      <c r="JM2" s="86"/>
      <c r="JN2" s="86"/>
      <c r="JO2" s="86"/>
      <c r="JP2" s="86"/>
      <c r="JQ2" s="86"/>
      <c r="JR2" s="86"/>
      <c r="JS2" s="86"/>
      <c r="JT2" s="86"/>
      <c r="JU2" s="86" t="s">
        <v>141</v>
      </c>
      <c r="JW2" s="89" t="s">
        <v>140</v>
      </c>
      <c r="JX2" s="88"/>
      <c r="JY2" s="87"/>
      <c r="JZ2" s="87"/>
      <c r="KA2" s="87"/>
      <c r="KB2" s="87"/>
      <c r="KC2" s="87"/>
      <c r="KD2" s="87"/>
      <c r="KE2" s="88"/>
      <c r="KF2" s="88"/>
      <c r="KG2" s="88"/>
      <c r="KH2" s="88"/>
      <c r="KI2" s="87"/>
      <c r="KJ2" s="87"/>
      <c r="KK2" s="87"/>
      <c r="KL2" s="88"/>
      <c r="KM2" s="88"/>
      <c r="KN2" s="87"/>
      <c r="KO2" s="87"/>
      <c r="KP2" s="87"/>
      <c r="KQ2" s="87"/>
      <c r="KR2" s="87"/>
      <c r="KS2" s="87"/>
      <c r="KT2" s="88"/>
      <c r="KU2" s="88"/>
      <c r="KV2" s="88"/>
      <c r="KW2" s="88"/>
      <c r="KX2" s="87"/>
      <c r="KY2" s="87"/>
      <c r="KZ2" s="87"/>
      <c r="LA2" s="88"/>
      <c r="LB2" s="88"/>
      <c r="LC2" s="87"/>
      <c r="LD2" s="87"/>
      <c r="LE2" s="87"/>
      <c r="LF2" s="87"/>
      <c r="LG2" s="87"/>
      <c r="LH2" s="87"/>
      <c r="LI2" s="88"/>
      <c r="LJ2" s="88"/>
      <c r="LK2" s="88"/>
      <c r="LL2" s="88"/>
      <c r="LM2" s="87"/>
      <c r="LN2" s="87"/>
      <c r="LO2" s="87"/>
      <c r="LP2" s="88"/>
      <c r="LQ2" s="88"/>
      <c r="LR2" s="87"/>
      <c r="LS2" s="87"/>
      <c r="LT2" s="87"/>
      <c r="LU2" s="87"/>
      <c r="LV2" s="87"/>
      <c r="LW2" s="87"/>
      <c r="LX2" s="88"/>
      <c r="LY2" s="88"/>
      <c r="LZ2" s="88"/>
      <c r="MA2" s="88"/>
      <c r="MB2" s="87"/>
      <c r="MC2" s="87"/>
      <c r="MD2" s="87"/>
      <c r="ME2" s="88"/>
      <c r="MF2" s="88"/>
      <c r="MG2" s="88"/>
      <c r="MH2" s="88"/>
      <c r="MI2" s="87"/>
      <c r="MJ2" s="86"/>
      <c r="MK2" s="86"/>
      <c r="ML2" s="86"/>
      <c r="MM2" s="86"/>
      <c r="MN2" s="86"/>
      <c r="MO2" s="86"/>
      <c r="MP2" s="86"/>
      <c r="MQ2" s="86"/>
      <c r="MR2" s="86"/>
      <c r="MS2" s="86"/>
      <c r="MT2" s="86"/>
      <c r="MU2" s="86"/>
      <c r="MV2" s="86"/>
      <c r="MW2" s="86"/>
      <c r="MX2" s="86"/>
      <c r="MY2" s="86"/>
      <c r="MZ2" s="86"/>
      <c r="NA2" s="86"/>
      <c r="NB2" s="86"/>
      <c r="NC2" s="86"/>
      <c r="ND2" s="86"/>
      <c r="NE2" s="86"/>
      <c r="NF2" s="86"/>
      <c r="NG2" s="86"/>
      <c r="NH2" s="86"/>
      <c r="NI2" s="86"/>
      <c r="NJ2" s="86"/>
      <c r="NK2" s="86"/>
      <c r="NL2" s="86"/>
      <c r="NM2" s="86"/>
      <c r="NN2" s="86"/>
      <c r="NO2" s="86"/>
      <c r="NP2" s="86"/>
      <c r="NQ2" s="86"/>
      <c r="NR2" s="86"/>
      <c r="NS2" s="86"/>
      <c r="NT2" s="86"/>
      <c r="NU2" s="86"/>
      <c r="NV2" s="86"/>
      <c r="NW2" s="86"/>
      <c r="NX2" s="86"/>
      <c r="NY2" s="86"/>
      <c r="NZ2" s="86"/>
      <c r="OA2" s="86" t="s">
        <v>140</v>
      </c>
    </row>
    <row r="4" spans="1:392" x14ac:dyDescent="0.25">
      <c r="A4" s="74"/>
      <c r="B4" s="83" t="s">
        <v>139</v>
      </c>
      <c r="C4" s="83"/>
      <c r="D4" s="83"/>
      <c r="F4" s="83" t="s">
        <v>138</v>
      </c>
      <c r="G4" s="83"/>
      <c r="H4" s="83"/>
      <c r="I4" s="83"/>
      <c r="J4" s="74"/>
      <c r="K4" s="84"/>
      <c r="L4" s="74"/>
      <c r="M4" s="83" t="s">
        <v>128</v>
      </c>
      <c r="N4" s="83" t="s">
        <v>27</v>
      </c>
      <c r="O4" s="83" t="s">
        <v>137</v>
      </c>
      <c r="P4" s="83" t="s">
        <v>136</v>
      </c>
      <c r="Q4" s="83" t="s">
        <v>135</v>
      </c>
      <c r="R4" s="83" t="s">
        <v>49</v>
      </c>
      <c r="S4" s="83" t="s">
        <v>43</v>
      </c>
      <c r="T4" s="83" t="s">
        <v>134</v>
      </c>
      <c r="U4" s="83" t="s">
        <v>133</v>
      </c>
      <c r="V4" s="83" t="s">
        <v>26</v>
      </c>
      <c r="W4" s="83" t="s">
        <v>25</v>
      </c>
      <c r="X4" s="83" t="s">
        <v>132</v>
      </c>
      <c r="Y4" s="83" t="s">
        <v>131</v>
      </c>
      <c r="AA4" s="82" t="s">
        <v>48</v>
      </c>
      <c r="AB4" s="82" t="s">
        <v>26</v>
      </c>
      <c r="AC4" s="81" t="s">
        <v>25</v>
      </c>
      <c r="AD4" s="81" t="s">
        <v>24</v>
      </c>
      <c r="AF4" s="81" t="s">
        <v>24</v>
      </c>
      <c r="AG4" s="81" t="s">
        <v>125</v>
      </c>
      <c r="AI4" s="78" t="s">
        <v>124</v>
      </c>
      <c r="AJ4" s="78"/>
      <c r="AK4" s="78"/>
      <c r="AL4" s="78"/>
      <c r="AN4" s="77" t="s">
        <v>123</v>
      </c>
      <c r="AO4" s="67"/>
      <c r="AP4" s="78" t="s">
        <v>129</v>
      </c>
      <c r="AQ4" s="78"/>
      <c r="AR4" s="78"/>
      <c r="AS4" s="78"/>
      <c r="AU4" s="77" t="s">
        <v>123</v>
      </c>
      <c r="AW4" s="82" t="s">
        <v>52</v>
      </c>
      <c r="AX4" s="82" t="s">
        <v>26</v>
      </c>
      <c r="AY4" s="81" t="s">
        <v>25</v>
      </c>
      <c r="AZ4" s="81" t="s">
        <v>24</v>
      </c>
      <c r="BB4" s="81" t="s">
        <v>24</v>
      </c>
      <c r="BC4" s="81" t="s">
        <v>125</v>
      </c>
      <c r="BD4" s="81" t="s">
        <v>130</v>
      </c>
      <c r="BE4" s="81"/>
      <c r="BF4" s="81"/>
      <c r="BG4" s="81"/>
      <c r="BI4" s="78" t="s">
        <v>124</v>
      </c>
      <c r="BJ4" s="78"/>
      <c r="BK4" s="78"/>
      <c r="BL4" s="78"/>
      <c r="BN4" s="77" t="s">
        <v>123</v>
      </c>
      <c r="BO4" s="67"/>
      <c r="BP4" s="78" t="s">
        <v>129</v>
      </c>
      <c r="BQ4" s="78"/>
      <c r="BR4" s="78"/>
      <c r="BS4" s="78"/>
      <c r="BU4" s="77" t="s">
        <v>123</v>
      </c>
      <c r="BW4" s="82" t="s">
        <v>50</v>
      </c>
      <c r="BX4" s="82" t="s">
        <v>26</v>
      </c>
      <c r="BY4" s="81" t="s">
        <v>25</v>
      </c>
      <c r="BZ4" s="81" t="s">
        <v>24</v>
      </c>
      <c r="CB4" s="81" t="s">
        <v>24</v>
      </c>
      <c r="CC4" s="81" t="s">
        <v>125</v>
      </c>
      <c r="CE4" s="78" t="s">
        <v>124</v>
      </c>
      <c r="CF4" s="78"/>
      <c r="CG4" s="78"/>
      <c r="CH4" s="78"/>
      <c r="CJ4" s="77" t="s">
        <v>123</v>
      </c>
      <c r="CK4" s="67"/>
      <c r="CL4" s="82" t="s">
        <v>49</v>
      </c>
      <c r="CM4" s="82" t="s">
        <v>26</v>
      </c>
      <c r="CN4" s="82" t="s">
        <v>25</v>
      </c>
      <c r="CO4" s="82" t="s">
        <v>24</v>
      </c>
      <c r="CQ4" s="81" t="s">
        <v>24</v>
      </c>
      <c r="CR4" s="81" t="s">
        <v>125</v>
      </c>
      <c r="CT4" s="78" t="s">
        <v>124</v>
      </c>
      <c r="CU4" s="78"/>
      <c r="CV4" s="78"/>
      <c r="CW4" s="78"/>
      <c r="CY4" s="77" t="s">
        <v>123</v>
      </c>
      <c r="DA4" s="82" t="s">
        <v>45</v>
      </c>
      <c r="DB4" s="82" t="s">
        <v>26</v>
      </c>
      <c r="DC4" s="81" t="s">
        <v>25</v>
      </c>
      <c r="DD4" s="81" t="s">
        <v>24</v>
      </c>
      <c r="DF4" s="81" t="s">
        <v>24</v>
      </c>
      <c r="DG4" s="81" t="s">
        <v>125</v>
      </c>
      <c r="DI4" s="78" t="s">
        <v>124</v>
      </c>
      <c r="DJ4" s="78"/>
      <c r="DK4" s="78"/>
      <c r="DL4" s="78"/>
      <c r="DN4" s="77" t="s">
        <v>123</v>
      </c>
      <c r="DO4" s="67"/>
      <c r="DP4" s="82" t="s">
        <v>43</v>
      </c>
      <c r="DQ4" s="82" t="s">
        <v>26</v>
      </c>
      <c r="DR4" s="81" t="s">
        <v>25</v>
      </c>
      <c r="DS4" s="81" t="s">
        <v>24</v>
      </c>
      <c r="DU4" s="81" t="s">
        <v>24</v>
      </c>
      <c r="DV4" s="81" t="s">
        <v>125</v>
      </c>
      <c r="DX4" s="78" t="s">
        <v>124</v>
      </c>
      <c r="DY4" s="78"/>
      <c r="DZ4" s="78"/>
      <c r="EA4" s="78"/>
      <c r="EC4" s="77" t="s">
        <v>123</v>
      </c>
      <c r="ED4" s="67"/>
      <c r="EE4" s="78" t="s">
        <v>129</v>
      </c>
      <c r="EF4" s="78"/>
      <c r="EG4" s="78"/>
      <c r="EH4" s="78"/>
      <c r="EJ4" s="77" t="s">
        <v>123</v>
      </c>
      <c r="EK4" s="67"/>
      <c r="EL4" s="81" t="s">
        <v>34</v>
      </c>
      <c r="EM4" s="81" t="s">
        <v>26</v>
      </c>
      <c r="EN4" s="81" t="s">
        <v>25</v>
      </c>
      <c r="EO4" s="81" t="s">
        <v>24</v>
      </c>
      <c r="EQ4" s="81" t="s">
        <v>24</v>
      </c>
      <c r="ER4" s="81" t="s">
        <v>125</v>
      </c>
      <c r="ET4" s="78" t="s">
        <v>124</v>
      </c>
      <c r="EU4" s="78"/>
      <c r="EV4" s="78"/>
      <c r="EW4" s="78"/>
      <c r="EY4" s="77" t="s">
        <v>123</v>
      </c>
      <c r="EZ4" s="67"/>
      <c r="FA4" s="81" t="s">
        <v>27</v>
      </c>
      <c r="FB4" s="81" t="s">
        <v>26</v>
      </c>
      <c r="FC4" s="81" t="s">
        <v>25</v>
      </c>
      <c r="FD4" s="81" t="s">
        <v>24</v>
      </c>
      <c r="FF4" s="81" t="s">
        <v>24</v>
      </c>
      <c r="FG4" s="81" t="s">
        <v>125</v>
      </c>
      <c r="FI4" s="78" t="s">
        <v>124</v>
      </c>
      <c r="FJ4" s="78"/>
      <c r="FK4" s="78"/>
      <c r="FL4" s="78"/>
      <c r="FN4" s="77" t="s">
        <v>123</v>
      </c>
      <c r="FO4" s="67"/>
      <c r="FP4" s="78" t="s">
        <v>129</v>
      </c>
      <c r="FQ4" s="78"/>
      <c r="FR4" s="78"/>
      <c r="FS4" s="78"/>
      <c r="FU4" s="77" t="s">
        <v>123</v>
      </c>
      <c r="FV4" s="67"/>
      <c r="FW4" s="81" t="s">
        <v>27</v>
      </c>
      <c r="FX4" s="81" t="s">
        <v>26</v>
      </c>
      <c r="FY4" s="81" t="s">
        <v>25</v>
      </c>
      <c r="FZ4" s="81" t="s">
        <v>24</v>
      </c>
      <c r="GB4" s="81" t="s">
        <v>24</v>
      </c>
      <c r="GC4" s="81" t="s">
        <v>125</v>
      </c>
      <c r="GD4" s="81" t="s">
        <v>125</v>
      </c>
      <c r="GF4" s="78" t="s">
        <v>124</v>
      </c>
      <c r="GG4" s="78"/>
      <c r="GH4" s="78"/>
      <c r="GI4" s="78"/>
      <c r="GK4" s="77" t="s">
        <v>123</v>
      </c>
      <c r="GL4" s="67"/>
      <c r="GM4" s="78" t="s">
        <v>129</v>
      </c>
      <c r="GN4" s="78"/>
      <c r="GO4" s="78"/>
      <c r="GP4" s="78"/>
      <c r="GR4" s="77" t="s">
        <v>123</v>
      </c>
      <c r="GS4" s="67"/>
      <c r="GT4" s="81" t="s">
        <v>27</v>
      </c>
      <c r="GU4" s="81" t="s">
        <v>26</v>
      </c>
      <c r="GV4" s="81" t="s">
        <v>25</v>
      </c>
      <c r="GW4" s="81" t="s">
        <v>24</v>
      </c>
      <c r="GY4" s="81" t="s">
        <v>24</v>
      </c>
      <c r="GZ4" s="81" t="s">
        <v>125</v>
      </c>
      <c r="HB4" s="78" t="s">
        <v>124</v>
      </c>
      <c r="HC4" s="78"/>
      <c r="HD4" s="78"/>
      <c r="HE4" s="78"/>
      <c r="HG4" s="77" t="s">
        <v>123</v>
      </c>
      <c r="HH4" s="67"/>
      <c r="HI4" s="81" t="s">
        <v>27</v>
      </c>
      <c r="HJ4" s="81" t="s">
        <v>26</v>
      </c>
      <c r="HK4" s="81" t="s">
        <v>25</v>
      </c>
      <c r="HL4" s="81" t="s">
        <v>24</v>
      </c>
      <c r="HN4" s="81" t="s">
        <v>24</v>
      </c>
      <c r="HO4" s="81" t="s">
        <v>125</v>
      </c>
      <c r="HQ4" s="78" t="s">
        <v>124</v>
      </c>
      <c r="HR4" s="78"/>
      <c r="HS4" s="78"/>
      <c r="HT4" s="78"/>
      <c r="HV4" s="77" t="s">
        <v>123</v>
      </c>
      <c r="HW4" s="67"/>
      <c r="HX4" s="78" t="s">
        <v>129</v>
      </c>
      <c r="HY4" s="78"/>
      <c r="HZ4" s="78"/>
      <c r="IA4" s="78"/>
      <c r="IC4" s="77" t="s">
        <v>123</v>
      </c>
      <c r="ID4" s="67"/>
      <c r="IE4" s="81" t="s">
        <v>27</v>
      </c>
      <c r="IF4" s="81" t="s">
        <v>26</v>
      </c>
      <c r="IG4" s="81" t="s">
        <v>25</v>
      </c>
      <c r="IH4" s="81" t="s">
        <v>24</v>
      </c>
      <c r="IJ4" s="81" t="s">
        <v>24</v>
      </c>
      <c r="IK4" s="81" t="s">
        <v>125</v>
      </c>
      <c r="IM4" s="78" t="s">
        <v>124</v>
      </c>
      <c r="IN4" s="78"/>
      <c r="IO4" s="78"/>
      <c r="IP4" s="78"/>
      <c r="IR4" s="77" t="s">
        <v>123</v>
      </c>
      <c r="IS4" s="67"/>
      <c r="IT4" s="78" t="s">
        <v>129</v>
      </c>
      <c r="IU4" s="78"/>
      <c r="IV4" s="78"/>
      <c r="IW4" s="78"/>
      <c r="IY4" s="77" t="s">
        <v>123</v>
      </c>
      <c r="IZ4" s="67"/>
      <c r="JA4" s="81" t="s">
        <v>27</v>
      </c>
      <c r="JB4" s="81" t="s">
        <v>26</v>
      </c>
      <c r="JC4" s="81" t="s">
        <v>25</v>
      </c>
      <c r="JD4" s="81" t="s">
        <v>24</v>
      </c>
      <c r="JF4" s="81" t="s">
        <v>24</v>
      </c>
      <c r="JG4" s="81" t="s">
        <v>125</v>
      </c>
      <c r="JI4" s="78" t="s">
        <v>124</v>
      </c>
      <c r="JJ4" s="78"/>
      <c r="JK4" s="78"/>
      <c r="JL4" s="78"/>
      <c r="JN4" s="77" t="s">
        <v>123</v>
      </c>
      <c r="JO4" s="67"/>
      <c r="JP4" s="78" t="s">
        <v>129</v>
      </c>
      <c r="JQ4" s="78"/>
      <c r="JR4" s="78"/>
      <c r="JS4" s="78"/>
      <c r="JU4" s="77" t="s">
        <v>123</v>
      </c>
      <c r="JV4" s="67"/>
      <c r="JW4" s="80" t="s">
        <v>128</v>
      </c>
      <c r="JX4" s="80" t="s">
        <v>26</v>
      </c>
      <c r="JY4" s="80" t="s">
        <v>25</v>
      </c>
      <c r="JZ4" s="80" t="s">
        <v>24</v>
      </c>
      <c r="KB4" s="80" t="s">
        <v>24</v>
      </c>
      <c r="KC4" s="80" t="s">
        <v>125</v>
      </c>
      <c r="KE4" s="80" t="s">
        <v>128</v>
      </c>
      <c r="KF4" s="80" t="s">
        <v>26</v>
      </c>
      <c r="KG4" s="80" t="s">
        <v>25</v>
      </c>
      <c r="KH4" s="80" t="s">
        <v>24</v>
      </c>
      <c r="KJ4" s="80" t="s">
        <v>24</v>
      </c>
      <c r="KK4" s="80" t="s">
        <v>125</v>
      </c>
      <c r="KM4" s="80" t="s">
        <v>128</v>
      </c>
      <c r="KN4" s="80" t="s">
        <v>26</v>
      </c>
      <c r="KO4" s="80" t="s">
        <v>25</v>
      </c>
      <c r="KP4" s="80" t="s">
        <v>24</v>
      </c>
      <c r="KR4" s="80" t="s">
        <v>24</v>
      </c>
      <c r="KS4" s="80" t="s">
        <v>125</v>
      </c>
      <c r="KU4" s="80" t="s">
        <v>128</v>
      </c>
      <c r="KV4" s="80" t="s">
        <v>26</v>
      </c>
      <c r="KW4" s="80" t="s">
        <v>25</v>
      </c>
      <c r="KX4" s="80" t="s">
        <v>24</v>
      </c>
      <c r="KZ4" s="80" t="s">
        <v>24</v>
      </c>
      <c r="LA4" s="80" t="s">
        <v>125</v>
      </c>
      <c r="LC4" s="80" t="s">
        <v>128</v>
      </c>
      <c r="LD4" s="80" t="s">
        <v>26</v>
      </c>
      <c r="LE4" s="80" t="s">
        <v>25</v>
      </c>
      <c r="LF4" s="80" t="s">
        <v>24</v>
      </c>
      <c r="LH4" s="80" t="s">
        <v>24</v>
      </c>
      <c r="LI4" s="80" t="s">
        <v>125</v>
      </c>
      <c r="LK4" s="80" t="s">
        <v>128</v>
      </c>
      <c r="LL4" s="80" t="s">
        <v>26</v>
      </c>
      <c r="LM4" s="80" t="s">
        <v>25</v>
      </c>
      <c r="LN4" s="80" t="s">
        <v>24</v>
      </c>
      <c r="LP4" s="80" t="s">
        <v>24</v>
      </c>
      <c r="LQ4" s="80" t="s">
        <v>125</v>
      </c>
      <c r="LS4" s="80" t="s">
        <v>128</v>
      </c>
      <c r="LT4" s="80" t="s">
        <v>26</v>
      </c>
      <c r="LU4" s="80" t="s">
        <v>25</v>
      </c>
      <c r="LV4" s="80" t="s">
        <v>24</v>
      </c>
      <c r="LX4" s="80" t="s">
        <v>24</v>
      </c>
      <c r="LY4" s="80" t="s">
        <v>125</v>
      </c>
      <c r="MA4" s="80" t="s">
        <v>128</v>
      </c>
      <c r="MB4" s="80" t="s">
        <v>26</v>
      </c>
      <c r="MC4" s="80" t="s">
        <v>25</v>
      </c>
      <c r="MD4" s="80" t="s">
        <v>24</v>
      </c>
      <c r="MF4" s="80" t="s">
        <v>24</v>
      </c>
      <c r="MG4" s="80" t="s">
        <v>125</v>
      </c>
      <c r="MI4" s="80" t="s">
        <v>128</v>
      </c>
      <c r="MJ4" s="80" t="s">
        <v>26</v>
      </c>
      <c r="MK4" s="80" t="s">
        <v>25</v>
      </c>
      <c r="ML4" s="80" t="s">
        <v>24</v>
      </c>
      <c r="MN4" s="80" t="s">
        <v>24</v>
      </c>
      <c r="MO4" s="80" t="s">
        <v>125</v>
      </c>
      <c r="MQ4" s="80" t="s">
        <v>128</v>
      </c>
      <c r="MR4" s="80" t="s">
        <v>26</v>
      </c>
      <c r="MS4" s="80" t="s">
        <v>25</v>
      </c>
      <c r="MT4" s="80" t="s">
        <v>24</v>
      </c>
      <c r="MV4" s="80" t="s">
        <v>24</v>
      </c>
      <c r="MW4" s="80" t="s">
        <v>125</v>
      </c>
      <c r="MY4" s="79" t="s">
        <v>127</v>
      </c>
      <c r="MZ4" s="79" t="s">
        <v>26</v>
      </c>
      <c r="NA4" s="79" t="s">
        <v>25</v>
      </c>
      <c r="NB4" s="79" t="s">
        <v>24</v>
      </c>
      <c r="ND4" s="79" t="s">
        <v>24</v>
      </c>
      <c r="NE4" s="79" t="s">
        <v>125</v>
      </c>
      <c r="NF4" s="67"/>
      <c r="NG4" s="78" t="s">
        <v>124</v>
      </c>
      <c r="NH4" s="78"/>
      <c r="NI4" s="78"/>
      <c r="NJ4" s="78"/>
      <c r="NL4" s="77" t="s">
        <v>123</v>
      </c>
      <c r="NN4" s="79" t="s">
        <v>126</v>
      </c>
      <c r="NO4" s="79" t="s">
        <v>26</v>
      </c>
      <c r="NP4" s="79" t="s">
        <v>25</v>
      </c>
      <c r="NQ4" s="79" t="s">
        <v>24</v>
      </c>
      <c r="NS4" s="79" t="s">
        <v>24</v>
      </c>
      <c r="NT4" s="79" t="s">
        <v>125</v>
      </c>
      <c r="NV4" s="78" t="s">
        <v>124</v>
      </c>
      <c r="NW4" s="78"/>
      <c r="NX4" s="78"/>
      <c r="NY4" s="78"/>
      <c r="OA4" s="77" t="s">
        <v>123</v>
      </c>
      <c r="OB4" s="1"/>
    </row>
    <row r="5" spans="1:392" x14ac:dyDescent="0.2">
      <c r="E5" s="74"/>
      <c r="K5" s="7">
        <v>1</v>
      </c>
      <c r="M5" s="5" t="str" cm="1">
        <f t="array" ref="M5">LOOKUP(2,1/($G$19:$G$35&lt;=$V5)/($H$19:$H$35&gt;=$V5),$F$19:$F$35)</f>
        <v>2H17</v>
      </c>
      <c r="N5" s="5" t="str" cm="1">
        <f t="array" ref="N5">LOOKUP(2,1/($G$8:$G$16&lt;=$V5)/($H$8:$H$16&gt;=$V5),$F$8:$F$16)</f>
        <v>FY17</v>
      </c>
      <c r="O5" s="5" t="str">
        <f>IFERROR(N5&amp;"-"&amp;COUNTIF($N$5:N5,N5),NA())</f>
        <v>FY17-1</v>
      </c>
      <c r="P5" s="5">
        <f>COUNTIF(V$5:V5,"&gt;="&amp;MAX($V:$V)-183)</f>
        <v>0</v>
      </c>
      <c r="Q5" s="5">
        <f>COUNTIF(V$5:V5,"&gt;="&amp;MAX($V:$V)-365)</f>
        <v>0</v>
      </c>
      <c r="R5" s="5" cm="1">
        <f t="array" ref="R5">LOOKUP(2,1/($G$46:$G$50&lt;=$V5)/($H$46:$H$50&gt;=$V5),$F$46:$F$50)</f>
        <v>0</v>
      </c>
      <c r="S5" s="5" cm="1">
        <f t="array" ref="S5">LOOKUP(2,1/($G$53:$G$56&lt;=$V5)/($H$53:$H$56&gt;=$V5),$F$53:$F$56)</f>
        <v>0</v>
      </c>
      <c r="T5" s="5" t="e">
        <f>IFERROR(IF($R5&gt;0,$R5&amp;"-"&amp;COUNTIF($R$5:$R5,$R5),NA()),NA())</f>
        <v>#N/A</v>
      </c>
      <c r="U5" s="5" t="e">
        <f>IFERROR(IF($S5&gt;0,$S5&amp;"-"&amp;COUNTIF($S$5:$S5,$S5),NA()),NA())</f>
        <v>#N/A</v>
      </c>
      <c r="V5" s="10">
        <v>42740</v>
      </c>
      <c r="W5" s="9">
        <v>84463561.831982046</v>
      </c>
      <c r="X5" s="9">
        <v>78470872.12000291</v>
      </c>
      <c r="Y5" s="8">
        <v>55000000</v>
      </c>
      <c r="AA5" s="48">
        <v>1</v>
      </c>
      <c r="AB5" s="12">
        <f t="shared" ref="AB5:AB36" si="0">IF(ISNA($AA5),NA(),INDEX($V:$V,MATCH($AA5,$P:$P,0)))</f>
        <v>45288</v>
      </c>
      <c r="AC5" s="15">
        <f t="shared" ref="AC5:AC36" si="1">IF(ISNA($AA5),NA(),INDEX($W:$W,MATCH($AA5,$P:$P,0)))</f>
        <v>34197531.001416586</v>
      </c>
      <c r="AD5" s="14">
        <f t="shared" ref="AD5:AD36" si="2">IF(ISNA($AA5),NA(),INDEX($Y:$Y,MATCH($AA5,$P:$P,0)))</f>
        <v>20000000</v>
      </c>
      <c r="AF5" s="14">
        <v>4000000</v>
      </c>
      <c r="AG5" s="1">
        <f t="shared" ref="AG5:AG14" si="3">COUNTIF($AD:$AD,AF5)</f>
        <v>7</v>
      </c>
      <c r="AW5" s="48">
        <v>1</v>
      </c>
      <c r="AX5" s="12">
        <f t="shared" ref="AX5:AX36" si="4">IF(ISNA($AW5),NA(),INDEX($V:$V,MATCH($AW5,$Q:$Q,0)))</f>
        <v>45106</v>
      </c>
      <c r="AY5" s="15">
        <f t="shared" ref="AY5:AY36" si="5">IF(ISNA($AW5),NA(),INDEX($W:$W,MATCH($AW5,$Q:$Q,0)))</f>
        <v>19524423.123024959</v>
      </c>
      <c r="AZ5" s="14">
        <f>IF(ISNA($AW5),NA(),INDEX($Y:$Y,MATCH($AW5,$Q:$Q,0)))</f>
        <v>4000000</v>
      </c>
      <c r="BB5" s="14">
        <v>3000000</v>
      </c>
      <c r="BC5" s="1">
        <f t="shared" ref="BC5:BC16" si="6">COUNTIF($AZ:$AZ,BB5)</f>
        <v>0</v>
      </c>
      <c r="BD5" s="14" t="e">
        <f t="shared" ref="BD5:BD16" si="7">AVERAGEIF(AZ:AZ,BB5,AY:AY)</f>
        <v>#DIV/0!</v>
      </c>
      <c r="BE5" s="14"/>
      <c r="BF5" s="14"/>
      <c r="BG5" s="14"/>
      <c r="BW5" s="48" t="str">
        <f t="shared" ref="BW5:BW36" si="8">IF($K5&lt;=INDEX($I:$I,MATCH(BW$4,$F:$F,0)),BW$4&amp;"-"&amp;$K5,NA())</f>
        <v>N1-1</v>
      </c>
      <c r="BX5" s="12">
        <f t="shared" ref="BX5:BX36" si="9">IF(ISNA($BW5),NA(),INDEX($V:$V,MATCH($BW5,$T:$T,0)))</f>
        <v>44112</v>
      </c>
      <c r="BY5" s="15">
        <f t="shared" ref="BY5:BY36" si="10">IF(ISNA($BW5),NA(),INDEX($W:$W,MATCH($BW5,$T:$T,0)))</f>
        <v>42908867.619337186</v>
      </c>
      <c r="BZ5" s="14">
        <f t="shared" ref="BZ5:BZ36" si="11">IF(ISNA($BW5),NA(),INDEX($Y:$Y,MATCH($BW5,$T:$T,0)))</f>
        <v>20000000</v>
      </c>
      <c r="CB5" s="14">
        <v>3000000</v>
      </c>
      <c r="CC5" s="1">
        <f>COUNTIF($BZ:$BZ,CB5)</f>
        <v>5</v>
      </c>
      <c r="CL5" s="48" t="str">
        <f t="shared" ref="CL5:CL36" si="12">IF($K5&lt;=INDEX($I:$I,MATCH(CL$4,$F:$F,0)),CL$4&amp;"-"&amp;$K5,NA())</f>
        <v>A1-1</v>
      </c>
      <c r="CM5" s="12">
        <f t="shared" ref="CM5:CM36" si="13">IF(ISNA(CL5),NA(),INDEX($V:$V,MATCH(CL5,$T:$T,0)))</f>
        <v>44224</v>
      </c>
      <c r="CN5" s="49">
        <f t="shared" ref="CN5:CN36" si="14">IF(ISNA(CL5),NA(),INDEX($W:$W,MATCH(CL5,$T:$T,0)))</f>
        <v>22190279.355427179</v>
      </c>
      <c r="CO5" s="49">
        <f t="shared" ref="CO5:CO36" si="15">IF(ISNA(CL5),NA(),INDEX($Y:$Y,MATCH(CL5,$T:$T,0)))</f>
        <v>8000000</v>
      </c>
      <c r="CQ5" s="14">
        <v>8000000</v>
      </c>
      <c r="CR5" s="1">
        <f>COUNTIF($CO:$CO,CQ5)</f>
        <v>4</v>
      </c>
      <c r="DA5" s="48" t="str">
        <f t="shared" ref="DA5:DA36" si="16">IF($K5&lt;=INDEX($I:$I,MATCH(DA$4,$F:$F,0)),DA$4&amp;"-"&amp;$K5,NA())</f>
        <v>N2-1</v>
      </c>
      <c r="DB5" s="12">
        <f t="shared" ref="DB5:DB36" si="17">IF(ISNA(DA5),NA(),INDEX($V:$V,MATCH(DA5,$U:$U,0)))</f>
        <v>44707</v>
      </c>
      <c r="DC5" s="15">
        <f t="shared" ref="DC5:DC36" si="18">IF(ISNA(DA5),NA(),INDEX($W:$W,MATCH(DA5,$U:$U,0)))</f>
        <v>21016983.155974455</v>
      </c>
      <c r="DD5" s="14">
        <f t="shared" ref="DD5:DD36" si="19">IF(ISNA(DA5),NA(),INDEX($Y:$Y,MATCH(DA5,$U:$U,0)))</f>
        <v>4000000</v>
      </c>
      <c r="DF5" s="14">
        <v>4000000</v>
      </c>
      <c r="DG5" s="1">
        <f>COUNTIF($DD:$DD,DF5)</f>
        <v>6</v>
      </c>
      <c r="DP5" s="48" t="str">
        <f t="shared" ref="DP5:DP36" si="20">IF($K5&lt;=INDEX($I:$I,MATCH(DP$4,$F:$F,0)),DP$4&amp;"-"&amp;$K5,NA())</f>
        <v>A2-1</v>
      </c>
      <c r="DQ5" s="12">
        <f t="shared" ref="DQ5:DQ36" si="21">IF(ISNA(DP5),NA(),INDEX($V:$V,MATCH(DP5,$U:$U,0)))</f>
        <v>44819</v>
      </c>
      <c r="DR5" s="15">
        <f t="shared" ref="DR5:DR36" si="22">IF(ISNA(DP5),NA(),INDEX($W:$W,MATCH(DP5,$U:$U,0)))</f>
        <v>25008818.485861961</v>
      </c>
      <c r="DS5" s="14">
        <f t="shared" ref="DS5:DS36" si="23">IF(ISNA(DP5),NA(),INDEX($Y:$Y,MATCH(DP5,$U:$U,0)))</f>
        <v>8000000</v>
      </c>
      <c r="DU5" s="14">
        <v>8000000</v>
      </c>
      <c r="DV5" s="1">
        <f t="shared" ref="DV5:DV10" si="24">COUNTIF($DS:$DS,DU5)</f>
        <v>4</v>
      </c>
      <c r="EL5" s="47" t="str">
        <f t="shared" ref="EL5:EL36" si="25">IF($K5&lt;=INDEX($I:$I,MATCH($EL$4,$F:$F,0)),$EL$4&amp;"-"&amp;$K5,NA())</f>
        <v>FY18-1</v>
      </c>
      <c r="EM5" s="16">
        <v>42922</v>
      </c>
      <c r="EN5" s="15">
        <v>14311103.305157838</v>
      </c>
      <c r="EO5" s="14">
        <f t="shared" ref="EO5:EO36" si="26">IF(ISNA($EL5),NA(),INDEX($Y:$Y,MATCH($EL5,$O:$O,0)))</f>
        <v>3000000</v>
      </c>
      <c r="EQ5" s="14">
        <v>3000000</v>
      </c>
      <c r="ER5" s="1">
        <f t="shared" ref="ER5:ER17" si="27">COUNTIF($EO:$EO,EQ5)</f>
        <v>18</v>
      </c>
      <c r="FA5" s="16" t="s">
        <v>33</v>
      </c>
      <c r="FB5" s="16">
        <v>43286</v>
      </c>
      <c r="FC5" s="15">
        <v>20852316.083916079</v>
      </c>
      <c r="FD5" s="14">
        <v>12000000</v>
      </c>
      <c r="FF5" s="14">
        <v>3000000</v>
      </c>
      <c r="FG5" s="1">
        <f t="shared" ref="FG5:FG15" si="28">COUNTIF($FD:$FD,FF5)</f>
        <v>9</v>
      </c>
      <c r="FW5" s="16" t="s">
        <v>39</v>
      </c>
      <c r="FX5" s="16">
        <v>43650</v>
      </c>
      <c r="FY5" s="15">
        <v>52868604.987932429</v>
      </c>
      <c r="FZ5" s="14">
        <v>60000000</v>
      </c>
      <c r="GB5" s="14">
        <v>3000000</v>
      </c>
      <c r="GC5" s="1">
        <f t="shared" ref="GC5:GC16" si="29">COUNTIF($FZ:$FZ,GB5)</f>
        <v>10</v>
      </c>
      <c r="GD5" s="15">
        <f t="shared" ref="GD5:GD16" si="30">AVERAGEIF($FZ:$FZ,GB5,$FY:$FY)</f>
        <v>15636908.117215604</v>
      </c>
      <c r="GT5" s="16" t="s">
        <v>38</v>
      </c>
      <c r="GU5" s="16">
        <v>44014</v>
      </c>
      <c r="GV5" s="15">
        <v>69318618.911523253</v>
      </c>
      <c r="GW5" s="14">
        <v>50000000</v>
      </c>
      <c r="GY5" s="14">
        <v>3000000</v>
      </c>
      <c r="GZ5" s="1">
        <f t="shared" ref="GZ5:GZ12" si="31">COUNTIF($GW:$GW,GY5)</f>
        <v>11</v>
      </c>
      <c r="HI5" s="16" t="s">
        <v>35</v>
      </c>
      <c r="HJ5" s="16">
        <v>44378</v>
      </c>
      <c r="HK5" s="15">
        <v>77623219.458802059</v>
      </c>
      <c r="HL5" s="14">
        <v>60000000</v>
      </c>
      <c r="HN5" s="14">
        <v>3000000</v>
      </c>
      <c r="HO5" s="1">
        <f t="shared" ref="HO5:HO13" si="32">COUNTIF($HL:$HL,HN5)</f>
        <v>9</v>
      </c>
      <c r="IE5" s="16" t="s">
        <v>37</v>
      </c>
      <c r="IF5" s="16">
        <v>44749</v>
      </c>
      <c r="IG5" s="15">
        <v>20096787.838248707</v>
      </c>
      <c r="IH5" s="14">
        <v>4000000</v>
      </c>
      <c r="IJ5" s="14">
        <v>4000000</v>
      </c>
      <c r="IK5" s="1">
        <f t="shared" ref="IK5:IK14" si="33">COUNTIF($IH:$IH,IJ5)</f>
        <v>13</v>
      </c>
      <c r="JA5" s="16" t="s">
        <v>115</v>
      </c>
      <c r="JB5" s="16">
        <v>45113</v>
      </c>
      <c r="JC5" s="15">
        <v>31154789.255748071</v>
      </c>
      <c r="JD5" s="14">
        <v>12000000</v>
      </c>
      <c r="JF5" s="14">
        <v>4000000</v>
      </c>
      <c r="JG5" s="1">
        <f>COUNTIF($JD:$JD,JF5)</f>
        <v>10</v>
      </c>
      <c r="JW5" s="16" t="s">
        <v>83</v>
      </c>
      <c r="JX5" s="16">
        <v>42922</v>
      </c>
      <c r="JY5" s="15">
        <v>14265020</v>
      </c>
      <c r="JZ5" s="14">
        <v>3000000</v>
      </c>
      <c r="KB5" s="14">
        <v>3000000</v>
      </c>
      <c r="KC5" s="1">
        <f t="shared" ref="KC5:KC11" si="34">COUNTIF($JZ:$JZ,KB5)</f>
        <v>9</v>
      </c>
      <c r="KE5" s="16" t="s">
        <v>82</v>
      </c>
      <c r="KF5" s="16">
        <v>43104</v>
      </c>
      <c r="KG5" s="15">
        <v>46835360</v>
      </c>
      <c r="KH5" s="14">
        <v>35000000</v>
      </c>
      <c r="KJ5" s="14">
        <v>3000000</v>
      </c>
      <c r="KK5" s="1">
        <f t="shared" ref="KK5:KK16" si="35">COUNTIF($KH:$KH,KJ5)</f>
        <v>9</v>
      </c>
      <c r="KM5" s="16" t="s">
        <v>81</v>
      </c>
      <c r="KN5" s="16">
        <v>43286</v>
      </c>
      <c r="KO5" s="15">
        <v>20156862</v>
      </c>
      <c r="KP5" s="14">
        <v>12000000</v>
      </c>
      <c r="KR5" s="14">
        <v>3000000</v>
      </c>
      <c r="KS5" s="1">
        <f t="shared" ref="KS5:KS15" si="36">COUNTIF($KP:$KP,KR5)</f>
        <v>4</v>
      </c>
      <c r="KU5" s="16" t="s">
        <v>79</v>
      </c>
      <c r="KV5" s="16">
        <v>43468</v>
      </c>
      <c r="KW5" s="15">
        <v>65666766</v>
      </c>
      <c r="KX5" s="14">
        <v>50000000</v>
      </c>
      <c r="KZ5" s="14">
        <v>3000000</v>
      </c>
      <c r="LA5" s="1">
        <f t="shared" ref="LA5:LA13" si="37">COUNTIF($KX:$KX,KZ5)</f>
        <v>5</v>
      </c>
      <c r="LC5" s="16" t="s">
        <v>78</v>
      </c>
      <c r="LD5" s="16">
        <v>43650</v>
      </c>
      <c r="LE5" s="15">
        <v>53058918</v>
      </c>
      <c r="LF5" s="14">
        <v>60000000</v>
      </c>
      <c r="LH5" s="14">
        <v>3000000</v>
      </c>
      <c r="LI5" s="1">
        <f t="shared" ref="LI5:LI17" si="38">COUNTIF($LF:$LF,LH5)</f>
        <v>4</v>
      </c>
      <c r="LK5" s="16" t="s">
        <v>77</v>
      </c>
      <c r="LL5" s="16">
        <v>43832</v>
      </c>
      <c r="LM5" s="15">
        <v>14277252</v>
      </c>
      <c r="LN5" s="14">
        <v>3000000</v>
      </c>
      <c r="LP5" s="14">
        <v>3000000</v>
      </c>
      <c r="LQ5" s="1">
        <f t="shared" ref="LQ5:LQ13" si="39">COUNTIF($LN:$LN,LP5)</f>
        <v>6</v>
      </c>
      <c r="LS5" s="16" t="s">
        <v>70</v>
      </c>
      <c r="LT5" s="16">
        <v>44014</v>
      </c>
      <c r="LU5" s="15">
        <v>69132360</v>
      </c>
      <c r="LV5" s="14">
        <v>50000000</v>
      </c>
      <c r="LX5" s="14">
        <v>3000000</v>
      </c>
      <c r="LY5" s="1">
        <f t="shared" ref="LY5:LY11" si="40">COUNTIF($LV:$LV,LX5)</f>
        <v>8</v>
      </c>
      <c r="MA5" s="16" t="s">
        <v>86</v>
      </c>
      <c r="MB5" s="16">
        <v>44203</v>
      </c>
      <c r="MC5" s="15">
        <v>17762976</v>
      </c>
      <c r="MD5" s="14">
        <v>3000000</v>
      </c>
      <c r="MF5" s="14">
        <v>3000000</v>
      </c>
      <c r="MG5" s="1">
        <f t="shared" ref="MG5:MG11" si="41">COUNTIF($MD:$MD,MF5)</f>
        <v>3</v>
      </c>
      <c r="MI5" s="16" t="s">
        <v>69</v>
      </c>
      <c r="MJ5" s="16">
        <v>44378</v>
      </c>
      <c r="MK5" s="15">
        <v>78847560</v>
      </c>
      <c r="ML5" s="14">
        <v>60000000</v>
      </c>
      <c r="MN5" s="14">
        <v>3000000</v>
      </c>
      <c r="MO5" s="1">
        <f t="shared" ref="MO5:MO11" si="42">COUNTIF($ML:$ML,MN5)</f>
        <v>6</v>
      </c>
      <c r="MQ5" s="16" t="s">
        <v>76</v>
      </c>
      <c r="MR5" s="16">
        <v>44567</v>
      </c>
      <c r="MS5" s="15">
        <v>76683420</v>
      </c>
      <c r="MT5" s="14">
        <v>60000000</v>
      </c>
      <c r="MV5" s="14">
        <v>3000000</v>
      </c>
      <c r="MW5" s="1">
        <f t="shared" ref="MW5:MW12" si="43">COUNTIF($MT:$MT,MV5)</f>
        <v>3</v>
      </c>
      <c r="MY5" s="16" t="s">
        <v>110</v>
      </c>
      <c r="MZ5" s="16">
        <v>42838</v>
      </c>
      <c r="NA5" s="15">
        <v>17646640</v>
      </c>
      <c r="NB5" s="14">
        <v>6000000</v>
      </c>
      <c r="ND5" s="14">
        <v>3000000</v>
      </c>
      <c r="NE5" s="1">
        <f t="shared" ref="NE5:NE14" si="44">COUNTIF($NB:$NB,ND5)</f>
        <v>17</v>
      </c>
      <c r="NF5" s="14"/>
      <c r="NN5" s="16" t="s">
        <v>34</v>
      </c>
      <c r="NO5" s="16">
        <v>43209</v>
      </c>
      <c r="NP5" s="15">
        <v>18243324</v>
      </c>
      <c r="NQ5" s="14">
        <v>8000000</v>
      </c>
      <c r="NS5" s="14">
        <v>3000000</v>
      </c>
      <c r="NT5" s="1">
        <f t="shared" ref="NT5:NT15" si="45">COUNTIF($NQ:$NQ,NS5)</f>
        <v>10</v>
      </c>
      <c r="OB5" s="1"/>
    </row>
    <row r="6" spans="1:392" x14ac:dyDescent="0.2">
      <c r="E6" s="74"/>
      <c r="K6" s="7">
        <v>2</v>
      </c>
      <c r="M6" s="5" t="str" cm="1">
        <f t="array" ref="M6">LOOKUP(2,1/($G$19:$G$35&lt;=$V6)/($H$19:$H$35&gt;=$V6),$F$19:$F$35)</f>
        <v>2H17</v>
      </c>
      <c r="N6" s="5" t="str" cm="1">
        <f t="array" ref="N6">LOOKUP(2,1/($G$8:$G$16&lt;=$V6)/($H$8:$H$16&gt;=$V6),$F$8:$F$16)</f>
        <v>FY17</v>
      </c>
      <c r="O6" s="5" t="str">
        <f>IFERROR(N6&amp;"-"&amp;COUNTIF($N$5:N6,N6),NA())</f>
        <v>FY17-2</v>
      </c>
      <c r="P6" s="5">
        <f>COUNTIF(V$5:V6,"&gt;="&amp;MAX($V:$V)-183)</f>
        <v>0</v>
      </c>
      <c r="Q6" s="5">
        <f>COUNTIF(V$5:V6,"&gt;="&amp;MAX($V:$V)-365)</f>
        <v>0</v>
      </c>
      <c r="R6" s="5" cm="1">
        <f t="array" ref="R6">LOOKUP(2,1/($G$46:$G$50&lt;=$V6)/($H$46:$H$50&gt;=$V6),$F$46:$F$50)</f>
        <v>0</v>
      </c>
      <c r="S6" s="5" cm="1">
        <f t="array" ref="S6">LOOKUP(2,1/($G$53:$G$56&lt;=$V6)/($H$53:$H$56&gt;=$V6),$F$53:$F$56)</f>
        <v>0</v>
      </c>
      <c r="T6" s="5" t="e">
        <f>IFERROR(IF($R6&gt;0,$R6&amp;"-"&amp;COUNTIF($R$5:$R6,$R6),NA()),NA())</f>
        <v>#N/A</v>
      </c>
      <c r="U6" s="5" t="e">
        <f>IFERROR(IF($S6&gt;0,$S6&amp;"-"&amp;COUNTIF($S$5:$S6,$S6),NA()),NA())</f>
        <v>#N/A</v>
      </c>
      <c r="V6" s="10">
        <v>42747</v>
      </c>
      <c r="W6" s="9">
        <v>13522062.508193891</v>
      </c>
      <c r="X6" s="9">
        <v>12562672.173237534</v>
      </c>
      <c r="Y6" s="8">
        <v>3000000</v>
      </c>
      <c r="AA6" s="48">
        <f t="shared" ref="AA6:AA37" si="46">IF(AA5+1&lt;=MAX($P:$P),AA5+1,NA())</f>
        <v>2</v>
      </c>
      <c r="AB6" s="12">
        <f t="shared" si="0"/>
        <v>45295</v>
      </c>
      <c r="AC6" s="15">
        <f t="shared" si="1"/>
        <v>45025587.337910004</v>
      </c>
      <c r="AD6" s="14">
        <f t="shared" si="2"/>
        <v>30000000</v>
      </c>
      <c r="AF6" s="14">
        <v>8000000</v>
      </c>
      <c r="AG6" s="1">
        <f t="shared" si="3"/>
        <v>0</v>
      </c>
      <c r="AI6" s="76"/>
      <c r="AJ6" s="75" t="s">
        <v>122</v>
      </c>
      <c r="AK6" s="75" t="s">
        <v>121</v>
      </c>
      <c r="AL6" s="75" t="s">
        <v>120</v>
      </c>
      <c r="AP6" s="76"/>
      <c r="AQ6" s="75" t="s">
        <v>122</v>
      </c>
      <c r="AR6" s="75" t="s">
        <v>121</v>
      </c>
      <c r="AS6" s="75" t="s">
        <v>120</v>
      </c>
      <c r="AW6" s="48">
        <f t="shared" ref="AW6:AW37" si="47">IF(AW5+1&lt;=MAX($Q:$Q),AW5+1,NA())</f>
        <v>2</v>
      </c>
      <c r="AX6" s="12">
        <f t="shared" si="4"/>
        <v>45113</v>
      </c>
      <c r="AY6" s="15">
        <f t="shared" si="5"/>
        <v>31154789.255748071</v>
      </c>
      <c r="AZ6" s="14">
        <f t="shared" ref="AZ6:AZ36" si="48">IF(ISNA($AW6),NA(),INDEX($Y:$Y,MATCH($AW6,$Q:$Q,0)))</f>
        <v>12000000</v>
      </c>
      <c r="BB6" s="14">
        <v>4000000</v>
      </c>
      <c r="BC6" s="1">
        <f t="shared" si="6"/>
        <v>11</v>
      </c>
      <c r="BD6" s="14">
        <f t="shared" si="7"/>
        <v>20432907.733761281</v>
      </c>
      <c r="BE6" s="14"/>
      <c r="BF6" s="14"/>
      <c r="BG6" s="14"/>
      <c r="BI6" s="76"/>
      <c r="BJ6" s="75" t="s">
        <v>122</v>
      </c>
      <c r="BK6" s="75" t="s">
        <v>121</v>
      </c>
      <c r="BL6" s="75" t="s">
        <v>120</v>
      </c>
      <c r="BP6" s="76"/>
      <c r="BQ6" s="75" t="s">
        <v>122</v>
      </c>
      <c r="BR6" s="75" t="s">
        <v>121</v>
      </c>
      <c r="BS6" s="75" t="s">
        <v>120</v>
      </c>
      <c r="BW6" s="48" t="str">
        <f t="shared" si="8"/>
        <v>N1-2</v>
      </c>
      <c r="BX6" s="12">
        <f t="shared" si="9"/>
        <v>44119</v>
      </c>
      <c r="BY6" s="15">
        <f t="shared" si="10"/>
        <v>61499423.776223779</v>
      </c>
      <c r="BZ6" s="14">
        <f t="shared" si="11"/>
        <v>40000000</v>
      </c>
      <c r="CB6" s="14">
        <v>8000000</v>
      </c>
      <c r="CC6" s="1">
        <f>COUNTIF($BZ:$BZ,CB6)</f>
        <v>5</v>
      </c>
      <c r="CE6" s="76"/>
      <c r="CF6" s="75" t="s">
        <v>122</v>
      </c>
      <c r="CG6" s="75" t="s">
        <v>121</v>
      </c>
      <c r="CH6" s="75" t="s">
        <v>120</v>
      </c>
      <c r="CL6" s="48" t="str">
        <f t="shared" si="12"/>
        <v>A1-2</v>
      </c>
      <c r="CM6" s="12">
        <f t="shared" si="13"/>
        <v>44231</v>
      </c>
      <c r="CN6" s="49">
        <f t="shared" si="14"/>
        <v>36953457.707509883</v>
      </c>
      <c r="CO6" s="49">
        <f t="shared" si="15"/>
        <v>20000000</v>
      </c>
      <c r="CQ6" s="14">
        <v>20000000</v>
      </c>
      <c r="CR6" s="1">
        <f>COUNTIF($CO:$CO,CQ6)</f>
        <v>4</v>
      </c>
      <c r="CT6" s="76"/>
      <c r="CU6" s="75" t="s">
        <v>122</v>
      </c>
      <c r="CV6" s="75" t="s">
        <v>121</v>
      </c>
      <c r="CW6" s="75" t="s">
        <v>120</v>
      </c>
      <c r="DA6" s="48" t="str">
        <f t="shared" si="16"/>
        <v>N2-2</v>
      </c>
      <c r="DB6" s="12">
        <f t="shared" si="17"/>
        <v>44714</v>
      </c>
      <c r="DC6" s="15">
        <f t="shared" si="18"/>
        <v>21125759.318941928</v>
      </c>
      <c r="DD6" s="14">
        <f t="shared" si="19"/>
        <v>4000000</v>
      </c>
      <c r="DF6" s="14">
        <v>8000000</v>
      </c>
      <c r="DG6" s="1">
        <f>COUNTIF($DD:$DD,DF6)</f>
        <v>4</v>
      </c>
      <c r="DI6" s="76"/>
      <c r="DJ6" s="75" t="s">
        <v>122</v>
      </c>
      <c r="DK6" s="75" t="s">
        <v>121</v>
      </c>
      <c r="DL6" s="75" t="s">
        <v>120</v>
      </c>
      <c r="DP6" s="48" t="str">
        <f t="shared" si="20"/>
        <v>A2-2</v>
      </c>
      <c r="DQ6" s="12">
        <f t="shared" si="21"/>
        <v>44826</v>
      </c>
      <c r="DR6" s="15">
        <f t="shared" si="22"/>
        <v>22659829.73548191</v>
      </c>
      <c r="DS6" s="14">
        <f t="shared" si="23"/>
        <v>8000000</v>
      </c>
      <c r="DU6" s="14">
        <v>20000000</v>
      </c>
      <c r="DV6" s="1">
        <f t="shared" si="24"/>
        <v>3</v>
      </c>
      <c r="DX6" s="76"/>
      <c r="DY6" s="75" t="s">
        <v>122</v>
      </c>
      <c r="DZ6" s="75" t="s">
        <v>121</v>
      </c>
      <c r="EA6" s="75" t="s">
        <v>120</v>
      </c>
      <c r="EE6" s="76"/>
      <c r="EF6" s="75" t="s">
        <v>122</v>
      </c>
      <c r="EG6" s="75" t="s">
        <v>121</v>
      </c>
      <c r="EH6" s="75" t="s">
        <v>120</v>
      </c>
      <c r="EL6" s="47" t="str">
        <f t="shared" si="25"/>
        <v>FY18-2</v>
      </c>
      <c r="EM6" s="16">
        <v>42929</v>
      </c>
      <c r="EN6" s="15">
        <v>15800128.126617214</v>
      </c>
      <c r="EO6" s="14">
        <f t="shared" si="26"/>
        <v>6000000</v>
      </c>
      <c r="EQ6" s="14">
        <v>6000000</v>
      </c>
      <c r="ER6" s="1">
        <f t="shared" si="27"/>
        <v>10</v>
      </c>
      <c r="ET6" s="76"/>
      <c r="EU6" s="75" t="s">
        <v>122</v>
      </c>
      <c r="EV6" s="75" t="s">
        <v>121</v>
      </c>
      <c r="EW6" s="75" t="s">
        <v>120</v>
      </c>
      <c r="FA6" s="16" t="s">
        <v>33</v>
      </c>
      <c r="FB6" s="16">
        <v>43293</v>
      </c>
      <c r="FC6" s="15">
        <v>26842498.410680223</v>
      </c>
      <c r="FD6" s="14">
        <v>20000000</v>
      </c>
      <c r="FF6" s="14">
        <v>8000000</v>
      </c>
      <c r="FG6" s="1">
        <f t="shared" si="28"/>
        <v>8</v>
      </c>
      <c r="FI6" s="76"/>
      <c r="FJ6" s="75" t="s">
        <v>122</v>
      </c>
      <c r="FK6" s="75" t="s">
        <v>121</v>
      </c>
      <c r="FL6" s="75" t="s">
        <v>120</v>
      </c>
      <c r="FP6" s="76"/>
      <c r="FQ6" s="75" t="s">
        <v>122</v>
      </c>
      <c r="FR6" s="75" t="s">
        <v>121</v>
      </c>
      <c r="FS6" s="75" t="s">
        <v>120</v>
      </c>
      <c r="FW6" s="16" t="s">
        <v>39</v>
      </c>
      <c r="FX6" s="16">
        <v>43657</v>
      </c>
      <c r="FY6" s="15">
        <v>73766786.311034098</v>
      </c>
      <c r="FZ6" s="14">
        <v>80000000</v>
      </c>
      <c r="GB6" s="14">
        <v>8000000</v>
      </c>
      <c r="GC6" s="1">
        <f t="shared" si="29"/>
        <v>10</v>
      </c>
      <c r="GD6" s="15">
        <f t="shared" si="30"/>
        <v>21206804.357566249</v>
      </c>
      <c r="GF6" s="76"/>
      <c r="GG6" s="75" t="s">
        <v>122</v>
      </c>
      <c r="GH6" s="75" t="s">
        <v>121</v>
      </c>
      <c r="GI6" s="75" t="s">
        <v>120</v>
      </c>
      <c r="GM6" s="76"/>
      <c r="GN6" s="75" t="s">
        <v>122</v>
      </c>
      <c r="GO6" s="75" t="s">
        <v>121</v>
      </c>
      <c r="GP6" s="75" t="s">
        <v>120</v>
      </c>
      <c r="GT6" s="16" t="s">
        <v>38</v>
      </c>
      <c r="GU6" s="16">
        <v>44021</v>
      </c>
      <c r="GV6" s="15">
        <v>107889410.27667983</v>
      </c>
      <c r="GW6" s="14">
        <v>80000000</v>
      </c>
      <c r="GY6" s="14">
        <v>8000000</v>
      </c>
      <c r="GZ6" s="1">
        <f t="shared" si="31"/>
        <v>15</v>
      </c>
      <c r="HB6" s="76"/>
      <c r="HC6" s="75" t="s">
        <v>122</v>
      </c>
      <c r="HD6" s="75" t="s">
        <v>121</v>
      </c>
      <c r="HE6" s="75" t="s">
        <v>120</v>
      </c>
      <c r="HI6" s="16" t="s">
        <v>35</v>
      </c>
      <c r="HJ6" s="16">
        <v>44385</v>
      </c>
      <c r="HK6" s="15">
        <v>18162558.102766801</v>
      </c>
      <c r="HL6" s="14">
        <v>3000000</v>
      </c>
      <c r="HN6" s="14">
        <v>4000000</v>
      </c>
      <c r="HO6" s="1">
        <f t="shared" si="32"/>
        <v>3</v>
      </c>
      <c r="HQ6" s="76"/>
      <c r="HR6" s="75" t="s">
        <v>122</v>
      </c>
      <c r="HS6" s="75" t="s">
        <v>121</v>
      </c>
      <c r="HT6" s="75" t="s">
        <v>120</v>
      </c>
      <c r="HX6" s="76"/>
      <c r="HY6" s="75" t="s">
        <v>122</v>
      </c>
      <c r="HZ6" s="75" t="s">
        <v>121</v>
      </c>
      <c r="IA6" s="75" t="s">
        <v>120</v>
      </c>
      <c r="IE6" s="16" t="s">
        <v>37</v>
      </c>
      <c r="IF6" s="16">
        <v>44756</v>
      </c>
      <c r="IG6" s="15">
        <v>27258635.451505017</v>
      </c>
      <c r="IH6" s="14">
        <v>8000000</v>
      </c>
      <c r="IJ6" s="14">
        <v>8000000</v>
      </c>
      <c r="IK6" s="1">
        <f t="shared" si="33"/>
        <v>12</v>
      </c>
      <c r="IM6" s="76"/>
      <c r="IN6" s="75" t="s">
        <v>122</v>
      </c>
      <c r="IO6" s="75" t="s">
        <v>121</v>
      </c>
      <c r="IP6" s="75" t="s">
        <v>120</v>
      </c>
      <c r="IT6" s="76"/>
      <c r="IU6" s="75" t="s">
        <v>122</v>
      </c>
      <c r="IV6" s="75" t="s">
        <v>121</v>
      </c>
      <c r="IW6" s="75" t="s">
        <v>120</v>
      </c>
      <c r="JA6" s="16" t="s">
        <v>115</v>
      </c>
      <c r="JB6" s="16">
        <v>45120</v>
      </c>
      <c r="JC6" s="15">
        <v>40570238.531110391</v>
      </c>
      <c r="JD6" s="14">
        <v>20000000</v>
      </c>
      <c r="JF6" s="14">
        <v>8000000</v>
      </c>
      <c r="JG6" s="1">
        <f t="shared" ref="JG6:JG15" si="49">COUNTIF($JD:$JD,JF6)</f>
        <v>4</v>
      </c>
      <c r="JI6" s="76"/>
      <c r="JJ6" s="75" t="s">
        <v>122</v>
      </c>
      <c r="JK6" s="75" t="s">
        <v>121</v>
      </c>
      <c r="JL6" s="75" t="s">
        <v>120</v>
      </c>
      <c r="JP6" s="76"/>
      <c r="JQ6" s="75" t="s">
        <v>122</v>
      </c>
      <c r="JR6" s="75" t="s">
        <v>121</v>
      </c>
      <c r="JS6" s="75" t="s">
        <v>120</v>
      </c>
      <c r="JW6" s="16" t="s">
        <v>83</v>
      </c>
      <c r="JX6" s="16">
        <v>42929</v>
      </c>
      <c r="JY6" s="15">
        <v>15749250</v>
      </c>
      <c r="JZ6" s="14">
        <v>6000000</v>
      </c>
      <c r="KB6" s="14">
        <v>6000000</v>
      </c>
      <c r="KC6" s="1">
        <f t="shared" si="34"/>
        <v>7</v>
      </c>
      <c r="KE6" s="16" t="s">
        <v>82</v>
      </c>
      <c r="KF6" s="16">
        <v>43111</v>
      </c>
      <c r="KG6" s="15">
        <v>80262600</v>
      </c>
      <c r="KH6" s="14">
        <v>55000000</v>
      </c>
      <c r="KJ6" s="14">
        <v>6000000</v>
      </c>
      <c r="KK6" s="1">
        <f t="shared" si="35"/>
        <v>3</v>
      </c>
      <c r="KM6" s="16" t="s">
        <v>81</v>
      </c>
      <c r="KN6" s="16">
        <v>43293</v>
      </c>
      <c r="KO6" s="15">
        <v>27395676</v>
      </c>
      <c r="KP6" s="14">
        <v>20000000</v>
      </c>
      <c r="KR6" s="14">
        <v>8000000</v>
      </c>
      <c r="KS6" s="1">
        <f t="shared" si="36"/>
        <v>3</v>
      </c>
      <c r="KU6" s="16" t="s">
        <v>79</v>
      </c>
      <c r="KV6" s="16">
        <v>43475</v>
      </c>
      <c r="KW6" s="15">
        <v>109782948</v>
      </c>
      <c r="KX6" s="14">
        <v>80000000</v>
      </c>
      <c r="KZ6" s="14">
        <v>8000000</v>
      </c>
      <c r="LA6" s="1">
        <f t="shared" si="37"/>
        <v>5</v>
      </c>
      <c r="LC6" s="16" t="s">
        <v>78</v>
      </c>
      <c r="LD6" s="16">
        <v>43657</v>
      </c>
      <c r="LE6" s="15">
        <v>73696392</v>
      </c>
      <c r="LF6" s="14">
        <v>80000000</v>
      </c>
      <c r="LH6" s="14">
        <v>8000000</v>
      </c>
      <c r="LI6" s="1">
        <f t="shared" si="38"/>
        <v>4</v>
      </c>
      <c r="LK6" s="16" t="s">
        <v>77</v>
      </c>
      <c r="LL6" s="16">
        <v>43839</v>
      </c>
      <c r="LM6" s="15">
        <v>19895634</v>
      </c>
      <c r="LN6" s="14">
        <v>8000000</v>
      </c>
      <c r="LP6" s="14">
        <v>8000000</v>
      </c>
      <c r="LQ6" s="1">
        <f t="shared" si="39"/>
        <v>6</v>
      </c>
      <c r="LS6" s="16" t="s">
        <v>70</v>
      </c>
      <c r="LT6" s="16">
        <v>44021</v>
      </c>
      <c r="LU6" s="15">
        <v>108508290</v>
      </c>
      <c r="LV6" s="14">
        <v>80000000</v>
      </c>
      <c r="LX6" s="14">
        <v>8000000</v>
      </c>
      <c r="LY6" s="1">
        <f t="shared" si="40"/>
        <v>8</v>
      </c>
      <c r="MA6" s="16" t="s">
        <v>86</v>
      </c>
      <c r="MB6" s="16">
        <v>44210</v>
      </c>
      <c r="MC6" s="15">
        <v>23774388</v>
      </c>
      <c r="MD6" s="14">
        <v>8000000</v>
      </c>
      <c r="MF6" s="14">
        <v>8000000</v>
      </c>
      <c r="MG6" s="1">
        <f t="shared" si="41"/>
        <v>7</v>
      </c>
      <c r="MI6" s="16" t="s">
        <v>69</v>
      </c>
      <c r="MJ6" s="16">
        <v>44385</v>
      </c>
      <c r="MK6" s="15">
        <v>18352290</v>
      </c>
      <c r="ML6" s="14">
        <v>3000000</v>
      </c>
      <c r="MN6" s="14">
        <v>8000000</v>
      </c>
      <c r="MO6" s="1">
        <f t="shared" si="42"/>
        <v>6</v>
      </c>
      <c r="MQ6" s="16" t="s">
        <v>76</v>
      </c>
      <c r="MR6" s="16">
        <v>44574</v>
      </c>
      <c r="MS6" s="15">
        <v>19512636</v>
      </c>
      <c r="MT6" s="14">
        <v>3000000</v>
      </c>
      <c r="MV6" s="14">
        <v>4000000</v>
      </c>
      <c r="MW6" s="1">
        <f t="shared" si="43"/>
        <v>3</v>
      </c>
      <c r="MY6" s="16" t="s">
        <v>110</v>
      </c>
      <c r="MZ6" s="16">
        <v>42845</v>
      </c>
      <c r="NA6" s="15">
        <v>23499740</v>
      </c>
      <c r="NB6" s="14">
        <v>10000000</v>
      </c>
      <c r="ND6" s="14">
        <v>6000000</v>
      </c>
      <c r="NE6" s="1">
        <f t="shared" si="44"/>
        <v>13</v>
      </c>
      <c r="NF6" s="14"/>
      <c r="NG6" s="76"/>
      <c r="NH6" s="75" t="s">
        <v>122</v>
      </c>
      <c r="NI6" s="75" t="s">
        <v>121</v>
      </c>
      <c r="NJ6" s="75" t="s">
        <v>120</v>
      </c>
      <c r="NN6" s="16" t="s">
        <v>34</v>
      </c>
      <c r="NO6" s="16">
        <v>43216</v>
      </c>
      <c r="NP6" s="15">
        <v>11782122</v>
      </c>
      <c r="NQ6" s="14">
        <v>3000000</v>
      </c>
      <c r="NS6" s="14">
        <v>8000000</v>
      </c>
      <c r="NT6" s="1">
        <f t="shared" si="45"/>
        <v>9</v>
      </c>
      <c r="NV6" s="76"/>
      <c r="NW6" s="75" t="s">
        <v>122</v>
      </c>
      <c r="NX6" s="75" t="s">
        <v>121</v>
      </c>
      <c r="NY6" s="75" t="s">
        <v>120</v>
      </c>
      <c r="OB6" s="1"/>
    </row>
    <row r="7" spans="1:392" x14ac:dyDescent="0.2">
      <c r="B7" s="57" t="s">
        <v>119</v>
      </c>
      <c r="C7" s="57"/>
      <c r="D7" s="57"/>
      <c r="E7" s="74"/>
      <c r="F7" s="57" t="s">
        <v>118</v>
      </c>
      <c r="G7" s="57"/>
      <c r="H7" s="57"/>
      <c r="I7" s="57"/>
      <c r="K7" s="7">
        <v>3</v>
      </c>
      <c r="M7" s="5" t="str" cm="1">
        <f t="array" ref="M7">LOOKUP(2,1/($G$19:$G$35&lt;=$V7)/($H$19:$H$35&gt;=$V7),$F$19:$F$35)</f>
        <v>2H17</v>
      </c>
      <c r="N7" s="5" t="str" cm="1">
        <f t="array" ref="N7">LOOKUP(2,1/($G$8:$G$16&lt;=$V7)/($H$8:$H$16&gt;=$V7),$F$8:$F$16)</f>
        <v>FY17</v>
      </c>
      <c r="O7" s="5" t="str">
        <f>IFERROR(N7&amp;"-"&amp;COUNTIF($N$5:N7,N7),NA())</f>
        <v>FY17-3</v>
      </c>
      <c r="P7" s="5">
        <f>COUNTIF(V$5:V7,"&gt;="&amp;MAX($V:$V)-183)</f>
        <v>0</v>
      </c>
      <c r="Q7" s="5">
        <f>COUNTIF(V$5:V7,"&gt;="&amp;MAX($V:$V)-365)</f>
        <v>0</v>
      </c>
      <c r="R7" s="5" cm="1">
        <f t="array" ref="R7">LOOKUP(2,1/($G$46:$G$50&lt;=$V7)/($H$46:$H$50&gt;=$V7),$F$46:$F$50)</f>
        <v>0</v>
      </c>
      <c r="S7" s="5" cm="1">
        <f t="array" ref="S7">LOOKUP(2,1/($G$53:$G$56&lt;=$V7)/($H$53:$H$56&gt;=$V7),$F$53:$F$56)</f>
        <v>0</v>
      </c>
      <c r="T7" s="5" t="e">
        <f>IFERROR(IF($R7&gt;0,$R7&amp;"-"&amp;COUNTIF($R$5:$R7,$R7),NA()),NA())</f>
        <v>#N/A</v>
      </c>
      <c r="U7" s="5" t="e">
        <f>IFERROR(IF($S7&gt;0,$S7&amp;"-"&amp;COUNTIF($S$5:$S7,$S7),NA()),NA())</f>
        <v>#N/A</v>
      </c>
      <c r="V7" s="10">
        <v>42754</v>
      </c>
      <c r="W7" s="9">
        <v>13267583.056753492</v>
      </c>
      <c r="X7" s="9">
        <v>12326248.038876832</v>
      </c>
      <c r="Y7" s="8">
        <v>3000000</v>
      </c>
      <c r="AA7" s="48">
        <f t="shared" si="46"/>
        <v>3</v>
      </c>
      <c r="AB7" s="12">
        <f t="shared" si="0"/>
        <v>45302</v>
      </c>
      <c r="AC7" s="15">
        <f t="shared" si="1"/>
        <v>67199002.942137957</v>
      </c>
      <c r="AD7" s="14">
        <f t="shared" si="2"/>
        <v>50000000</v>
      </c>
      <c r="AF7" s="14">
        <v>20000000</v>
      </c>
      <c r="AG7" s="1">
        <f t="shared" si="3"/>
        <v>5</v>
      </c>
      <c r="AW7" s="48">
        <f t="shared" si="47"/>
        <v>3</v>
      </c>
      <c r="AX7" s="12">
        <f t="shared" si="4"/>
        <v>45120</v>
      </c>
      <c r="AY7" s="15">
        <f t="shared" si="5"/>
        <v>40570238.531110391</v>
      </c>
      <c r="AZ7" s="14">
        <f t="shared" si="48"/>
        <v>20000000</v>
      </c>
      <c r="BB7" s="14">
        <v>8000000</v>
      </c>
      <c r="BC7" s="1">
        <f t="shared" si="6"/>
        <v>4</v>
      </c>
      <c r="BD7" s="14">
        <f t="shared" si="7"/>
        <v>24136841.505938761</v>
      </c>
      <c r="BE7" s="14"/>
      <c r="BF7" s="14"/>
      <c r="BG7" s="14"/>
      <c r="BW7" s="48" t="str">
        <f t="shared" si="8"/>
        <v>N1-3</v>
      </c>
      <c r="BX7" s="12">
        <f t="shared" si="9"/>
        <v>44126</v>
      </c>
      <c r="BY7" s="15">
        <f t="shared" si="10"/>
        <v>19054887.686226815</v>
      </c>
      <c r="BZ7" s="14">
        <f t="shared" si="11"/>
        <v>3000000</v>
      </c>
      <c r="CB7" s="14">
        <v>20000000</v>
      </c>
      <c r="CC7" s="1">
        <f>COUNTIF($BZ:$BZ,CB7)</f>
        <v>5</v>
      </c>
      <c r="CL7" s="48" t="str">
        <f t="shared" si="12"/>
        <v>A1-3</v>
      </c>
      <c r="CM7" s="12">
        <f t="shared" si="13"/>
        <v>44238</v>
      </c>
      <c r="CN7" s="49">
        <f t="shared" si="14"/>
        <v>48994890.605047114</v>
      </c>
      <c r="CO7" s="49">
        <f t="shared" si="15"/>
        <v>30000000</v>
      </c>
      <c r="CQ7" s="14">
        <v>30000000</v>
      </c>
      <c r="CR7" s="1">
        <f>COUNTIF($CO:$CO,CQ7)</f>
        <v>4</v>
      </c>
      <c r="DA7" s="48" t="str">
        <f t="shared" si="16"/>
        <v>N2-3</v>
      </c>
      <c r="DB7" s="12">
        <f t="shared" si="17"/>
        <v>44721</v>
      </c>
      <c r="DC7" s="15">
        <f t="shared" si="18"/>
        <v>27291882.760717545</v>
      </c>
      <c r="DD7" s="14">
        <f t="shared" si="19"/>
        <v>8000000</v>
      </c>
      <c r="DF7" s="14">
        <v>20000000</v>
      </c>
      <c r="DG7" s="1">
        <f>COUNTIF($DD:$DD,DF7)</f>
        <v>3</v>
      </c>
      <c r="DP7" s="48" t="str">
        <f t="shared" si="20"/>
        <v>A2-3</v>
      </c>
      <c r="DQ7" s="12">
        <f t="shared" si="21"/>
        <v>44833</v>
      </c>
      <c r="DR7" s="15">
        <f t="shared" si="22"/>
        <v>35905405.655214347</v>
      </c>
      <c r="DS7" s="14">
        <f t="shared" si="23"/>
        <v>20000000</v>
      </c>
      <c r="DU7" s="14">
        <v>30000000</v>
      </c>
      <c r="DV7" s="1">
        <f t="shared" si="24"/>
        <v>3</v>
      </c>
      <c r="EL7" s="47" t="str">
        <f t="shared" si="25"/>
        <v>FY18-3</v>
      </c>
      <c r="EM7" s="16">
        <v>42936</v>
      </c>
      <c r="EN7" s="15">
        <v>13695982.549594617</v>
      </c>
      <c r="EO7" s="14">
        <f t="shared" si="26"/>
        <v>3000000</v>
      </c>
      <c r="EQ7" s="14">
        <v>8000000</v>
      </c>
      <c r="ER7" s="1">
        <f t="shared" si="27"/>
        <v>3</v>
      </c>
      <c r="FA7" s="16" t="s">
        <v>33</v>
      </c>
      <c r="FB7" s="16">
        <v>43300</v>
      </c>
      <c r="FC7" s="15">
        <v>32449661.792752694</v>
      </c>
      <c r="FD7" s="14">
        <v>30000000</v>
      </c>
      <c r="FF7" s="14">
        <v>12000000</v>
      </c>
      <c r="FG7" s="1">
        <f t="shared" si="28"/>
        <v>8</v>
      </c>
      <c r="FW7" s="16" t="s">
        <v>39</v>
      </c>
      <c r="FX7" s="16">
        <v>43664</v>
      </c>
      <c r="FY7" s="15">
        <v>149659728.94362274</v>
      </c>
      <c r="FZ7" s="14">
        <v>110000000</v>
      </c>
      <c r="GB7" s="14">
        <v>12000000</v>
      </c>
      <c r="GC7" s="1">
        <f t="shared" si="29"/>
        <v>7</v>
      </c>
      <c r="GD7" s="15">
        <f t="shared" si="30"/>
        <v>25046573.762981918</v>
      </c>
      <c r="GO7" s="70">
        <v>0.80679999999999996</v>
      </c>
      <c r="GP7" s="70">
        <v>13.603999999999999</v>
      </c>
      <c r="GT7" s="16" t="s">
        <v>38</v>
      </c>
      <c r="GU7" s="16">
        <v>44028</v>
      </c>
      <c r="GV7" s="15">
        <v>20009448.707813922</v>
      </c>
      <c r="GW7" s="14">
        <v>3000000</v>
      </c>
      <c r="GY7" s="14">
        <v>20000000</v>
      </c>
      <c r="GZ7" s="1">
        <f t="shared" si="31"/>
        <v>12</v>
      </c>
      <c r="HI7" s="16" t="s">
        <v>35</v>
      </c>
      <c r="HJ7" s="16">
        <v>44392</v>
      </c>
      <c r="HK7" s="15">
        <v>25998846.336272418</v>
      </c>
      <c r="HL7" s="14">
        <v>8000000</v>
      </c>
      <c r="HN7" s="14">
        <v>8000000</v>
      </c>
      <c r="HO7" s="1">
        <f t="shared" si="32"/>
        <v>11</v>
      </c>
      <c r="IE7" s="16" t="s">
        <v>37</v>
      </c>
      <c r="IF7" s="16">
        <v>44763</v>
      </c>
      <c r="IG7" s="15">
        <v>20968405.71602311</v>
      </c>
      <c r="IH7" s="14">
        <v>4000000</v>
      </c>
      <c r="IJ7" s="14">
        <v>12000000</v>
      </c>
      <c r="IK7" s="1">
        <f t="shared" si="33"/>
        <v>1</v>
      </c>
      <c r="JA7" s="16" t="s">
        <v>115</v>
      </c>
      <c r="JB7" s="16">
        <v>45127</v>
      </c>
      <c r="JC7" s="15">
        <v>60836962.188078903</v>
      </c>
      <c r="JD7" s="14">
        <v>40000000</v>
      </c>
      <c r="JF7" s="14">
        <v>12000000</v>
      </c>
      <c r="JG7" s="1">
        <f t="shared" si="49"/>
        <v>8</v>
      </c>
      <c r="JW7" s="16" t="s">
        <v>83</v>
      </c>
      <c r="JX7" s="16">
        <v>42936</v>
      </c>
      <c r="JY7" s="15">
        <v>13651880</v>
      </c>
      <c r="JZ7" s="14">
        <v>3000000</v>
      </c>
      <c r="KB7" s="14">
        <v>10000000</v>
      </c>
      <c r="KC7" s="1">
        <f t="shared" si="34"/>
        <v>4</v>
      </c>
      <c r="KE7" s="16" t="s">
        <v>82</v>
      </c>
      <c r="KF7" s="16">
        <v>43118</v>
      </c>
      <c r="KG7" s="15">
        <v>14454220</v>
      </c>
      <c r="KH7" s="14">
        <v>3000000</v>
      </c>
      <c r="KJ7" s="14">
        <v>8000000</v>
      </c>
      <c r="KK7" s="1">
        <f t="shared" si="35"/>
        <v>3</v>
      </c>
      <c r="KM7" s="16" t="s">
        <v>81</v>
      </c>
      <c r="KN7" s="16">
        <v>43300</v>
      </c>
      <c r="KO7" s="15">
        <v>32154144</v>
      </c>
      <c r="KP7" s="14">
        <v>30000000</v>
      </c>
      <c r="KR7" s="14">
        <v>12000000</v>
      </c>
      <c r="KS7" s="1">
        <f t="shared" si="36"/>
        <v>4</v>
      </c>
      <c r="KU7" s="16" t="s">
        <v>79</v>
      </c>
      <c r="KV7" s="16">
        <v>43482</v>
      </c>
      <c r="KW7" s="15">
        <v>171745068</v>
      </c>
      <c r="KX7" s="14">
        <v>100000000</v>
      </c>
      <c r="KZ7" s="14">
        <v>12000000</v>
      </c>
      <c r="LA7" s="1">
        <f t="shared" si="37"/>
        <v>4</v>
      </c>
      <c r="LC7" s="16" t="s">
        <v>78</v>
      </c>
      <c r="LD7" s="16">
        <v>43664</v>
      </c>
      <c r="LE7" s="15">
        <v>155742444</v>
      </c>
      <c r="LF7" s="14">
        <v>110000000</v>
      </c>
      <c r="LH7" s="14">
        <v>12000000</v>
      </c>
      <c r="LI7" s="1">
        <f t="shared" si="38"/>
        <v>4</v>
      </c>
      <c r="LK7" s="16" t="s">
        <v>77</v>
      </c>
      <c r="LL7" s="16">
        <v>43846</v>
      </c>
      <c r="LM7" s="15">
        <v>27020796</v>
      </c>
      <c r="LN7" s="14">
        <v>12000000</v>
      </c>
      <c r="LP7" s="14">
        <v>12000000</v>
      </c>
      <c r="LQ7" s="1">
        <f t="shared" si="39"/>
        <v>3</v>
      </c>
      <c r="LS7" s="16" t="s">
        <v>70</v>
      </c>
      <c r="LT7" s="16">
        <v>44028</v>
      </c>
      <c r="LU7" s="15">
        <v>20633184</v>
      </c>
      <c r="LV7" s="14">
        <v>3000000</v>
      </c>
      <c r="LX7" s="14">
        <v>20000000</v>
      </c>
      <c r="LY7" s="1">
        <f t="shared" si="40"/>
        <v>6</v>
      </c>
      <c r="MA7" s="16" t="s">
        <v>86</v>
      </c>
      <c r="MB7" s="16">
        <v>44217</v>
      </c>
      <c r="MC7" s="15">
        <v>38336562</v>
      </c>
      <c r="MD7" s="14">
        <v>20000000</v>
      </c>
      <c r="MF7" s="14">
        <v>20000000</v>
      </c>
      <c r="MG7" s="1">
        <f t="shared" si="41"/>
        <v>6</v>
      </c>
      <c r="MI7" s="16" t="s">
        <v>69</v>
      </c>
      <c r="MJ7" s="16">
        <v>44392</v>
      </c>
      <c r="MK7" s="15">
        <v>25697958</v>
      </c>
      <c r="ML7" s="14">
        <v>8000000</v>
      </c>
      <c r="MN7" s="14">
        <v>20000000</v>
      </c>
      <c r="MO7" s="1">
        <f t="shared" si="42"/>
        <v>5</v>
      </c>
      <c r="MQ7" s="16" t="s">
        <v>76</v>
      </c>
      <c r="MR7" s="16">
        <v>44581</v>
      </c>
      <c r="MS7" s="15">
        <v>21980376</v>
      </c>
      <c r="MT7" s="14">
        <v>8000000</v>
      </c>
      <c r="MV7" s="14">
        <v>8000000</v>
      </c>
      <c r="MW7" s="1">
        <f t="shared" si="43"/>
        <v>5</v>
      </c>
      <c r="MY7" s="16" t="s">
        <v>110</v>
      </c>
      <c r="MZ7" s="16">
        <v>42852</v>
      </c>
      <c r="NA7" s="15">
        <v>26247980</v>
      </c>
      <c r="NB7" s="14">
        <v>15000000</v>
      </c>
      <c r="ND7" s="14">
        <v>10000000</v>
      </c>
      <c r="NE7" s="1">
        <f t="shared" si="44"/>
        <v>7</v>
      </c>
      <c r="NF7" s="14"/>
      <c r="NN7" s="16" t="s">
        <v>34</v>
      </c>
      <c r="NO7" s="16">
        <v>43223</v>
      </c>
      <c r="NP7" s="15">
        <v>16804854</v>
      </c>
      <c r="NQ7" s="14">
        <v>8000000</v>
      </c>
      <c r="NS7" s="14">
        <v>12000000</v>
      </c>
      <c r="NT7" s="1">
        <f t="shared" si="45"/>
        <v>8</v>
      </c>
      <c r="OB7" s="1"/>
    </row>
    <row r="8" spans="1:392" x14ac:dyDescent="0.2">
      <c r="B8" s="53">
        <v>31724</v>
      </c>
      <c r="C8" s="53">
        <v>43737</v>
      </c>
      <c r="D8" s="71">
        <v>9.2999999999999999E-2</v>
      </c>
      <c r="F8" s="5" t="s">
        <v>110</v>
      </c>
      <c r="G8" s="53">
        <v>42552</v>
      </c>
      <c r="H8" s="51">
        <f t="shared" ref="H8:H16" si="50">EOMONTH(G8,11)</f>
        <v>42916</v>
      </c>
      <c r="I8" s="50">
        <f t="shared" ref="I8:I16" si="51">INT((WEEKDAY($G8-5)-$G8+$H8)/7)</f>
        <v>52</v>
      </c>
      <c r="K8" s="7">
        <v>4</v>
      </c>
      <c r="M8" s="5" t="str" cm="1">
        <f t="array" ref="M8">LOOKUP(2,1/($G$19:$G$35&lt;=$V8)/($H$19:$H$35&gt;=$V8),$F$19:$F$35)</f>
        <v>2H17</v>
      </c>
      <c r="N8" s="5" t="str" cm="1">
        <f t="array" ref="N8">LOOKUP(2,1/($G$8:$G$16&lt;=$V8)/($H$8:$H$16&gt;=$V8),$F$8:$F$16)</f>
        <v>FY17</v>
      </c>
      <c r="O8" s="5" t="str">
        <f>IFERROR(N8&amp;"-"&amp;COUNTIF($N$5:N8,N8),NA())</f>
        <v>FY17-4</v>
      </c>
      <c r="P8" s="5">
        <f>COUNTIF(V$5:V8,"&gt;="&amp;MAX($V:$V)-183)</f>
        <v>0</v>
      </c>
      <c r="Q8" s="5">
        <f>COUNTIF(V$5:V8,"&gt;="&amp;MAX($V:$V)-365)</f>
        <v>0</v>
      </c>
      <c r="R8" s="5" cm="1">
        <f t="array" ref="R8">LOOKUP(2,1/($G$46:$G$50&lt;=$V8)/($H$46:$H$50&gt;=$V8),$F$46:$F$50)</f>
        <v>0</v>
      </c>
      <c r="S8" s="5" cm="1">
        <f t="array" ref="S8">LOOKUP(2,1/($G$53:$G$56&lt;=$V8)/($H$53:$H$56&gt;=$V8),$F$53:$F$56)</f>
        <v>0</v>
      </c>
      <c r="T8" s="5" t="e">
        <f>IFERROR(IF($R8&gt;0,$R8&amp;"-"&amp;COUNTIF($R$5:$R8,$R8),NA()),NA())</f>
        <v>#N/A</v>
      </c>
      <c r="U8" s="5" t="e">
        <f>IFERROR(IF($S8&gt;0,$S8&amp;"-"&amp;COUNTIF($S$5:$S8,$S8),NA()),NA())</f>
        <v>#N/A</v>
      </c>
      <c r="V8" s="10">
        <v>42761</v>
      </c>
      <c r="W8" s="9">
        <v>13952006.97602208</v>
      </c>
      <c r="X8" s="9">
        <v>12962112.081073312</v>
      </c>
      <c r="Y8" s="8">
        <v>6000000</v>
      </c>
      <c r="AA8" s="48">
        <f t="shared" si="46"/>
        <v>4</v>
      </c>
      <c r="AB8" s="12">
        <f t="shared" si="0"/>
        <v>45309</v>
      </c>
      <c r="AC8" s="15">
        <f t="shared" si="1"/>
        <v>155083141.44055796</v>
      </c>
      <c r="AD8" s="14">
        <f t="shared" si="2"/>
        <v>100000000</v>
      </c>
      <c r="AF8" s="14">
        <v>30000000</v>
      </c>
      <c r="AG8" s="1">
        <f t="shared" si="3"/>
        <v>1</v>
      </c>
      <c r="AI8" s="73" t="s">
        <v>117</v>
      </c>
      <c r="AJ8" s="72"/>
      <c r="AK8" s="70">
        <v>1.6624000000000001</v>
      </c>
      <c r="AL8" s="70">
        <v>7.6917999999999997</v>
      </c>
      <c r="AP8" s="73" t="s">
        <v>117</v>
      </c>
      <c r="AQ8" s="72"/>
      <c r="AR8" s="70">
        <v>1.1318999999999999</v>
      </c>
      <c r="AS8" s="70">
        <v>16.902000000000001</v>
      </c>
      <c r="AW8" s="48">
        <f t="shared" si="47"/>
        <v>4</v>
      </c>
      <c r="AX8" s="12">
        <f t="shared" si="4"/>
        <v>45127</v>
      </c>
      <c r="AY8" s="15">
        <f t="shared" si="5"/>
        <v>60836962.188078903</v>
      </c>
      <c r="AZ8" s="14">
        <f t="shared" si="48"/>
        <v>40000000</v>
      </c>
      <c r="BB8" s="14">
        <v>20000000</v>
      </c>
      <c r="BC8" s="1">
        <f t="shared" si="6"/>
        <v>11</v>
      </c>
      <c r="BD8" s="14">
        <f t="shared" si="7"/>
        <v>38671214.151980743</v>
      </c>
      <c r="BE8" s="14"/>
      <c r="BF8" s="14"/>
      <c r="BG8" s="14"/>
      <c r="BI8" s="73" t="s">
        <v>117</v>
      </c>
      <c r="BJ8" s="72"/>
      <c r="BK8" s="70">
        <v>1.5851</v>
      </c>
      <c r="BL8" s="70">
        <v>8.0028000000000006</v>
      </c>
      <c r="BP8" s="73" t="s">
        <v>117</v>
      </c>
      <c r="BQ8" s="72"/>
      <c r="BR8" s="70">
        <v>1.0862000000000001</v>
      </c>
      <c r="BS8" s="70">
        <v>16.565999999999999</v>
      </c>
      <c r="BW8" s="48" t="str">
        <f t="shared" si="8"/>
        <v>N1-4</v>
      </c>
      <c r="BX8" s="12">
        <f t="shared" si="9"/>
        <v>44133</v>
      </c>
      <c r="BY8" s="15">
        <f t="shared" si="10"/>
        <v>24929902.341137119</v>
      </c>
      <c r="BZ8" s="14">
        <f t="shared" si="11"/>
        <v>8000000</v>
      </c>
      <c r="CB8" s="14">
        <v>40000000</v>
      </c>
      <c r="CC8" s="1">
        <f>COUNTIF($BZ:$BZ,CB8)</f>
        <v>1</v>
      </c>
      <c r="CE8" s="73" t="s">
        <v>117</v>
      </c>
      <c r="CF8" s="72"/>
      <c r="CG8" s="70">
        <v>1.2735000000000001</v>
      </c>
      <c r="CH8" s="70">
        <v>15.112</v>
      </c>
      <c r="CL8" s="48" t="str">
        <f t="shared" si="12"/>
        <v>A1-4</v>
      </c>
      <c r="CM8" s="12">
        <f t="shared" si="13"/>
        <v>44245</v>
      </c>
      <c r="CN8" s="49">
        <f t="shared" si="14"/>
        <v>78306876.740650654</v>
      </c>
      <c r="CO8" s="49">
        <f t="shared" si="15"/>
        <v>50000000</v>
      </c>
      <c r="CQ8" s="14">
        <v>50000000</v>
      </c>
      <c r="CR8" s="1">
        <f>COUNTIF($CO:$CO,CQ8)</f>
        <v>3</v>
      </c>
      <c r="CT8" s="73" t="s">
        <v>117</v>
      </c>
      <c r="CU8" s="72"/>
      <c r="CV8" s="70">
        <v>1.2181</v>
      </c>
      <c r="CW8" s="70">
        <v>12.263999999999999</v>
      </c>
      <c r="DA8" s="48" t="str">
        <f t="shared" si="16"/>
        <v>N2-4</v>
      </c>
      <c r="DB8" s="12">
        <f t="shared" si="17"/>
        <v>44728</v>
      </c>
      <c r="DC8" s="15">
        <f t="shared" si="18"/>
        <v>41963661.416844025</v>
      </c>
      <c r="DD8" s="14">
        <f t="shared" si="19"/>
        <v>20000000</v>
      </c>
      <c r="DF8" s="14">
        <v>40000000</v>
      </c>
      <c r="DG8" s="1">
        <f>COUNTIF($DD:$DD,DF8)</f>
        <v>2</v>
      </c>
      <c r="DI8" s="73" t="s">
        <v>117</v>
      </c>
      <c r="DJ8" s="72"/>
      <c r="DK8" s="70">
        <v>1.0497000000000001</v>
      </c>
      <c r="DL8" s="70">
        <v>17.812999999999999</v>
      </c>
      <c r="DP8" s="48" t="str">
        <f t="shared" si="20"/>
        <v>A2-4</v>
      </c>
      <c r="DQ8" s="12">
        <f t="shared" si="21"/>
        <v>44840</v>
      </c>
      <c r="DR8" s="15">
        <f t="shared" si="22"/>
        <v>47423181.270902999</v>
      </c>
      <c r="DS8" s="14">
        <f t="shared" si="23"/>
        <v>30000000</v>
      </c>
      <c r="DU8" s="14">
        <v>50000000</v>
      </c>
      <c r="DV8" s="1">
        <f t="shared" si="24"/>
        <v>3</v>
      </c>
      <c r="DX8" s="73" t="s">
        <v>117</v>
      </c>
      <c r="DY8" s="72"/>
      <c r="DZ8" s="70">
        <v>1.7867999999999999</v>
      </c>
      <c r="EA8" s="70">
        <v>1.7515000000000001</v>
      </c>
      <c r="EE8" s="73" t="s">
        <v>117</v>
      </c>
      <c r="EF8" s="72"/>
      <c r="EG8" s="70">
        <v>1.1620999999999999</v>
      </c>
      <c r="EH8" s="70">
        <v>16.074999999999999</v>
      </c>
      <c r="EL8" s="47" t="str">
        <f t="shared" si="25"/>
        <v>FY18-4</v>
      </c>
      <c r="EM8" s="16">
        <v>42943</v>
      </c>
      <c r="EN8" s="15">
        <v>12329121.10746938</v>
      </c>
      <c r="EO8" s="14">
        <f t="shared" si="26"/>
        <v>3000000</v>
      </c>
      <c r="EQ8" s="14">
        <v>10000000</v>
      </c>
      <c r="ER8" s="1">
        <f t="shared" si="27"/>
        <v>5</v>
      </c>
      <c r="ET8" s="73" t="s">
        <v>117</v>
      </c>
      <c r="EU8" s="72"/>
      <c r="EV8" s="70">
        <v>1.0659000000000001</v>
      </c>
      <c r="EW8" s="70">
        <v>9.8292000000000002</v>
      </c>
      <c r="FA8" s="16" t="s">
        <v>33</v>
      </c>
      <c r="FB8" s="16">
        <v>43307</v>
      </c>
      <c r="FC8" s="15">
        <v>38670652.25683406</v>
      </c>
      <c r="FD8" s="14">
        <v>40000000</v>
      </c>
      <c r="FF8" s="14">
        <v>20000000</v>
      </c>
      <c r="FG8" s="1">
        <f t="shared" si="28"/>
        <v>8</v>
      </c>
      <c r="FI8" s="73" t="s">
        <v>117</v>
      </c>
      <c r="FJ8" s="72"/>
      <c r="FK8" s="70">
        <v>1.3339000000000001</v>
      </c>
      <c r="FL8" s="70">
        <v>2.5485000000000002</v>
      </c>
      <c r="FP8" s="73" t="s">
        <v>117</v>
      </c>
      <c r="FQ8" s="72"/>
      <c r="FR8" s="70">
        <v>1.0042</v>
      </c>
      <c r="FS8" s="70">
        <v>8.1194000000000006</v>
      </c>
      <c r="FW8" s="16" t="s">
        <v>39</v>
      </c>
      <c r="FX8" s="16">
        <v>43671</v>
      </c>
      <c r="FY8" s="15">
        <v>14254130.329847144</v>
      </c>
      <c r="FZ8" s="14">
        <v>3000000</v>
      </c>
      <c r="GB8" s="14">
        <v>15000000</v>
      </c>
      <c r="GC8" s="1">
        <f t="shared" si="29"/>
        <v>3</v>
      </c>
      <c r="GD8" s="15">
        <f t="shared" si="30"/>
        <v>31548122.339325417</v>
      </c>
      <c r="GF8" s="73" t="s">
        <v>117</v>
      </c>
      <c r="GG8" s="72"/>
      <c r="GH8" s="70">
        <v>1.0916999999999999</v>
      </c>
      <c r="GI8" s="70">
        <v>10.265000000000001</v>
      </c>
      <c r="GM8" s="73" t="s">
        <v>117</v>
      </c>
      <c r="GN8" s="72"/>
      <c r="GO8" s="70">
        <v>0.79149999999999998</v>
      </c>
      <c r="GP8" s="70">
        <v>15.211</v>
      </c>
      <c r="GT8" s="16" t="s">
        <v>38</v>
      </c>
      <c r="GU8" s="16">
        <v>44035</v>
      </c>
      <c r="GV8" s="15">
        <v>25611906.840985101</v>
      </c>
      <c r="GW8" s="14">
        <v>8000000</v>
      </c>
      <c r="GY8" s="14">
        <v>30000000</v>
      </c>
      <c r="GZ8" s="1">
        <f t="shared" si="31"/>
        <v>4</v>
      </c>
      <c r="HB8" s="73" t="s">
        <v>117</v>
      </c>
      <c r="HC8" s="72"/>
      <c r="HD8" s="70">
        <v>1.1500999999999999</v>
      </c>
      <c r="HE8" s="70">
        <v>15.162000000000001</v>
      </c>
      <c r="HI8" s="16" t="s">
        <v>35</v>
      </c>
      <c r="HJ8" s="16">
        <v>44399</v>
      </c>
      <c r="HK8" s="15">
        <v>41039352.751596227</v>
      </c>
      <c r="HL8" s="14">
        <v>20000000</v>
      </c>
      <c r="HN8" s="14">
        <v>20000000</v>
      </c>
      <c r="HO8" s="1">
        <f t="shared" si="32"/>
        <v>10</v>
      </c>
      <c r="HQ8" s="73" t="s">
        <v>117</v>
      </c>
      <c r="HR8" s="72"/>
      <c r="HS8" s="70">
        <v>1.3828</v>
      </c>
      <c r="HT8" s="70">
        <v>11.862</v>
      </c>
      <c r="HX8" s="73" t="s">
        <v>117</v>
      </c>
      <c r="HY8" s="72"/>
      <c r="HZ8" s="70">
        <v>1.1478999999999999</v>
      </c>
      <c r="IA8" s="70">
        <v>15.865</v>
      </c>
      <c r="IE8" s="16" t="s">
        <v>37</v>
      </c>
      <c r="IF8" s="16">
        <v>44770</v>
      </c>
      <c r="IG8" s="15">
        <v>19329129.096989967</v>
      </c>
      <c r="IH8" s="14">
        <v>4000000</v>
      </c>
      <c r="IJ8" s="14">
        <v>20000000</v>
      </c>
      <c r="IK8" s="1">
        <f t="shared" si="33"/>
        <v>10</v>
      </c>
      <c r="IM8" s="73" t="s">
        <v>117</v>
      </c>
      <c r="IN8" s="72"/>
      <c r="IO8" s="70">
        <v>1.7174</v>
      </c>
      <c r="IP8" s="70">
        <v>7.1749999999999998</v>
      </c>
      <c r="IT8" s="73" t="s">
        <v>117</v>
      </c>
      <c r="IU8" s="72"/>
      <c r="IV8" s="70">
        <v>1.1456</v>
      </c>
      <c r="IW8" s="70">
        <v>16.474</v>
      </c>
      <c r="JA8" s="16" t="s">
        <v>115</v>
      </c>
      <c r="JB8" s="16">
        <v>45134</v>
      </c>
      <c r="JC8" s="15">
        <v>84639629.07268171</v>
      </c>
      <c r="JD8" s="14">
        <v>60000000</v>
      </c>
      <c r="JF8" s="14">
        <v>20000000</v>
      </c>
      <c r="JG8" s="1">
        <f t="shared" si="49"/>
        <v>11</v>
      </c>
      <c r="JI8" s="73" t="s">
        <v>117</v>
      </c>
      <c r="JJ8" s="72"/>
      <c r="JK8" s="70">
        <v>1.2717000000000001</v>
      </c>
      <c r="JL8" s="70">
        <v>12.510999999999999</v>
      </c>
      <c r="JP8" s="73" t="s">
        <v>117</v>
      </c>
      <c r="JQ8" s="72"/>
      <c r="JR8" s="70">
        <v>1.0452999999999999</v>
      </c>
      <c r="JS8" s="70">
        <v>16.823</v>
      </c>
      <c r="JW8" s="16" t="s">
        <v>83</v>
      </c>
      <c r="JX8" s="16">
        <v>42943</v>
      </c>
      <c r="JY8" s="15">
        <v>12289420</v>
      </c>
      <c r="JZ8" s="14">
        <v>3000000</v>
      </c>
      <c r="KB8" s="14">
        <v>15000000</v>
      </c>
      <c r="KC8" s="1">
        <f t="shared" si="34"/>
        <v>3</v>
      </c>
      <c r="KE8" s="16" t="s">
        <v>82</v>
      </c>
      <c r="KF8" s="16">
        <v>43125</v>
      </c>
      <c r="KG8" s="15">
        <v>15978930</v>
      </c>
      <c r="KH8" s="14">
        <v>3000000</v>
      </c>
      <c r="KJ8" s="14">
        <v>10000000</v>
      </c>
      <c r="KK8" s="1">
        <f t="shared" si="35"/>
        <v>1</v>
      </c>
      <c r="KM8" s="16" t="s">
        <v>81</v>
      </c>
      <c r="KN8" s="16">
        <v>43307</v>
      </c>
      <c r="KO8" s="15">
        <v>38903700</v>
      </c>
      <c r="KP8" s="14">
        <v>40000000</v>
      </c>
      <c r="KR8" s="14">
        <v>20000000</v>
      </c>
      <c r="KS8" s="1">
        <f t="shared" si="36"/>
        <v>4</v>
      </c>
      <c r="KU8" s="16" t="s">
        <v>79</v>
      </c>
      <c r="KV8" s="16">
        <v>43489</v>
      </c>
      <c r="KW8" s="15">
        <v>14073378</v>
      </c>
      <c r="KX8" s="14">
        <v>3000000</v>
      </c>
      <c r="KZ8" s="14">
        <v>20000000</v>
      </c>
      <c r="LA8" s="1">
        <f t="shared" si="37"/>
        <v>4</v>
      </c>
      <c r="LC8" s="16" t="s">
        <v>78</v>
      </c>
      <c r="LD8" s="16">
        <v>43671</v>
      </c>
      <c r="LE8" s="15">
        <v>14379420</v>
      </c>
      <c r="LF8" s="14">
        <v>3000000</v>
      </c>
      <c r="LH8" s="14">
        <v>15000000</v>
      </c>
      <c r="LI8" s="1">
        <f t="shared" si="38"/>
        <v>1</v>
      </c>
      <c r="LK8" s="16" t="s">
        <v>77</v>
      </c>
      <c r="LL8" s="16">
        <v>43853</v>
      </c>
      <c r="LM8" s="15">
        <v>34912218</v>
      </c>
      <c r="LN8" s="14">
        <v>20000000</v>
      </c>
      <c r="LP8" s="14">
        <v>15000000</v>
      </c>
      <c r="LQ8" s="1">
        <f t="shared" si="39"/>
        <v>2</v>
      </c>
      <c r="LS8" s="16" t="s">
        <v>70</v>
      </c>
      <c r="LT8" s="16">
        <v>44035</v>
      </c>
      <c r="LU8" s="15">
        <v>25899522</v>
      </c>
      <c r="LV8" s="14">
        <v>8000000</v>
      </c>
      <c r="LX8" s="14">
        <v>40000000</v>
      </c>
      <c r="LY8" s="1">
        <f t="shared" si="40"/>
        <v>2</v>
      </c>
      <c r="MA8" s="16" t="s">
        <v>86</v>
      </c>
      <c r="MB8" s="16">
        <v>44224</v>
      </c>
      <c r="MC8" s="15">
        <v>22787358</v>
      </c>
      <c r="MD8" s="14">
        <v>8000000</v>
      </c>
      <c r="MF8" s="14">
        <v>30000000</v>
      </c>
      <c r="MG8" s="1">
        <f t="shared" si="41"/>
        <v>4</v>
      </c>
      <c r="MI8" s="16" t="s">
        <v>69</v>
      </c>
      <c r="MJ8" s="16">
        <v>44399</v>
      </c>
      <c r="MK8" s="15">
        <v>42137040</v>
      </c>
      <c r="ML8" s="14">
        <v>20000000</v>
      </c>
      <c r="MN8" s="14">
        <v>30000000</v>
      </c>
      <c r="MO8" s="1">
        <f t="shared" si="42"/>
        <v>1</v>
      </c>
      <c r="MQ8" s="16" t="s">
        <v>76</v>
      </c>
      <c r="MR8" s="16">
        <v>44588</v>
      </c>
      <c r="MS8" s="15">
        <v>34076394</v>
      </c>
      <c r="MT8" s="14">
        <v>20000000</v>
      </c>
      <c r="MV8" s="14">
        <v>20000000</v>
      </c>
      <c r="MW8" s="1">
        <f t="shared" si="43"/>
        <v>5</v>
      </c>
      <c r="MY8" s="16" t="s">
        <v>110</v>
      </c>
      <c r="MZ8" s="16">
        <v>42859</v>
      </c>
      <c r="NA8" s="15">
        <v>42724000</v>
      </c>
      <c r="NB8" s="14">
        <v>30000000</v>
      </c>
      <c r="ND8" s="14">
        <v>15000000</v>
      </c>
      <c r="NE8" s="1">
        <f t="shared" si="44"/>
        <v>6</v>
      </c>
      <c r="NF8" s="14"/>
      <c r="NG8" s="73" t="s">
        <v>117</v>
      </c>
      <c r="NH8" s="72"/>
      <c r="NI8" s="70">
        <v>1.1480999999999999</v>
      </c>
      <c r="NJ8" s="70">
        <v>10.118</v>
      </c>
      <c r="NN8" s="16" t="s">
        <v>34</v>
      </c>
      <c r="NO8" s="16">
        <v>43230</v>
      </c>
      <c r="NP8" s="15">
        <v>17618040</v>
      </c>
      <c r="NQ8" s="14">
        <v>12000000</v>
      </c>
      <c r="NS8" s="14">
        <v>20000000</v>
      </c>
      <c r="NT8" s="1">
        <f t="shared" si="45"/>
        <v>7</v>
      </c>
      <c r="NV8" s="73" t="s">
        <v>117</v>
      </c>
      <c r="NW8" s="72"/>
      <c r="NX8" s="70">
        <v>1.2058</v>
      </c>
      <c r="NY8" s="70">
        <v>4.8651999999999997</v>
      </c>
      <c r="OB8" s="1"/>
    </row>
    <row r="9" spans="1:392" x14ac:dyDescent="0.2">
      <c r="B9" s="53">
        <v>43738</v>
      </c>
      <c r="C9" s="51">
        <f>EOMONTH(MAX($V:$V),0)</f>
        <v>45473</v>
      </c>
      <c r="D9" s="71">
        <v>0.10299999999999999</v>
      </c>
      <c r="F9" s="5" t="s">
        <v>34</v>
      </c>
      <c r="G9" s="51">
        <f t="shared" ref="G9:G16" si="52">H8+1</f>
        <v>42917</v>
      </c>
      <c r="H9" s="51">
        <f t="shared" si="50"/>
        <v>43281</v>
      </c>
      <c r="I9" s="50">
        <f t="shared" si="51"/>
        <v>52</v>
      </c>
      <c r="K9" s="7">
        <v>5</v>
      </c>
      <c r="M9" s="5" t="str" cm="1">
        <f t="array" ref="M9">LOOKUP(2,1/($G$19:$G$35&lt;=$V9)/($H$19:$H$35&gt;=$V9),$F$19:$F$35)</f>
        <v>2H17</v>
      </c>
      <c r="N9" s="5" t="str" cm="1">
        <f t="array" ref="N9">LOOKUP(2,1/($G$8:$G$16&lt;=$V9)/($H$8:$H$16&gt;=$V9),$F$8:$F$16)</f>
        <v>FY17</v>
      </c>
      <c r="O9" s="5" t="str">
        <f>IFERROR(N9&amp;"-"&amp;COUNTIF($N$5:N9,N9),NA())</f>
        <v>FY17-5</v>
      </c>
      <c r="P9" s="5">
        <f>COUNTIF(V$5:V9,"&gt;="&amp;MAX($V:$V)-183)</f>
        <v>0</v>
      </c>
      <c r="Q9" s="5">
        <f>COUNTIF(V$5:V9,"&gt;="&amp;MAX($V:$V)-365)</f>
        <v>0</v>
      </c>
      <c r="R9" s="5" cm="1">
        <f t="array" ref="R9">LOOKUP(2,1/($G$46:$G$50&lt;=$V9)/($H$46:$H$50&gt;=$V9),$F$46:$F$50)</f>
        <v>0</v>
      </c>
      <c r="S9" s="5" cm="1">
        <f t="array" ref="S9">LOOKUP(2,1/($G$53:$G$56&lt;=$V9)/($H$53:$H$56&gt;=$V9),$F$53:$F$56)</f>
        <v>0</v>
      </c>
      <c r="T9" s="5" t="e">
        <f>IFERROR(IF($R9&gt;0,$R9&amp;"-"&amp;COUNTIF($R$5:$R9,$R9),NA()),NA())</f>
        <v>#N/A</v>
      </c>
      <c r="U9" s="5" t="e">
        <f>IFERROR(IF($S9&gt;0,$S9&amp;"-"&amp;COUNTIF($S$5:$S9,$S9),NA()),NA())</f>
        <v>#N/A</v>
      </c>
      <c r="V9" s="10">
        <v>42768</v>
      </c>
      <c r="W9" s="9">
        <v>20759056.413662236</v>
      </c>
      <c r="X9" s="9">
        <v>19286201.3611129</v>
      </c>
      <c r="Y9" s="8">
        <v>10000000</v>
      </c>
      <c r="AA9" s="48">
        <f t="shared" si="46"/>
        <v>5</v>
      </c>
      <c r="AB9" s="12">
        <f t="shared" si="0"/>
        <v>45316</v>
      </c>
      <c r="AC9" s="15">
        <f t="shared" si="1"/>
        <v>224519188.18786097</v>
      </c>
      <c r="AD9" s="14">
        <f t="shared" si="2"/>
        <v>150000000</v>
      </c>
      <c r="AF9" s="14">
        <v>40000000</v>
      </c>
      <c r="AG9" s="1">
        <f t="shared" si="3"/>
        <v>3</v>
      </c>
      <c r="AI9" s="69"/>
      <c r="AJ9" s="69"/>
      <c r="AK9" s="69"/>
      <c r="AL9" s="69"/>
      <c r="AP9" s="69"/>
      <c r="AQ9" s="69"/>
      <c r="AR9" s="69"/>
      <c r="AS9" s="69"/>
      <c r="AW9" s="48">
        <f t="shared" si="47"/>
        <v>5</v>
      </c>
      <c r="AX9" s="12">
        <f t="shared" si="4"/>
        <v>45134</v>
      </c>
      <c r="AY9" s="15">
        <f t="shared" si="5"/>
        <v>84639629.07268171</v>
      </c>
      <c r="AZ9" s="14">
        <f t="shared" si="48"/>
        <v>60000000</v>
      </c>
      <c r="BB9" s="14">
        <v>30000000</v>
      </c>
      <c r="BC9" s="1">
        <f t="shared" si="6"/>
        <v>2</v>
      </c>
      <c r="BD9" s="14">
        <f t="shared" si="7"/>
        <v>43191841.179034546</v>
      </c>
      <c r="BE9" s="14"/>
      <c r="BF9" s="14"/>
      <c r="BG9" s="14"/>
      <c r="BI9" s="69"/>
      <c r="BJ9" s="69"/>
      <c r="BK9" s="69"/>
      <c r="BL9" s="69"/>
      <c r="BP9" s="69"/>
      <c r="BQ9" s="69"/>
      <c r="BR9" s="69"/>
      <c r="BS9" s="69"/>
      <c r="BW9" s="48" t="str">
        <f t="shared" si="8"/>
        <v>N1-5</v>
      </c>
      <c r="BX9" s="12">
        <f t="shared" si="9"/>
        <v>44140</v>
      </c>
      <c r="BY9" s="15">
        <f t="shared" si="10"/>
        <v>39323627.363940403</v>
      </c>
      <c r="BZ9" s="14">
        <f t="shared" si="11"/>
        <v>20000000</v>
      </c>
      <c r="CB9" s="14" t="s">
        <v>107</v>
      </c>
      <c r="CC9" s="1">
        <f>SUM(CC5:CC8)</f>
        <v>16</v>
      </c>
      <c r="CE9" s="69"/>
      <c r="CF9" s="69"/>
      <c r="CG9" s="69"/>
      <c r="CH9" s="69"/>
      <c r="CL9" s="48" t="str">
        <f t="shared" si="12"/>
        <v>A1-5</v>
      </c>
      <c r="CM9" s="12">
        <f t="shared" si="13"/>
        <v>44252</v>
      </c>
      <c r="CN9" s="49">
        <f t="shared" si="14"/>
        <v>22972673.761021584</v>
      </c>
      <c r="CO9" s="49">
        <f t="shared" si="15"/>
        <v>8000000</v>
      </c>
      <c r="CQ9" s="14">
        <v>80000000</v>
      </c>
      <c r="CR9" s="1">
        <f>COUNTIF($CO:$CO,CQ9)</f>
        <v>1</v>
      </c>
      <c r="CT9" s="69"/>
      <c r="CU9" s="69"/>
      <c r="CV9" s="69"/>
      <c r="CW9" s="69"/>
      <c r="DA9" s="48" t="str">
        <f t="shared" si="16"/>
        <v>N2-5</v>
      </c>
      <c r="DB9" s="12">
        <f t="shared" si="17"/>
        <v>44735</v>
      </c>
      <c r="DC9" s="15">
        <f t="shared" si="18"/>
        <v>57463937.245363325</v>
      </c>
      <c r="DD9" s="14">
        <f t="shared" si="19"/>
        <v>40000000</v>
      </c>
      <c r="DF9" s="14">
        <v>60000000</v>
      </c>
      <c r="DG9" s="1">
        <f>COUNTIF($DD:$DD,DF9)</f>
        <v>1</v>
      </c>
      <c r="DI9" s="69"/>
      <c r="DJ9" s="69"/>
      <c r="DK9" s="69"/>
      <c r="DL9" s="69"/>
      <c r="DP9" s="48" t="str">
        <f t="shared" si="20"/>
        <v>A2-5</v>
      </c>
      <c r="DQ9" s="12">
        <f t="shared" si="21"/>
        <v>44847</v>
      </c>
      <c r="DR9" s="15">
        <f t="shared" si="22"/>
        <v>77692655.761629671</v>
      </c>
      <c r="DS9" s="14">
        <f t="shared" si="23"/>
        <v>50000000</v>
      </c>
      <c r="DU9" s="14">
        <v>100000000</v>
      </c>
      <c r="DV9" s="1">
        <f t="shared" si="24"/>
        <v>2</v>
      </c>
      <c r="DX9" s="69"/>
      <c r="DY9" s="69"/>
      <c r="DZ9" s="69"/>
      <c r="EA9" s="69"/>
      <c r="EE9" s="69"/>
      <c r="EF9" s="69"/>
      <c r="EG9" s="69"/>
      <c r="EH9" s="69"/>
      <c r="EL9" s="47" t="str">
        <f t="shared" si="25"/>
        <v>FY18-5</v>
      </c>
      <c r="EM9" s="16">
        <v>42950</v>
      </c>
      <c r="EN9" s="15">
        <v>17372581.597377952</v>
      </c>
      <c r="EO9" s="14">
        <f t="shared" si="26"/>
        <v>6000000</v>
      </c>
      <c r="EQ9" s="14">
        <v>12000000</v>
      </c>
      <c r="ER9" s="1">
        <f t="shared" si="27"/>
        <v>1</v>
      </c>
      <c r="ET9" s="69"/>
      <c r="EU9" s="69"/>
      <c r="EV9" s="69"/>
      <c r="EW9" s="69"/>
      <c r="FA9" s="16" t="s">
        <v>33</v>
      </c>
      <c r="FB9" s="16">
        <v>43314</v>
      </c>
      <c r="FC9" s="15">
        <v>47637119.898283519</v>
      </c>
      <c r="FD9" s="14">
        <v>50000000</v>
      </c>
      <c r="FF9" s="14">
        <v>25000000</v>
      </c>
      <c r="FG9" s="1">
        <f t="shared" si="28"/>
        <v>1</v>
      </c>
      <c r="FI9" s="69"/>
      <c r="FJ9" s="69"/>
      <c r="FK9" s="69"/>
      <c r="FL9" s="69"/>
      <c r="FP9" s="69"/>
      <c r="FQ9" s="69"/>
      <c r="FR9" s="69"/>
      <c r="FS9" s="69"/>
      <c r="FW9" s="16" t="s">
        <v>39</v>
      </c>
      <c r="FX9" s="16">
        <v>43678</v>
      </c>
      <c r="FY9" s="15">
        <v>17621573.612228479</v>
      </c>
      <c r="FZ9" s="14">
        <v>8000000</v>
      </c>
      <c r="GB9" s="14">
        <v>20000000</v>
      </c>
      <c r="GC9" s="1">
        <f t="shared" si="29"/>
        <v>6</v>
      </c>
      <c r="GD9" s="15">
        <f t="shared" si="30"/>
        <v>32838674.293053363</v>
      </c>
      <c r="GF9" s="69"/>
      <c r="GG9" s="69"/>
      <c r="GH9" s="69"/>
      <c r="GI9" s="69"/>
      <c r="GM9" s="69"/>
      <c r="GN9" s="69"/>
      <c r="GO9" s="70">
        <v>0.79149999999999998</v>
      </c>
      <c r="GP9" s="70">
        <v>15.211</v>
      </c>
      <c r="GT9" s="16" t="s">
        <v>38</v>
      </c>
      <c r="GU9" s="16">
        <v>44042</v>
      </c>
      <c r="GV9" s="15">
        <v>44346019.337184548</v>
      </c>
      <c r="GW9" s="14">
        <v>20000000</v>
      </c>
      <c r="GY9" s="14">
        <v>40000000</v>
      </c>
      <c r="GZ9" s="1">
        <f t="shared" si="31"/>
        <v>3</v>
      </c>
      <c r="HB9" s="69"/>
      <c r="HC9" s="69"/>
      <c r="HD9" s="69"/>
      <c r="HE9" s="69"/>
      <c r="HI9" s="16" t="s">
        <v>35</v>
      </c>
      <c r="HJ9" s="16">
        <v>44406</v>
      </c>
      <c r="HK9" s="15">
        <v>57263651.200972937</v>
      </c>
      <c r="HL9" s="14">
        <v>40000000</v>
      </c>
      <c r="HN9" s="14">
        <v>30000000</v>
      </c>
      <c r="HO9" s="1">
        <f t="shared" si="32"/>
        <v>1</v>
      </c>
      <c r="HQ9" s="69"/>
      <c r="HR9" s="69"/>
      <c r="HS9" s="69"/>
      <c r="HT9" s="69"/>
      <c r="HX9" s="69"/>
      <c r="HY9" s="69"/>
      <c r="HZ9" s="69"/>
      <c r="IA9" s="69"/>
      <c r="IE9" s="16" t="s">
        <v>37</v>
      </c>
      <c r="IF9" s="16">
        <v>44777</v>
      </c>
      <c r="IG9" s="15">
        <v>24328928.428093642</v>
      </c>
      <c r="IH9" s="14">
        <v>8000000</v>
      </c>
      <c r="IJ9" s="14">
        <v>30000000</v>
      </c>
      <c r="IK9" s="1">
        <f t="shared" si="33"/>
        <v>4</v>
      </c>
      <c r="IM9" s="69"/>
      <c r="IN9" s="69"/>
      <c r="IO9" s="69"/>
      <c r="IP9" s="69"/>
      <c r="IT9" s="69"/>
      <c r="IU9" s="69"/>
      <c r="IV9" s="69"/>
      <c r="IW9" s="69"/>
      <c r="JA9" s="16" t="s">
        <v>115</v>
      </c>
      <c r="JB9" s="16">
        <v>45141</v>
      </c>
      <c r="JC9" s="15">
        <v>156823488.17696416</v>
      </c>
      <c r="JD9" s="14">
        <v>100000000</v>
      </c>
      <c r="JF9" s="14">
        <v>30000000</v>
      </c>
      <c r="JG9" s="1">
        <f t="shared" si="49"/>
        <v>2</v>
      </c>
      <c r="JI9" s="69"/>
      <c r="JJ9" s="69"/>
      <c r="JK9" s="69"/>
      <c r="JL9" s="69"/>
      <c r="JP9" s="69"/>
      <c r="JQ9" s="69"/>
      <c r="JR9" s="69"/>
      <c r="JS9" s="69"/>
      <c r="JW9" s="16" t="s">
        <v>83</v>
      </c>
      <c r="JX9" s="16">
        <v>42950</v>
      </c>
      <c r="JY9" s="15">
        <v>17316640</v>
      </c>
      <c r="JZ9" s="14">
        <v>6000000</v>
      </c>
      <c r="KB9" s="14">
        <v>25000000</v>
      </c>
      <c r="KC9" s="1">
        <f t="shared" si="34"/>
        <v>1</v>
      </c>
      <c r="KE9" s="16" t="s">
        <v>82</v>
      </c>
      <c r="KF9" s="16">
        <v>43132</v>
      </c>
      <c r="KG9" s="15">
        <v>12804440</v>
      </c>
      <c r="KH9" s="14">
        <v>3000000</v>
      </c>
      <c r="KJ9" s="14">
        <v>12000000</v>
      </c>
      <c r="KK9" s="1">
        <f t="shared" si="35"/>
        <v>1</v>
      </c>
      <c r="KM9" s="16" t="s">
        <v>81</v>
      </c>
      <c r="KN9" s="16">
        <v>43314</v>
      </c>
      <c r="KO9" s="15">
        <v>47926296</v>
      </c>
      <c r="KP9" s="14">
        <v>50000000</v>
      </c>
      <c r="KR9" s="14">
        <v>25000000</v>
      </c>
      <c r="KS9" s="1">
        <f t="shared" si="36"/>
        <v>1</v>
      </c>
      <c r="KU9" s="16" t="s">
        <v>79</v>
      </c>
      <c r="KV9" s="16">
        <v>43496</v>
      </c>
      <c r="KW9" s="15">
        <v>18353082</v>
      </c>
      <c r="KX9" s="14">
        <v>8000000</v>
      </c>
      <c r="KZ9" s="14">
        <v>30000000</v>
      </c>
      <c r="LA9" s="1">
        <f t="shared" si="37"/>
        <v>3</v>
      </c>
      <c r="LC9" s="16" t="s">
        <v>78</v>
      </c>
      <c r="LD9" s="16">
        <v>43678</v>
      </c>
      <c r="LE9" s="15">
        <v>17353842</v>
      </c>
      <c r="LF9" s="14">
        <v>8000000</v>
      </c>
      <c r="LH9" s="14">
        <v>20000000</v>
      </c>
      <c r="LI9" s="1">
        <f t="shared" si="38"/>
        <v>2</v>
      </c>
      <c r="LK9" s="16" t="s">
        <v>77</v>
      </c>
      <c r="LL9" s="16">
        <v>43860</v>
      </c>
      <c r="LM9" s="15">
        <v>45149214</v>
      </c>
      <c r="LN9" s="14">
        <v>40000000</v>
      </c>
      <c r="LP9" s="14">
        <v>20000000</v>
      </c>
      <c r="LQ9" s="1">
        <f t="shared" si="39"/>
        <v>3</v>
      </c>
      <c r="LS9" s="16" t="s">
        <v>70</v>
      </c>
      <c r="LT9" s="16">
        <v>44042</v>
      </c>
      <c r="LU9" s="15">
        <v>43057278</v>
      </c>
      <c r="LV9" s="14">
        <v>20000000</v>
      </c>
      <c r="LX9" s="14">
        <v>50000000</v>
      </c>
      <c r="LY9" s="1">
        <f t="shared" si="40"/>
        <v>1</v>
      </c>
      <c r="MA9" s="16" t="s">
        <v>86</v>
      </c>
      <c r="MB9" s="16">
        <v>44231</v>
      </c>
      <c r="MC9" s="15">
        <v>38101404</v>
      </c>
      <c r="MD9" s="14">
        <v>20000000</v>
      </c>
      <c r="MF9" s="14">
        <v>40000000</v>
      </c>
      <c r="MG9" s="1">
        <f t="shared" si="41"/>
        <v>1</v>
      </c>
      <c r="MI9" s="16" t="s">
        <v>69</v>
      </c>
      <c r="MJ9" s="16">
        <v>44406</v>
      </c>
      <c r="MK9" s="15">
        <v>57623148</v>
      </c>
      <c r="ML9" s="14">
        <v>40000000</v>
      </c>
      <c r="MN9" s="14">
        <v>40000000</v>
      </c>
      <c r="MO9" s="1">
        <f t="shared" si="42"/>
        <v>3</v>
      </c>
      <c r="MQ9" s="16" t="s">
        <v>76</v>
      </c>
      <c r="MR9" s="16">
        <v>44595</v>
      </c>
      <c r="MS9" s="15">
        <v>57394590</v>
      </c>
      <c r="MT9" s="14">
        <v>40000000</v>
      </c>
      <c r="MV9" s="14">
        <v>40000000</v>
      </c>
      <c r="MW9" s="1">
        <f t="shared" si="43"/>
        <v>3</v>
      </c>
      <c r="MY9" s="16" t="s">
        <v>110</v>
      </c>
      <c r="MZ9" s="16">
        <v>42866</v>
      </c>
      <c r="NA9" s="15">
        <v>67043240</v>
      </c>
      <c r="NB9" s="14">
        <v>50000000</v>
      </c>
      <c r="ND9" s="14">
        <v>25000000</v>
      </c>
      <c r="NE9" s="1">
        <f t="shared" si="44"/>
        <v>1</v>
      </c>
      <c r="NG9" s="69"/>
      <c r="NH9" s="69"/>
      <c r="NI9" s="69"/>
      <c r="NJ9" s="69"/>
      <c r="NN9" s="16" t="s">
        <v>34</v>
      </c>
      <c r="NO9" s="16">
        <v>43237</v>
      </c>
      <c r="NP9" s="15">
        <v>26383104</v>
      </c>
      <c r="NQ9" s="14">
        <v>20000000</v>
      </c>
      <c r="NS9" s="14">
        <v>25000000</v>
      </c>
      <c r="NT9" s="1">
        <f t="shared" si="45"/>
        <v>1</v>
      </c>
      <c r="NV9" s="69"/>
      <c r="NW9" s="69"/>
      <c r="NX9" s="69"/>
      <c r="NY9" s="69"/>
      <c r="OB9" s="1"/>
    </row>
    <row r="10" spans="1:392" x14ac:dyDescent="0.2">
      <c r="B10" s="5"/>
      <c r="C10" s="5"/>
      <c r="D10" s="5"/>
      <c r="F10" s="5" t="s">
        <v>33</v>
      </c>
      <c r="G10" s="51">
        <f t="shared" si="52"/>
        <v>43282</v>
      </c>
      <c r="H10" s="51">
        <f t="shared" si="50"/>
        <v>43646</v>
      </c>
      <c r="I10" s="50">
        <f t="shared" si="51"/>
        <v>52</v>
      </c>
      <c r="K10" s="7">
        <v>6</v>
      </c>
      <c r="M10" s="5" t="str" cm="1">
        <f t="array" ref="M10">LOOKUP(2,1/($G$19:$G$35&lt;=$V10)/($H$19:$H$35&gt;=$V10),$F$19:$F$35)</f>
        <v>2H17</v>
      </c>
      <c r="N10" s="5" t="str" cm="1">
        <f t="array" ref="N10">LOOKUP(2,1/($G$8:$G$16&lt;=$V10)/($H$8:$H$16&gt;=$V10),$F$8:$F$16)</f>
        <v>FY17</v>
      </c>
      <c r="O10" s="5" t="str">
        <f>IFERROR(N10&amp;"-"&amp;COUNTIF($N$5:N10,N10),NA())</f>
        <v>FY17-6</v>
      </c>
      <c r="P10" s="5">
        <f>COUNTIF(V$5:V10,"&gt;="&amp;MAX($V:$V)-183)</f>
        <v>0</v>
      </c>
      <c r="Q10" s="5">
        <f>COUNTIF(V$5:V10,"&gt;="&amp;MAX($V:$V)-365)</f>
        <v>0</v>
      </c>
      <c r="R10" s="5" cm="1">
        <f t="array" ref="R10">LOOKUP(2,1/($G$46:$G$50&lt;=$V10)/($H$46:$H$50&gt;=$V10),$F$46:$F$50)</f>
        <v>0</v>
      </c>
      <c r="S10" s="5" cm="1">
        <f t="array" ref="S10">LOOKUP(2,1/($G$53:$G$56&lt;=$V10)/($H$53:$H$56&gt;=$V10),$F$53:$F$56)</f>
        <v>0</v>
      </c>
      <c r="T10" s="5" t="e">
        <f>IFERROR(IF($R10&gt;0,$R10&amp;"-"&amp;COUNTIF($R$5:$R10,$R10),NA()),NA())</f>
        <v>#N/A</v>
      </c>
      <c r="U10" s="5" t="e">
        <f>IFERROR(IF($S10&gt;0,$S10&amp;"-"&amp;COUNTIF($S$5:$S10,$S10),NA()),NA())</f>
        <v>#N/A</v>
      </c>
      <c r="V10" s="10">
        <v>42775</v>
      </c>
      <c r="W10" s="9">
        <v>24381470.981542174</v>
      </c>
      <c r="X10" s="9">
        <v>22651605.615401756</v>
      </c>
      <c r="Y10" s="8">
        <v>15000000</v>
      </c>
      <c r="AA10" s="48">
        <f t="shared" si="46"/>
        <v>6</v>
      </c>
      <c r="AB10" s="12">
        <f t="shared" si="0"/>
        <v>45323</v>
      </c>
      <c r="AC10" s="15">
        <f t="shared" si="1"/>
        <v>305330546.25694674</v>
      </c>
      <c r="AD10" s="14">
        <f t="shared" si="2"/>
        <v>200000000</v>
      </c>
      <c r="AF10" s="14">
        <v>50000000</v>
      </c>
      <c r="AG10" s="1">
        <f t="shared" si="3"/>
        <v>1</v>
      </c>
      <c r="AI10" s="2" t="s">
        <v>41</v>
      </c>
      <c r="AJ10" s="2" t="s">
        <v>25</v>
      </c>
      <c r="AP10" s="2" t="s">
        <v>41</v>
      </c>
      <c r="AQ10" s="2" t="s">
        <v>25</v>
      </c>
      <c r="AW10" s="48">
        <f t="shared" si="47"/>
        <v>6</v>
      </c>
      <c r="AX10" s="12">
        <f t="shared" si="4"/>
        <v>45141</v>
      </c>
      <c r="AY10" s="15">
        <f t="shared" si="5"/>
        <v>156823488.17696416</v>
      </c>
      <c r="AZ10" s="14">
        <f t="shared" si="48"/>
        <v>100000000</v>
      </c>
      <c r="BB10" s="14">
        <v>40000000</v>
      </c>
      <c r="BC10" s="1">
        <f t="shared" si="6"/>
        <v>7</v>
      </c>
      <c r="BD10" s="14">
        <f t="shared" si="7"/>
        <v>56920915.643145129</v>
      </c>
      <c r="BE10" s="14"/>
      <c r="BF10" s="14"/>
      <c r="BG10" s="14"/>
      <c r="BI10" s="2" t="s">
        <v>41</v>
      </c>
      <c r="BJ10" s="2" t="s">
        <v>25</v>
      </c>
      <c r="BP10" s="2" t="s">
        <v>41</v>
      </c>
      <c r="BQ10" s="2" t="s">
        <v>25</v>
      </c>
      <c r="BW10" s="48" t="str">
        <f t="shared" si="8"/>
        <v>N1-6</v>
      </c>
      <c r="BX10" s="12">
        <f t="shared" si="9"/>
        <v>44147</v>
      </c>
      <c r="BY10" s="15">
        <f t="shared" si="10"/>
        <v>17490034.417756159</v>
      </c>
      <c r="BZ10" s="14">
        <f t="shared" si="11"/>
        <v>3000000</v>
      </c>
      <c r="CB10" s="14"/>
      <c r="CE10" s="2" t="s">
        <v>41</v>
      </c>
      <c r="CF10" s="2" t="s">
        <v>25</v>
      </c>
      <c r="CL10" s="48" t="str">
        <f t="shared" si="12"/>
        <v>A1-6</v>
      </c>
      <c r="CM10" s="12">
        <f t="shared" si="13"/>
        <v>44259</v>
      </c>
      <c r="CN10" s="49">
        <f t="shared" si="14"/>
        <v>37058402.918820314</v>
      </c>
      <c r="CO10" s="49">
        <f t="shared" si="15"/>
        <v>20000000</v>
      </c>
      <c r="CQ10" s="14" t="s">
        <v>107</v>
      </c>
      <c r="CR10" s="1">
        <f>SUM(CR5:CR9)</f>
        <v>16</v>
      </c>
      <c r="CT10" s="2" t="s">
        <v>41</v>
      </c>
      <c r="CU10" s="2" t="s">
        <v>25</v>
      </c>
      <c r="DA10" s="48" t="str">
        <f t="shared" si="16"/>
        <v>N2-6</v>
      </c>
      <c r="DB10" s="12">
        <f t="shared" si="17"/>
        <v>44742</v>
      </c>
      <c r="DC10" s="15">
        <f t="shared" si="18"/>
        <v>77836461.903314069</v>
      </c>
      <c r="DD10" s="14">
        <f t="shared" si="19"/>
        <v>60000000</v>
      </c>
      <c r="DF10" s="14" t="s">
        <v>107</v>
      </c>
      <c r="DG10" s="1">
        <f>SUM(DG5:DG9)</f>
        <v>16</v>
      </c>
      <c r="DI10" s="2" t="s">
        <v>41</v>
      </c>
      <c r="DJ10" s="2" t="s">
        <v>25</v>
      </c>
      <c r="DP10" s="48" t="str">
        <f t="shared" si="20"/>
        <v>A2-6</v>
      </c>
      <c r="DQ10" s="12">
        <f t="shared" si="21"/>
        <v>44854</v>
      </c>
      <c r="DR10" s="15">
        <f t="shared" si="22"/>
        <v>183084473.09212527</v>
      </c>
      <c r="DS10" s="14">
        <f t="shared" si="23"/>
        <v>100000000</v>
      </c>
      <c r="DU10" s="14">
        <v>160000000</v>
      </c>
      <c r="DV10" s="1">
        <f t="shared" si="24"/>
        <v>1</v>
      </c>
      <c r="DX10" s="2" t="s">
        <v>41</v>
      </c>
      <c r="DY10" s="2" t="s">
        <v>25</v>
      </c>
      <c r="EE10" s="2" t="s">
        <v>41</v>
      </c>
      <c r="EF10" s="2" t="s">
        <v>25</v>
      </c>
      <c r="EL10" s="47" t="str">
        <f t="shared" si="25"/>
        <v>FY18-6</v>
      </c>
      <c r="EM10" s="16">
        <v>42957</v>
      </c>
      <c r="EN10" s="15">
        <v>13797288.766603414</v>
      </c>
      <c r="EO10" s="14">
        <f t="shared" si="26"/>
        <v>3000000</v>
      </c>
      <c r="EQ10" s="14">
        <v>15000000</v>
      </c>
      <c r="ER10" s="1">
        <f t="shared" si="27"/>
        <v>4</v>
      </c>
      <c r="ET10" s="2" t="s">
        <v>41</v>
      </c>
      <c r="EU10" s="2" t="s">
        <v>25</v>
      </c>
      <c r="FA10" s="16" t="s">
        <v>33</v>
      </c>
      <c r="FB10" s="16">
        <v>43321</v>
      </c>
      <c r="FC10" s="15">
        <v>89658851.621106133</v>
      </c>
      <c r="FD10" s="14">
        <v>80000000</v>
      </c>
      <c r="FF10" s="14">
        <v>30000000</v>
      </c>
      <c r="FG10" s="1">
        <f t="shared" si="28"/>
        <v>7</v>
      </c>
      <c r="FI10" s="2" t="s">
        <v>41</v>
      </c>
      <c r="FJ10" s="2" t="s">
        <v>25</v>
      </c>
      <c r="FP10" s="2" t="s">
        <v>41</v>
      </c>
      <c r="FQ10" s="2" t="s">
        <v>25</v>
      </c>
      <c r="FW10" s="16" t="s">
        <v>39</v>
      </c>
      <c r="FX10" s="16">
        <v>43685</v>
      </c>
      <c r="FY10" s="15">
        <v>22977947.397735007</v>
      </c>
      <c r="FZ10" s="14">
        <v>12000000</v>
      </c>
      <c r="GB10" s="14">
        <v>30000000</v>
      </c>
      <c r="GC10" s="1">
        <f t="shared" si="29"/>
        <v>2</v>
      </c>
      <c r="GD10" s="15">
        <f t="shared" si="30"/>
        <v>44351582.479544312</v>
      </c>
      <c r="GF10" s="2" t="s">
        <v>41</v>
      </c>
      <c r="GG10" s="2" t="s">
        <v>25</v>
      </c>
      <c r="GM10" s="2" t="s">
        <v>41</v>
      </c>
      <c r="GN10" s="2" t="s">
        <v>25</v>
      </c>
      <c r="GT10" s="16" t="s">
        <v>38</v>
      </c>
      <c r="GU10" s="16">
        <v>44049</v>
      </c>
      <c r="GV10" s="15">
        <v>19730848.28215263</v>
      </c>
      <c r="GW10" s="14">
        <v>3000000</v>
      </c>
      <c r="GY10" s="14">
        <v>50000000</v>
      </c>
      <c r="GZ10" s="1">
        <f t="shared" si="31"/>
        <v>4</v>
      </c>
      <c r="HB10" s="2" t="s">
        <v>41</v>
      </c>
      <c r="HC10" s="2" t="s">
        <v>25</v>
      </c>
      <c r="HI10" s="16" t="s">
        <v>35</v>
      </c>
      <c r="HJ10" s="16">
        <v>44413</v>
      </c>
      <c r="HK10" s="15">
        <v>80092385.770750985</v>
      </c>
      <c r="HL10" s="14">
        <v>60000000</v>
      </c>
      <c r="HN10" s="14">
        <v>40000000</v>
      </c>
      <c r="HO10" s="1">
        <f t="shared" si="32"/>
        <v>6</v>
      </c>
      <c r="HQ10" s="2" t="s">
        <v>41</v>
      </c>
      <c r="HR10" s="2" t="s">
        <v>25</v>
      </c>
      <c r="HX10" s="2" t="s">
        <v>41</v>
      </c>
      <c r="HY10" s="2" t="s">
        <v>25</v>
      </c>
      <c r="IE10" s="16" t="s">
        <v>37</v>
      </c>
      <c r="IF10" s="16">
        <v>44784</v>
      </c>
      <c r="IG10" s="15">
        <v>39456376.284584977</v>
      </c>
      <c r="IH10" s="14">
        <v>20000000</v>
      </c>
      <c r="IJ10" s="14">
        <v>40000000</v>
      </c>
      <c r="IK10" s="1">
        <f t="shared" si="33"/>
        <v>4</v>
      </c>
      <c r="IM10" s="2" t="s">
        <v>41</v>
      </c>
      <c r="IN10" s="2" t="s">
        <v>25</v>
      </c>
      <c r="IT10" s="2" t="s">
        <v>41</v>
      </c>
      <c r="IU10" s="2" t="s">
        <v>25</v>
      </c>
      <c r="JA10" s="16" t="s">
        <v>115</v>
      </c>
      <c r="JB10" s="16">
        <v>45148</v>
      </c>
      <c r="JC10" s="15">
        <v>20677774.436090227</v>
      </c>
      <c r="JD10" s="14">
        <v>4000000</v>
      </c>
      <c r="JF10" s="14">
        <v>40000000</v>
      </c>
      <c r="JG10" s="1">
        <f t="shared" si="49"/>
        <v>7</v>
      </c>
      <c r="JI10" s="100" t="s">
        <v>41</v>
      </c>
      <c r="JJ10" s="2" t="s">
        <v>25</v>
      </c>
      <c r="JP10" s="2" t="s">
        <v>41</v>
      </c>
      <c r="JQ10" s="2" t="s">
        <v>25</v>
      </c>
      <c r="JR10" s="69"/>
      <c r="JS10" s="69"/>
      <c r="JW10" s="16" t="s">
        <v>83</v>
      </c>
      <c r="JX10" s="16">
        <v>42957</v>
      </c>
      <c r="JY10" s="15">
        <v>13752860</v>
      </c>
      <c r="JZ10" s="14">
        <v>3000000</v>
      </c>
      <c r="KB10" s="14">
        <v>30000000</v>
      </c>
      <c r="KC10" s="1">
        <f t="shared" si="34"/>
        <v>1</v>
      </c>
      <c r="KE10" s="16" t="s">
        <v>82</v>
      </c>
      <c r="KF10" s="16">
        <v>43139</v>
      </c>
      <c r="KG10" s="15">
        <v>16166920</v>
      </c>
      <c r="KH10" s="14">
        <v>6000000</v>
      </c>
      <c r="KJ10" s="14">
        <v>15000000</v>
      </c>
      <c r="KK10" s="1">
        <f t="shared" si="35"/>
        <v>1</v>
      </c>
      <c r="KM10" s="16" t="s">
        <v>81</v>
      </c>
      <c r="KN10" s="16">
        <v>43321</v>
      </c>
      <c r="KO10" s="15">
        <v>90542232</v>
      </c>
      <c r="KP10" s="14">
        <v>80000000</v>
      </c>
      <c r="KR10" s="14">
        <v>30000000</v>
      </c>
      <c r="KS10" s="1">
        <f t="shared" si="36"/>
        <v>4</v>
      </c>
      <c r="KU10" s="16" t="s">
        <v>79</v>
      </c>
      <c r="KV10" s="16">
        <v>43503</v>
      </c>
      <c r="KW10" s="15">
        <v>25782900</v>
      </c>
      <c r="KX10" s="14">
        <v>12000000</v>
      </c>
      <c r="KZ10" s="14">
        <v>40000000</v>
      </c>
      <c r="LA10" s="1">
        <f t="shared" si="37"/>
        <v>2</v>
      </c>
      <c r="LC10" s="16" t="s">
        <v>78</v>
      </c>
      <c r="LD10" s="16">
        <v>43685</v>
      </c>
      <c r="LE10" s="15">
        <v>24165636</v>
      </c>
      <c r="LF10" s="14">
        <v>12000000</v>
      </c>
      <c r="LH10" s="14">
        <v>25000000</v>
      </c>
      <c r="LI10" s="1">
        <f t="shared" si="38"/>
        <v>1</v>
      </c>
      <c r="LK10" s="16" t="s">
        <v>77</v>
      </c>
      <c r="LL10" s="16">
        <v>43867</v>
      </c>
      <c r="LM10" s="15">
        <v>66948090</v>
      </c>
      <c r="LN10" s="14">
        <v>60000000</v>
      </c>
      <c r="LP10" s="14">
        <v>30000000</v>
      </c>
      <c r="LQ10" s="1">
        <f t="shared" si="39"/>
        <v>1</v>
      </c>
      <c r="LS10" s="16" t="s">
        <v>70</v>
      </c>
      <c r="LT10" s="16">
        <v>44049</v>
      </c>
      <c r="LU10" s="15">
        <v>21741192</v>
      </c>
      <c r="LV10" s="14">
        <v>3000000</v>
      </c>
      <c r="LX10" s="14">
        <v>60000000</v>
      </c>
      <c r="LY10" s="1">
        <f t="shared" si="40"/>
        <v>1</v>
      </c>
      <c r="MA10" s="16" t="s">
        <v>86</v>
      </c>
      <c r="MB10" s="16">
        <v>44238</v>
      </c>
      <c r="MC10" s="15">
        <v>48254778</v>
      </c>
      <c r="MD10" s="14">
        <v>30000000</v>
      </c>
      <c r="MF10" s="14">
        <v>50000000</v>
      </c>
      <c r="MG10" s="1">
        <f t="shared" si="41"/>
        <v>3</v>
      </c>
      <c r="MI10" s="16" t="s">
        <v>69</v>
      </c>
      <c r="MJ10" s="16">
        <v>44413</v>
      </c>
      <c r="MK10" s="15">
        <v>81825282</v>
      </c>
      <c r="ML10" s="14">
        <v>60000000</v>
      </c>
      <c r="MN10" s="14">
        <v>60000000</v>
      </c>
      <c r="MO10" s="1">
        <f t="shared" si="42"/>
        <v>4</v>
      </c>
      <c r="MQ10" s="16" t="s">
        <v>76</v>
      </c>
      <c r="MR10" s="16">
        <v>44602</v>
      </c>
      <c r="MS10" s="15">
        <v>79079748</v>
      </c>
      <c r="MT10" s="14">
        <v>60000000</v>
      </c>
      <c r="MV10" s="14">
        <v>60000000</v>
      </c>
      <c r="MW10" s="1">
        <f t="shared" si="43"/>
        <v>4</v>
      </c>
      <c r="MY10" s="16" t="s">
        <v>110</v>
      </c>
      <c r="MZ10" s="16">
        <v>42873</v>
      </c>
      <c r="NA10" s="15">
        <v>13684880</v>
      </c>
      <c r="NB10" s="14">
        <v>3000000</v>
      </c>
      <c r="ND10" s="14">
        <v>30000000</v>
      </c>
      <c r="NE10" s="1">
        <f t="shared" si="44"/>
        <v>4</v>
      </c>
      <c r="NG10" s="2" t="s">
        <v>41</v>
      </c>
      <c r="NH10" s="2" t="s">
        <v>25</v>
      </c>
      <c r="NN10" s="16" t="s">
        <v>34</v>
      </c>
      <c r="NO10" s="16">
        <v>43244</v>
      </c>
      <c r="NP10" s="15">
        <v>36245220</v>
      </c>
      <c r="NQ10" s="14">
        <v>30000000</v>
      </c>
      <c r="NS10" s="14">
        <v>30000000</v>
      </c>
      <c r="NT10" s="1">
        <f t="shared" si="45"/>
        <v>6</v>
      </c>
      <c r="NV10" s="2" t="s">
        <v>41</v>
      </c>
      <c r="NW10" s="2" t="s">
        <v>25</v>
      </c>
      <c r="OB10" s="1"/>
    </row>
    <row r="11" spans="1:392" x14ac:dyDescent="0.2">
      <c r="B11" s="57" t="s">
        <v>116</v>
      </c>
      <c r="C11" s="57"/>
      <c r="D11" s="57"/>
      <c r="F11" s="5" t="s">
        <v>39</v>
      </c>
      <c r="G11" s="51">
        <f t="shared" si="52"/>
        <v>43647</v>
      </c>
      <c r="H11" s="51">
        <f t="shared" si="50"/>
        <v>44012</v>
      </c>
      <c r="I11" s="50">
        <f t="shared" si="51"/>
        <v>52</v>
      </c>
      <c r="K11" s="7">
        <v>7</v>
      </c>
      <c r="M11" s="5" t="str" cm="1">
        <f t="array" ref="M11">LOOKUP(2,1/($G$19:$G$35&lt;=$V11)/($H$19:$H$35&gt;=$V11),$F$19:$F$35)</f>
        <v>2H17</v>
      </c>
      <c r="N11" s="5" t="str" cm="1">
        <f t="array" ref="N11">LOOKUP(2,1/($G$8:$G$16&lt;=$V11)/($H$8:$H$16&gt;=$V11),$F$8:$F$16)</f>
        <v>FY17</v>
      </c>
      <c r="O11" s="5" t="str">
        <f>IFERROR(N11&amp;"-"&amp;COUNTIF($N$5:N11,N11),NA())</f>
        <v>FY17-7</v>
      </c>
      <c r="P11" s="5">
        <f>COUNTIF(V$5:V11,"&gt;="&amp;MAX($V:$V)-183)</f>
        <v>0</v>
      </c>
      <c r="Q11" s="5">
        <f>COUNTIF(V$5:V11,"&gt;="&amp;MAX($V:$V)-365)</f>
        <v>0</v>
      </c>
      <c r="R11" s="5" cm="1">
        <f t="array" ref="R11">LOOKUP(2,1/($G$46:$G$50&lt;=$V11)/($H$46:$H$50&gt;=$V11),$F$46:$F$50)</f>
        <v>0</v>
      </c>
      <c r="S11" s="5" cm="1">
        <f t="array" ref="S11">LOOKUP(2,1/($G$53:$G$56&lt;=$V11)/($H$53:$H$56&gt;=$V11),$F$53:$F$56)</f>
        <v>0</v>
      </c>
      <c r="T11" s="5" t="e">
        <f>IFERROR(IF($R11&gt;0,$R11&amp;"-"&amp;COUNTIF($R$5:$R11,$R11),NA()),NA())</f>
        <v>#N/A</v>
      </c>
      <c r="U11" s="5" t="e">
        <f>IFERROR(IF($S11&gt;0,$S11&amp;"-"&amp;COUNTIF($S$5:$S11,$S11),NA()),NA())</f>
        <v>#N/A</v>
      </c>
      <c r="V11" s="10">
        <v>42782</v>
      </c>
      <c r="W11" s="9">
        <v>12555901.364498878</v>
      </c>
      <c r="X11" s="9">
        <v>11665060.162687682</v>
      </c>
      <c r="Y11" s="8">
        <v>3000000</v>
      </c>
      <c r="AA11" s="48">
        <f t="shared" si="46"/>
        <v>7</v>
      </c>
      <c r="AB11" s="12">
        <f t="shared" si="0"/>
        <v>45330</v>
      </c>
      <c r="AC11" s="15">
        <f t="shared" si="1"/>
        <v>22032789.03781192</v>
      </c>
      <c r="AD11" s="14">
        <f t="shared" si="2"/>
        <v>4000000</v>
      </c>
      <c r="AF11" s="14">
        <v>60000000</v>
      </c>
      <c r="AG11" s="1">
        <f t="shared" si="3"/>
        <v>1</v>
      </c>
      <c r="AI11" s="40">
        <v>60</v>
      </c>
      <c r="AJ11" s="39">
        <f t="shared" ref="AJ11:AJ25" si="53">($AJ$8*AI11^2+$AK$8*AI11+$AL$8)*1000000</f>
        <v>107435800</v>
      </c>
      <c r="AK11" s="40">
        <v>210</v>
      </c>
      <c r="AL11" s="39">
        <f t="shared" ref="AL11:AL25" si="54">($AJ$8*AK11^2+$AK$8*AK11+$AL$8)*1000000</f>
        <v>356795800.00000006</v>
      </c>
      <c r="AP11" s="40">
        <v>60</v>
      </c>
      <c r="AQ11" s="39">
        <f t="shared" ref="AQ11:AQ25" si="55">($AQ$8*AP11^2+$AR$8*AP11+$AS$8)*1000000</f>
        <v>84815999.999999985</v>
      </c>
      <c r="AR11" s="40">
        <v>210</v>
      </c>
      <c r="AS11" s="39">
        <f t="shared" ref="AS11:AS25" si="56">($AQ$8*AR11^2+$AR$8*AR11+$AS$8)*1000000</f>
        <v>254601000</v>
      </c>
      <c r="AW11" s="48">
        <f t="shared" si="47"/>
        <v>7</v>
      </c>
      <c r="AX11" s="12">
        <f t="shared" si="4"/>
        <v>45148</v>
      </c>
      <c r="AY11" s="15">
        <f t="shared" si="5"/>
        <v>20677774.436090227</v>
      </c>
      <c r="AZ11" s="14">
        <f t="shared" si="48"/>
        <v>4000000</v>
      </c>
      <c r="BB11" s="14">
        <v>50000000</v>
      </c>
      <c r="BC11" s="1">
        <f t="shared" si="6"/>
        <v>1</v>
      </c>
      <c r="BD11" s="14">
        <f t="shared" si="7"/>
        <v>67199002.942137957</v>
      </c>
      <c r="BE11" s="14"/>
      <c r="BF11" s="14"/>
      <c r="BG11" s="14"/>
      <c r="BI11" s="40">
        <v>60</v>
      </c>
      <c r="BJ11" s="39">
        <f t="shared" ref="BJ11:BJ25" si="57">($BJ$8*BI11^2+$BK$8*BI11+$BL$8)*1000000</f>
        <v>103108800</v>
      </c>
      <c r="BK11" s="40">
        <v>210</v>
      </c>
      <c r="BL11" s="39">
        <f t="shared" ref="BL11:BL25" si="58">($BJ$8*BK11^2+$BK$8*BK11+$BL$8)*1000000</f>
        <v>340873799.99999994</v>
      </c>
      <c r="BP11" s="40">
        <v>4</v>
      </c>
      <c r="BQ11" s="39">
        <f t="shared" ref="BQ11:BQ20" si="59">($BQ$8*BP11^2+$BR$8*BP11+$BS$8)*1000000</f>
        <v>20910800</v>
      </c>
      <c r="BR11" s="110">
        <v>0</v>
      </c>
      <c r="BS11" s="39">
        <f t="shared" ref="BS11:BS19" si="60">BQ11*(1+BR11)</f>
        <v>20910800</v>
      </c>
      <c r="BW11" s="48" t="str">
        <f t="shared" si="8"/>
        <v>N1-7</v>
      </c>
      <c r="BX11" s="12">
        <f t="shared" si="9"/>
        <v>44154</v>
      </c>
      <c r="BY11" s="15">
        <f t="shared" si="10"/>
        <v>23485624.323502589</v>
      </c>
      <c r="BZ11" s="14">
        <f t="shared" si="11"/>
        <v>8000000</v>
      </c>
      <c r="CB11" s="55" t="s">
        <v>16</v>
      </c>
      <c r="CC11" s="54"/>
      <c r="CE11" s="40">
        <v>10</v>
      </c>
      <c r="CF11" s="39">
        <f t="shared" ref="CF11:CF25" si="61">($CF$8*CE11^2+$CG$8*CE11+$CH$8)*1000000</f>
        <v>27847000</v>
      </c>
      <c r="CG11" s="40">
        <v>210</v>
      </c>
      <c r="CH11" s="39">
        <f t="shared" ref="CH11:CH25" si="62">($CF$8*CG11^2+$CG$8*CG11+$CH$8)*1000000</f>
        <v>282547000</v>
      </c>
      <c r="CL11" s="48" t="str">
        <f t="shared" si="12"/>
        <v>A1-7</v>
      </c>
      <c r="CM11" s="12">
        <f t="shared" si="13"/>
        <v>44266</v>
      </c>
      <c r="CN11" s="49">
        <f t="shared" si="14"/>
        <v>45393461.35603527</v>
      </c>
      <c r="CO11" s="49">
        <f t="shared" si="15"/>
        <v>30000000</v>
      </c>
      <c r="CQ11" s="14"/>
      <c r="CT11" s="40">
        <v>10</v>
      </c>
      <c r="CU11" s="39">
        <f t="shared" ref="CU11:CU25" si="63">($CU$8*CT11^2+$CV$8*CT11+$CW$8)*1000000</f>
        <v>24445000</v>
      </c>
      <c r="CV11" s="40">
        <v>210</v>
      </c>
      <c r="CW11" s="39">
        <f t="shared" ref="CW11:CW25" si="64">($CU$8*CV11^2+$CV$8*CV11+$CW$8)*1000000</f>
        <v>268065000</v>
      </c>
      <c r="DA11" s="48" t="str">
        <f t="shared" si="16"/>
        <v>N2-7</v>
      </c>
      <c r="DB11" s="12">
        <f t="shared" si="17"/>
        <v>44749</v>
      </c>
      <c r="DC11" s="15">
        <f t="shared" si="18"/>
        <v>20096787.838248707</v>
      </c>
      <c r="DD11" s="14">
        <f t="shared" si="19"/>
        <v>4000000</v>
      </c>
      <c r="DF11" s="14"/>
      <c r="DI11" s="40">
        <v>10</v>
      </c>
      <c r="DJ11" s="39">
        <f t="shared" ref="DJ11:DJ25" si="65">($DJ$8*DI11^2+$DK$8*DI11+$DL$8)*1000000</f>
        <v>28310000</v>
      </c>
      <c r="DK11" s="40">
        <v>210</v>
      </c>
      <c r="DL11" s="39">
        <f t="shared" ref="DL11:DL25" si="66">($DJ$8*DK11^2+$DK$8*DK11+$DL$8)*1000000</f>
        <v>238250000</v>
      </c>
      <c r="DP11" s="48" t="str">
        <f t="shared" si="20"/>
        <v>A2-7</v>
      </c>
      <c r="DQ11" s="12">
        <f t="shared" si="21"/>
        <v>44861</v>
      </c>
      <c r="DR11" s="15">
        <f t="shared" si="22"/>
        <v>284837413.80358768</v>
      </c>
      <c r="DS11" s="14">
        <f t="shared" si="23"/>
        <v>160000000</v>
      </c>
      <c r="DU11" s="14" t="s">
        <v>107</v>
      </c>
      <c r="DV11" s="1">
        <f>SUM(DV5:DV10)</f>
        <v>16</v>
      </c>
      <c r="DX11" s="40">
        <v>10</v>
      </c>
      <c r="DY11" s="39">
        <f t="shared" ref="DY11:DY25" si="67">($CU$8*DX11^2+$CV$8*DX11+$CW$8)*1000000</f>
        <v>24445000</v>
      </c>
      <c r="DZ11" s="40">
        <v>210</v>
      </c>
      <c r="EA11" s="39">
        <f t="shared" ref="EA11:EA25" si="68">($CU$8*DZ11^2+$CV$8*DZ11+$CW$8)*1000000</f>
        <v>268065000</v>
      </c>
      <c r="EE11" s="40">
        <v>10</v>
      </c>
      <c r="EF11" s="39">
        <f t="shared" ref="EF11:EF25" si="69">($GN$8*EE11^2+$GO$8*EE11+$GP$8)*1000000</f>
        <v>23126000</v>
      </c>
      <c r="EG11" s="40">
        <v>210</v>
      </c>
      <c r="EH11" s="39">
        <f t="shared" ref="EH11:EH25" si="70">($GN$8*EG11^2+$GO$8*EG11+$GP$8)*1000000</f>
        <v>181426000.00000003</v>
      </c>
      <c r="EL11" s="47" t="str">
        <f t="shared" si="25"/>
        <v>FY18-7</v>
      </c>
      <c r="EM11" s="16">
        <v>42964</v>
      </c>
      <c r="EN11" s="15">
        <v>13187465.068138691</v>
      </c>
      <c r="EO11" s="14">
        <f t="shared" si="26"/>
        <v>3000000</v>
      </c>
      <c r="EQ11" s="14">
        <v>20000000</v>
      </c>
      <c r="ER11" s="1">
        <f t="shared" si="27"/>
        <v>1</v>
      </c>
      <c r="ET11" s="40">
        <v>60</v>
      </c>
      <c r="EU11" s="39">
        <f t="shared" ref="EU11:EU25" si="71">($EU$8*ET11^2+$EV$8*ET11+$EW$8)*1000000</f>
        <v>73783200.000000015</v>
      </c>
      <c r="EV11" s="40">
        <v>210</v>
      </c>
      <c r="EW11" s="39">
        <f t="shared" ref="EW11:EW25" si="72">($EU$8*EV11^2+$EV$8*EV11+$EW$8)*1000000</f>
        <v>233668200</v>
      </c>
      <c r="FA11" s="16" t="s">
        <v>33</v>
      </c>
      <c r="FB11" s="16">
        <v>43328</v>
      </c>
      <c r="FC11" s="15">
        <v>169384236.4907819</v>
      </c>
      <c r="FD11" s="14">
        <v>100000000</v>
      </c>
      <c r="FF11" s="14">
        <v>40000000</v>
      </c>
      <c r="FG11" s="1">
        <f t="shared" si="28"/>
        <v>4</v>
      </c>
      <c r="FI11" s="40">
        <v>3</v>
      </c>
      <c r="FJ11" s="39">
        <f t="shared" ref="FJ11:FJ20" si="73">($FJ$8*FI11^2+$FK$8*FI11+$FL$8)*1000000</f>
        <v>6550200</v>
      </c>
      <c r="FK11" s="40"/>
      <c r="FL11" s="39"/>
      <c r="FP11" s="40">
        <v>3</v>
      </c>
      <c r="FQ11" s="39">
        <f t="shared" ref="FQ11:FQ20" si="74">($FQ$8*FP11^2+$FR$8*FP11+$FS$8)*1000000</f>
        <v>11132000.000000002</v>
      </c>
      <c r="FR11" s="40"/>
      <c r="FS11" s="39"/>
      <c r="FW11" s="16" t="s">
        <v>39</v>
      </c>
      <c r="FX11" s="16">
        <v>43692</v>
      </c>
      <c r="FY11" s="15">
        <v>29967446.995482393</v>
      </c>
      <c r="FZ11" s="14">
        <v>20000000</v>
      </c>
      <c r="GB11" s="14">
        <v>40000000</v>
      </c>
      <c r="GC11" s="1">
        <f t="shared" si="29"/>
        <v>4</v>
      </c>
      <c r="GD11" s="15">
        <f t="shared" si="30"/>
        <v>45382776.976620913</v>
      </c>
      <c r="GF11" s="40">
        <v>3</v>
      </c>
      <c r="GG11" s="39">
        <f t="shared" ref="GG11:GG20" si="75">($GG$8*GF11^2+$GH$8*GF11+$GI$8)*1000000</f>
        <v>13540100</v>
      </c>
      <c r="GH11" s="40">
        <v>3</v>
      </c>
      <c r="GI11" s="39">
        <f t="shared" ref="GI11:GI20" si="76">($GG$8*GH11^2+$GH$8*GH11+$GI$8)*1000000</f>
        <v>13540100</v>
      </c>
      <c r="GM11" s="40">
        <v>3</v>
      </c>
      <c r="GN11" s="39">
        <f t="shared" ref="GN11:GN20" si="77">($GN$8*GM11^2+$GO$8*GM11+$GP$8)*1000000</f>
        <v>17585500</v>
      </c>
      <c r="GO11" s="40">
        <v>3</v>
      </c>
      <c r="GP11" s="39">
        <f t="shared" ref="GP11:GP20" si="78">($GN$8*GO11^2+$GO$8*GO11+$GP$8)*1000000</f>
        <v>17585500</v>
      </c>
      <c r="GT11" s="16" t="s">
        <v>38</v>
      </c>
      <c r="GU11" s="16">
        <v>44056</v>
      </c>
      <c r="GV11" s="15">
        <v>26811783.764062021</v>
      </c>
      <c r="GW11" s="14">
        <v>8000000</v>
      </c>
      <c r="GY11" s="14">
        <v>60000000</v>
      </c>
      <c r="GZ11" s="1">
        <f t="shared" si="31"/>
        <v>1</v>
      </c>
      <c r="HB11" s="40">
        <v>8</v>
      </c>
      <c r="HC11" s="39">
        <f t="shared" ref="HC11:HC20" si="79">($HC$8*HB11^2+$HD$8*HB11+$HE$8)*1000000</f>
        <v>24362800</v>
      </c>
      <c r="HD11" s="40">
        <v>3</v>
      </c>
      <c r="HE11" s="39">
        <f t="shared" ref="HE11:HE16" si="80">($HC$8*HD11^2+$HD$8*HD11+$HE$8)*1000000</f>
        <v>18612300</v>
      </c>
      <c r="HI11" s="16" t="s">
        <v>35</v>
      </c>
      <c r="HJ11" s="16">
        <v>44420</v>
      </c>
      <c r="HK11" s="15">
        <v>125405739.86013986</v>
      </c>
      <c r="HL11" s="14">
        <v>80000000</v>
      </c>
      <c r="HN11" s="14">
        <v>60000000</v>
      </c>
      <c r="HO11" s="1">
        <f t="shared" si="32"/>
        <v>8</v>
      </c>
      <c r="HQ11" s="40">
        <v>3</v>
      </c>
      <c r="HR11" s="39">
        <f t="shared" ref="HR11:HR20" si="81">($HR$8*HQ11^2+$HS$8*HQ11+$HT$8)*1000000</f>
        <v>16010400</v>
      </c>
      <c r="HS11" s="40">
        <v>4</v>
      </c>
      <c r="HT11" s="39">
        <f t="shared" ref="HT11:HT20" si="82">($HR$8*HS11^2+$HS$8*HS11+$HT$8)*1000000</f>
        <v>17393200</v>
      </c>
      <c r="HX11" s="40">
        <v>3</v>
      </c>
      <c r="HY11" s="39">
        <f t="shared" ref="HY11:HY20" si="83">($HY$8*HX11^2+$HZ$8*HX11+$IA$8)*1000000</f>
        <v>19308700</v>
      </c>
      <c r="HZ11" s="40">
        <v>4</v>
      </c>
      <c r="IA11" s="39">
        <f t="shared" ref="IA11:IA20" si="84">($HY$8*HZ11^2+$HZ$8*HZ11+$IA$8)*1000000</f>
        <v>20456600</v>
      </c>
      <c r="IE11" s="16" t="s">
        <v>37</v>
      </c>
      <c r="IF11" s="16">
        <v>44791</v>
      </c>
      <c r="IG11" s="15">
        <v>20023645.36333232</v>
      </c>
      <c r="IH11" s="14">
        <v>4000000</v>
      </c>
      <c r="IJ11" s="14">
        <v>50000000</v>
      </c>
      <c r="IK11" s="1">
        <f t="shared" si="33"/>
        <v>3</v>
      </c>
      <c r="IM11" s="40">
        <v>60</v>
      </c>
      <c r="IN11" s="39">
        <f t="shared" ref="IN11:IN25" si="85">($IN$8*IM11^2+$IO$8*IM11+$IP$8)*1000000</f>
        <v>110219000</v>
      </c>
      <c r="IO11" s="40">
        <v>210</v>
      </c>
      <c r="IP11" s="39">
        <f t="shared" ref="IP11:IP25" si="86">($IN$8*IO11^2+$IO$8*IO11+$IP$8)*1000000</f>
        <v>367829000</v>
      </c>
      <c r="IT11" s="111">
        <v>4</v>
      </c>
      <c r="IU11" s="39">
        <f t="shared" ref="IU11:IU40" si="87">($IU$8*IT11^2+$IV$8*IT11+$IW$8)*1000000</f>
        <v>21056400</v>
      </c>
      <c r="IV11" s="40">
        <v>210</v>
      </c>
      <c r="IW11" s="39">
        <f t="shared" ref="IW11:IW25" si="88">($IU$8*IV11^2+$IV$8*IV11+$IW$8)*1000000</f>
        <v>257050000</v>
      </c>
      <c r="JA11" s="16" t="s">
        <v>115</v>
      </c>
      <c r="JB11" s="16">
        <v>45155</v>
      </c>
      <c r="JC11" s="15">
        <v>30840203.334423013</v>
      </c>
      <c r="JD11" s="14">
        <v>12000000</v>
      </c>
      <c r="JF11" s="14">
        <v>50000000</v>
      </c>
      <c r="JG11" s="1">
        <f t="shared" si="49"/>
        <v>1</v>
      </c>
      <c r="JI11" s="40">
        <v>60</v>
      </c>
      <c r="JJ11" s="39">
        <f t="shared" ref="JJ11:JJ25" si="89">($IN$8*JI11^2+$IO$8*JI11+$IP$8)*1000000</f>
        <v>110219000</v>
      </c>
      <c r="JK11" s="40">
        <v>210</v>
      </c>
      <c r="JL11" s="39">
        <f t="shared" ref="JL11:JL25" si="90">($IN$8*JK11^2+$IO$8*JK11+$IP$8)*1000000</f>
        <v>367829000</v>
      </c>
      <c r="JP11" s="111">
        <v>4</v>
      </c>
      <c r="JQ11" s="39">
        <f t="shared" ref="JQ11:JQ40" si="91">($JQ$8*JP11^2+$JR$8*JP11+$JS$8)*1000000</f>
        <v>21004200</v>
      </c>
      <c r="JR11" s="69"/>
      <c r="JS11" s="123"/>
      <c r="JW11" s="16" t="s">
        <v>83</v>
      </c>
      <c r="JX11" s="16">
        <v>42964</v>
      </c>
      <c r="JY11" s="15">
        <v>13145000</v>
      </c>
      <c r="JZ11" s="14">
        <v>3000000</v>
      </c>
      <c r="KB11" s="14">
        <v>50000000</v>
      </c>
      <c r="KC11" s="1">
        <f t="shared" si="34"/>
        <v>1</v>
      </c>
      <c r="KE11" s="16" t="s">
        <v>82</v>
      </c>
      <c r="KF11" s="16">
        <v>43146</v>
      </c>
      <c r="KG11" s="15">
        <v>14281960</v>
      </c>
      <c r="KH11" s="14">
        <v>3000000</v>
      </c>
      <c r="KJ11" s="14">
        <v>20000000</v>
      </c>
      <c r="KK11" s="1">
        <f t="shared" si="35"/>
        <v>1</v>
      </c>
      <c r="KM11" s="16" t="s">
        <v>81</v>
      </c>
      <c r="KN11" s="16">
        <v>43328</v>
      </c>
      <c r="KO11" s="15">
        <v>168618912</v>
      </c>
      <c r="KP11" s="14">
        <v>100000000</v>
      </c>
      <c r="KR11" s="14">
        <v>40000000</v>
      </c>
      <c r="KS11" s="1">
        <f t="shared" si="36"/>
        <v>2</v>
      </c>
      <c r="KU11" s="16" t="s">
        <v>79</v>
      </c>
      <c r="KV11" s="16">
        <v>43510</v>
      </c>
      <c r="KW11" s="15">
        <v>32237898</v>
      </c>
      <c r="KX11" s="14">
        <v>20000000</v>
      </c>
      <c r="KZ11" s="14">
        <v>50000000</v>
      </c>
      <c r="LA11" s="1">
        <f t="shared" si="37"/>
        <v>1</v>
      </c>
      <c r="LC11" s="16" t="s">
        <v>78</v>
      </c>
      <c r="LD11" s="16">
        <v>43692</v>
      </c>
      <c r="LE11" s="15">
        <v>31541862</v>
      </c>
      <c r="LF11" s="14">
        <v>20000000</v>
      </c>
      <c r="LH11" s="14">
        <v>30000000</v>
      </c>
      <c r="LI11" s="1">
        <f t="shared" si="38"/>
        <v>1</v>
      </c>
      <c r="LK11" s="16" t="s">
        <v>77</v>
      </c>
      <c r="LL11" s="16">
        <v>43874</v>
      </c>
      <c r="LM11" s="15">
        <v>14306754</v>
      </c>
      <c r="LN11" s="14">
        <v>3000000</v>
      </c>
      <c r="LP11" s="14">
        <v>40000000</v>
      </c>
      <c r="LQ11" s="1">
        <f t="shared" si="39"/>
        <v>2</v>
      </c>
      <c r="LS11" s="16" t="s">
        <v>70</v>
      </c>
      <c r="LT11" s="16">
        <v>44056</v>
      </c>
      <c r="LU11" s="15">
        <v>26878566</v>
      </c>
      <c r="LV11" s="14">
        <v>8000000</v>
      </c>
      <c r="LX11" s="14">
        <v>80000000</v>
      </c>
      <c r="LY11" s="1">
        <f t="shared" si="40"/>
        <v>1</v>
      </c>
      <c r="MA11" s="16" t="s">
        <v>86</v>
      </c>
      <c r="MB11" s="16">
        <v>44245</v>
      </c>
      <c r="MC11" s="15">
        <v>78563760</v>
      </c>
      <c r="MD11" s="14">
        <v>50000000</v>
      </c>
      <c r="MF11" s="14">
        <v>80000000</v>
      </c>
      <c r="MG11" s="1">
        <f t="shared" si="41"/>
        <v>1</v>
      </c>
      <c r="MI11" s="16" t="s">
        <v>69</v>
      </c>
      <c r="MJ11" s="16">
        <v>44420</v>
      </c>
      <c r="MK11" s="15">
        <v>132260436</v>
      </c>
      <c r="ML11" s="14">
        <v>80000000</v>
      </c>
      <c r="MN11" s="14">
        <v>80000000</v>
      </c>
      <c r="MO11" s="1">
        <f t="shared" si="42"/>
        <v>2</v>
      </c>
      <c r="MQ11" s="16" t="s">
        <v>76</v>
      </c>
      <c r="MR11" s="16">
        <v>44609</v>
      </c>
      <c r="MS11" s="15">
        <v>116751360</v>
      </c>
      <c r="MT11" s="14">
        <v>80000000</v>
      </c>
      <c r="MV11" s="14">
        <v>80000000</v>
      </c>
      <c r="MW11" s="1">
        <f t="shared" si="43"/>
        <v>2</v>
      </c>
      <c r="MY11" s="16" t="s">
        <v>110</v>
      </c>
      <c r="MZ11" s="16">
        <v>42880</v>
      </c>
      <c r="NA11" s="15">
        <v>16170660</v>
      </c>
      <c r="NB11" s="14">
        <v>6000000</v>
      </c>
      <c r="ND11" s="14">
        <v>35000000</v>
      </c>
      <c r="NE11" s="1">
        <f t="shared" si="44"/>
        <v>1</v>
      </c>
      <c r="NF11" s="68"/>
      <c r="NG11" s="40">
        <v>60</v>
      </c>
      <c r="NH11" s="39">
        <f t="shared" ref="NH11:NH25" si="92">($NH$8*NG11^2+$NI$8*NG11+$NJ$8)*1000000</f>
        <v>79003999.999999985</v>
      </c>
      <c r="NI11" s="40">
        <v>210</v>
      </c>
      <c r="NJ11" s="39">
        <f t="shared" ref="NJ11:NJ25" si="93">($NH$8*NI11^2+$NI$8*NI11+$NJ$8)*1000000</f>
        <v>251218999.99999997</v>
      </c>
      <c r="NN11" s="16" t="s">
        <v>34</v>
      </c>
      <c r="NO11" s="16">
        <v>43251</v>
      </c>
      <c r="NP11" s="15">
        <v>46268706</v>
      </c>
      <c r="NQ11" s="14">
        <v>40000000</v>
      </c>
      <c r="NS11" s="14">
        <v>40000000</v>
      </c>
      <c r="NT11" s="1">
        <f t="shared" si="45"/>
        <v>4</v>
      </c>
      <c r="NV11" s="40">
        <v>60</v>
      </c>
      <c r="NW11" s="39">
        <f t="shared" ref="NW11:NW25" si="94">($NW$8*NV11^2+$NX$8*NV11+$NY$8)*1000000</f>
        <v>77213200</v>
      </c>
      <c r="NX11" s="40">
        <v>210</v>
      </c>
      <c r="NY11" s="39">
        <f t="shared" ref="NY11:NY25" si="95">($NW$8*NX11^2+$NX$8*NX11+$NY$8)*1000000</f>
        <v>258083199.99999997</v>
      </c>
      <c r="OB11" s="1"/>
    </row>
    <row r="12" spans="1:392" x14ac:dyDescent="0.2">
      <c r="B12" s="53">
        <v>35208</v>
      </c>
      <c r="C12" s="53">
        <v>40237</v>
      </c>
      <c r="D12" s="66">
        <v>0.6</v>
      </c>
      <c r="F12" s="5" t="s">
        <v>38</v>
      </c>
      <c r="G12" s="51">
        <f t="shared" si="52"/>
        <v>44013</v>
      </c>
      <c r="H12" s="51">
        <f t="shared" si="50"/>
        <v>44377</v>
      </c>
      <c r="I12" s="50">
        <f t="shared" si="51"/>
        <v>52</v>
      </c>
      <c r="K12" s="7">
        <v>8</v>
      </c>
      <c r="M12" s="5" t="str" cm="1">
        <f t="array" ref="M12">LOOKUP(2,1/($G$19:$G$35&lt;=$V12)/($H$19:$H$35&gt;=$V12),$F$19:$F$35)</f>
        <v>2H17</v>
      </c>
      <c r="N12" s="5" t="str" cm="1">
        <f t="array" ref="N12">LOOKUP(2,1/($G$8:$G$16&lt;=$V12)/($H$8:$H$16&gt;=$V12),$F$8:$F$16)</f>
        <v>FY17</v>
      </c>
      <c r="O12" s="5" t="str">
        <f>IFERROR(N12&amp;"-"&amp;COUNTIF($N$5:N12,N12),NA())</f>
        <v>FY17-8</v>
      </c>
      <c r="P12" s="5">
        <f>COUNTIF(V$5:V12,"&gt;="&amp;MAX($V:$V)-183)</f>
        <v>0</v>
      </c>
      <c r="Q12" s="5">
        <f>COUNTIF(V$5:V12,"&gt;="&amp;MAX($V:$V)-365)</f>
        <v>0</v>
      </c>
      <c r="R12" s="5" cm="1">
        <f t="array" ref="R12">LOOKUP(2,1/($G$46:$G$50&lt;=$V12)/($H$46:$H$50&gt;=$V12),$F$46:$F$50)</f>
        <v>0</v>
      </c>
      <c r="S12" s="5" cm="1">
        <f t="array" ref="S12">LOOKUP(2,1/($G$53:$G$56&lt;=$V12)/($H$53:$H$56&gt;=$V12),$F$53:$F$56)</f>
        <v>0</v>
      </c>
      <c r="T12" s="5" t="e">
        <f>IFERROR(IF($R12&gt;0,$R12&amp;"-"&amp;COUNTIF($R$5:$R12,$R12),NA()),NA())</f>
        <v>#N/A</v>
      </c>
      <c r="U12" s="5" t="e">
        <f>IFERROR(IF($S12&gt;0,$S12&amp;"-"&amp;COUNTIF($S$5:$S12,$S12),NA()),NA())</f>
        <v>#N/A</v>
      </c>
      <c r="V12" s="10">
        <v>42789</v>
      </c>
      <c r="W12" s="9">
        <v>17076608.531999309</v>
      </c>
      <c r="X12" s="9">
        <v>15865023.156653956</v>
      </c>
      <c r="Y12" s="8">
        <v>6000000</v>
      </c>
      <c r="AA12" s="48">
        <f t="shared" si="46"/>
        <v>8</v>
      </c>
      <c r="AB12" s="12">
        <f t="shared" si="0"/>
        <v>45337</v>
      </c>
      <c r="AC12" s="15">
        <f t="shared" si="1"/>
        <v>21269048.05491991</v>
      </c>
      <c r="AD12" s="14">
        <f t="shared" si="2"/>
        <v>4000000</v>
      </c>
      <c r="AF12" s="14">
        <v>80000000</v>
      </c>
      <c r="AG12" s="1">
        <f t="shared" si="3"/>
        <v>0</v>
      </c>
      <c r="AI12" s="40">
        <v>70</v>
      </c>
      <c r="AJ12" s="39">
        <f t="shared" si="53"/>
        <v>124059800.00000001</v>
      </c>
      <c r="AK12" s="40">
        <v>220</v>
      </c>
      <c r="AL12" s="39">
        <f t="shared" si="54"/>
        <v>373419800</v>
      </c>
      <c r="AP12" s="40">
        <v>70</v>
      </c>
      <c r="AQ12" s="39">
        <f t="shared" si="55"/>
        <v>96134999.999999985</v>
      </c>
      <c r="AR12" s="40">
        <v>220</v>
      </c>
      <c r="AS12" s="39">
        <f t="shared" si="56"/>
        <v>265919999.99999997</v>
      </c>
      <c r="AW12" s="48">
        <f t="shared" si="47"/>
        <v>8</v>
      </c>
      <c r="AX12" s="12">
        <f t="shared" si="4"/>
        <v>45155</v>
      </c>
      <c r="AY12" s="15">
        <f t="shared" si="5"/>
        <v>30840203.334423013</v>
      </c>
      <c r="AZ12" s="14">
        <f t="shared" si="48"/>
        <v>12000000</v>
      </c>
      <c r="BB12" s="14">
        <v>60000000</v>
      </c>
      <c r="BC12" s="1">
        <f t="shared" si="6"/>
        <v>3</v>
      </c>
      <c r="BD12" s="14">
        <f t="shared" si="7"/>
        <v>82659230.394827664</v>
      </c>
      <c r="BE12" s="14"/>
      <c r="BF12" s="14"/>
      <c r="BG12" s="14"/>
      <c r="BI12" s="40">
        <v>70</v>
      </c>
      <c r="BJ12" s="39">
        <f t="shared" si="57"/>
        <v>118959800</v>
      </c>
      <c r="BK12" s="40">
        <v>220</v>
      </c>
      <c r="BL12" s="39">
        <f t="shared" si="58"/>
        <v>356724799.99999994</v>
      </c>
      <c r="BP12" s="40">
        <v>12</v>
      </c>
      <c r="BQ12" s="39">
        <f>($BQ$8*BP12^2+$BR$8*BP12+$BS$8)*1000000</f>
        <v>29600400</v>
      </c>
      <c r="BR12" s="110">
        <v>0</v>
      </c>
      <c r="BS12" s="39">
        <f t="shared" si="60"/>
        <v>29600400</v>
      </c>
      <c r="BW12" s="48" t="str">
        <f t="shared" si="8"/>
        <v>N1-8</v>
      </c>
      <c r="BX12" s="12">
        <f t="shared" si="9"/>
        <v>44161</v>
      </c>
      <c r="BY12" s="15">
        <f t="shared" si="10"/>
        <v>40190379.81149286</v>
      </c>
      <c r="BZ12" s="14">
        <f t="shared" si="11"/>
        <v>20000000</v>
      </c>
      <c r="CB12" s="52" t="s">
        <v>42</v>
      </c>
      <c r="CC12" s="52" t="s">
        <v>41</v>
      </c>
      <c r="CE12" s="40">
        <v>20</v>
      </c>
      <c r="CF12" s="39">
        <f t="shared" si="61"/>
        <v>40582000</v>
      </c>
      <c r="CG12" s="40">
        <v>220</v>
      </c>
      <c r="CH12" s="39">
        <f t="shared" si="62"/>
        <v>295282000.00000006</v>
      </c>
      <c r="CL12" s="48" t="str">
        <f t="shared" si="12"/>
        <v>A1-8</v>
      </c>
      <c r="CM12" s="12">
        <f t="shared" si="13"/>
        <v>44273</v>
      </c>
      <c r="CN12" s="49">
        <f t="shared" si="14"/>
        <v>69997466.46397081</v>
      </c>
      <c r="CO12" s="49">
        <f t="shared" si="15"/>
        <v>50000000</v>
      </c>
      <c r="CQ12" s="55" t="s">
        <v>16</v>
      </c>
      <c r="CR12" s="54"/>
      <c r="CT12" s="40">
        <v>20</v>
      </c>
      <c r="CU12" s="39">
        <f t="shared" si="63"/>
        <v>36626000</v>
      </c>
      <c r="CV12" s="40">
        <v>220</v>
      </c>
      <c r="CW12" s="39">
        <f t="shared" si="64"/>
        <v>280246000</v>
      </c>
      <c r="DA12" s="48" t="str">
        <f t="shared" si="16"/>
        <v>N2-8</v>
      </c>
      <c r="DB12" s="12">
        <f t="shared" si="17"/>
        <v>44756</v>
      </c>
      <c r="DC12" s="15">
        <f t="shared" si="18"/>
        <v>27258635.451505017</v>
      </c>
      <c r="DD12" s="14">
        <f t="shared" si="19"/>
        <v>8000000</v>
      </c>
      <c r="DF12" s="55" t="s">
        <v>16</v>
      </c>
      <c r="DG12" s="54"/>
      <c r="DI12" s="40">
        <v>20</v>
      </c>
      <c r="DJ12" s="39">
        <f t="shared" si="65"/>
        <v>38807000</v>
      </c>
      <c r="DK12" s="40">
        <v>220</v>
      </c>
      <c r="DL12" s="39">
        <f t="shared" si="66"/>
        <v>248747000</v>
      </c>
      <c r="DP12" s="48" t="str">
        <f t="shared" si="20"/>
        <v>A2-8</v>
      </c>
      <c r="DQ12" s="12">
        <f t="shared" si="21"/>
        <v>44868</v>
      </c>
      <c r="DR12" s="15">
        <f t="shared" si="22"/>
        <v>27003392.885375496</v>
      </c>
      <c r="DS12" s="14">
        <f t="shared" si="23"/>
        <v>8000000</v>
      </c>
      <c r="DU12" s="14"/>
      <c r="DX12" s="40">
        <v>20</v>
      </c>
      <c r="DY12" s="39">
        <f t="shared" si="67"/>
        <v>36626000</v>
      </c>
      <c r="DZ12" s="40">
        <v>220</v>
      </c>
      <c r="EA12" s="39">
        <f t="shared" si="68"/>
        <v>280246000</v>
      </c>
      <c r="EE12" s="40">
        <v>20</v>
      </c>
      <c r="EF12" s="39">
        <f t="shared" si="69"/>
        <v>31041000</v>
      </c>
      <c r="EG12" s="40">
        <v>220</v>
      </c>
      <c r="EH12" s="39">
        <f t="shared" si="70"/>
        <v>189341000</v>
      </c>
      <c r="EL12" s="47" t="str">
        <f t="shared" si="25"/>
        <v>FY18-8</v>
      </c>
      <c r="EM12" s="16">
        <v>42971</v>
      </c>
      <c r="EN12" s="15">
        <v>16172577.45385544</v>
      </c>
      <c r="EO12" s="14">
        <f t="shared" si="26"/>
        <v>6000000</v>
      </c>
      <c r="EQ12" s="14">
        <v>25000000</v>
      </c>
      <c r="ER12" s="1">
        <f t="shared" si="27"/>
        <v>1</v>
      </c>
      <c r="ET12" s="40">
        <v>70</v>
      </c>
      <c r="EU12" s="39">
        <f t="shared" si="71"/>
        <v>84442200</v>
      </c>
      <c r="EV12" s="40">
        <v>220</v>
      </c>
      <c r="EW12" s="39">
        <f t="shared" si="72"/>
        <v>244327200</v>
      </c>
      <c r="FA12" s="16" t="s">
        <v>33</v>
      </c>
      <c r="FB12" s="16">
        <v>43335</v>
      </c>
      <c r="FC12" s="15">
        <v>14031852.256834073</v>
      </c>
      <c r="FD12" s="14">
        <v>3000000</v>
      </c>
      <c r="FF12" s="14">
        <v>50000000</v>
      </c>
      <c r="FG12" s="1">
        <f t="shared" si="28"/>
        <v>2</v>
      </c>
      <c r="FI12" s="40">
        <v>8</v>
      </c>
      <c r="FJ12" s="39">
        <f t="shared" si="73"/>
        <v>13219700.000000002</v>
      </c>
      <c r="FK12" s="40"/>
      <c r="FL12" s="39"/>
      <c r="FP12" s="40">
        <v>8</v>
      </c>
      <c r="FQ12" s="39">
        <f t="shared" si="74"/>
        <v>16152999.999999998</v>
      </c>
      <c r="FR12" s="40"/>
      <c r="FS12" s="39"/>
      <c r="FW12" s="16" t="s">
        <v>39</v>
      </c>
      <c r="FX12" s="16">
        <v>43699</v>
      </c>
      <c r="FY12" s="15">
        <v>39864962.683334358</v>
      </c>
      <c r="FZ12" s="14">
        <v>40000000</v>
      </c>
      <c r="GB12" s="14">
        <v>60000000</v>
      </c>
      <c r="GC12" s="1">
        <f t="shared" si="29"/>
        <v>4</v>
      </c>
      <c r="GD12" s="15">
        <f t="shared" si="30"/>
        <v>59722622.952883974</v>
      </c>
      <c r="GF12" s="40">
        <v>8</v>
      </c>
      <c r="GG12" s="39">
        <f t="shared" si="75"/>
        <v>18998600</v>
      </c>
      <c r="GH12" s="40">
        <v>8</v>
      </c>
      <c r="GI12" s="39">
        <f t="shared" si="76"/>
        <v>18998600</v>
      </c>
      <c r="GM12" s="40">
        <v>8</v>
      </c>
      <c r="GN12" s="39">
        <f t="shared" si="77"/>
        <v>21543000</v>
      </c>
      <c r="GO12" s="40">
        <v>8</v>
      </c>
      <c r="GP12" s="39">
        <f t="shared" si="78"/>
        <v>21543000</v>
      </c>
      <c r="GT12" s="16" t="s">
        <v>38</v>
      </c>
      <c r="GU12" s="16">
        <v>44063</v>
      </c>
      <c r="GV12" s="15">
        <v>18946345.758589238</v>
      </c>
      <c r="GW12" s="14">
        <v>3000000</v>
      </c>
      <c r="GY12" s="14">
        <v>80000000</v>
      </c>
      <c r="GZ12" s="1">
        <f t="shared" si="31"/>
        <v>2</v>
      </c>
      <c r="HB12" s="40">
        <v>20</v>
      </c>
      <c r="HC12" s="39">
        <f t="shared" si="79"/>
        <v>38164000</v>
      </c>
      <c r="HD12" s="40">
        <v>8</v>
      </c>
      <c r="HE12" s="39">
        <f t="shared" si="80"/>
        <v>24362800</v>
      </c>
      <c r="HI12" s="16" t="s">
        <v>35</v>
      </c>
      <c r="HJ12" s="16">
        <v>44427</v>
      </c>
      <c r="HK12" s="15">
        <v>20220383.581635755</v>
      </c>
      <c r="HL12" s="14">
        <v>3000000</v>
      </c>
      <c r="HN12" s="14">
        <v>80000000</v>
      </c>
      <c r="HO12" s="1">
        <f t="shared" si="32"/>
        <v>4</v>
      </c>
      <c r="HQ12" s="40">
        <v>8</v>
      </c>
      <c r="HR12" s="39">
        <f t="shared" si="81"/>
        <v>22924400</v>
      </c>
      <c r="HS12" s="40">
        <v>8</v>
      </c>
      <c r="HT12" s="39">
        <f t="shared" si="82"/>
        <v>22924400</v>
      </c>
      <c r="HX12" s="40">
        <v>8</v>
      </c>
      <c r="HY12" s="39">
        <f t="shared" si="83"/>
        <v>25048200</v>
      </c>
      <c r="HZ12" s="40">
        <v>8</v>
      </c>
      <c r="IA12" s="39">
        <f t="shared" si="84"/>
        <v>25048200</v>
      </c>
      <c r="IE12" s="16" t="s">
        <v>37</v>
      </c>
      <c r="IF12" s="16">
        <v>44798</v>
      </c>
      <c r="IG12" s="15">
        <v>25454583.399209488</v>
      </c>
      <c r="IH12" s="14">
        <v>8000000</v>
      </c>
      <c r="IJ12" s="14">
        <v>60000000</v>
      </c>
      <c r="IK12" s="1">
        <f t="shared" si="33"/>
        <v>1</v>
      </c>
      <c r="IM12" s="40">
        <v>70</v>
      </c>
      <c r="IN12" s="39">
        <f t="shared" si="85"/>
        <v>127393000</v>
      </c>
      <c r="IO12" s="40">
        <v>220</v>
      </c>
      <c r="IP12" s="39">
        <f t="shared" si="86"/>
        <v>385003000.00000006</v>
      </c>
      <c r="IT12" s="111">
        <v>5</v>
      </c>
      <c r="IU12" s="39">
        <f t="shared" si="87"/>
        <v>22202000</v>
      </c>
      <c r="IV12" s="40">
        <v>220</v>
      </c>
      <c r="IW12" s="39">
        <f t="shared" si="88"/>
        <v>268506000</v>
      </c>
      <c r="JA12" s="16" t="s">
        <v>115</v>
      </c>
      <c r="JB12" s="16">
        <v>45162</v>
      </c>
      <c r="JC12" s="15">
        <v>42995307.072027899</v>
      </c>
      <c r="JD12" s="14">
        <v>20000000</v>
      </c>
      <c r="JF12" s="14">
        <v>60000000</v>
      </c>
      <c r="JG12" s="1">
        <f t="shared" si="49"/>
        <v>3</v>
      </c>
      <c r="JI12" s="40">
        <v>70</v>
      </c>
      <c r="JJ12" s="39">
        <f t="shared" si="89"/>
        <v>127393000</v>
      </c>
      <c r="JK12" s="40">
        <v>220</v>
      </c>
      <c r="JL12" s="39">
        <f t="shared" si="90"/>
        <v>385003000.00000006</v>
      </c>
      <c r="JP12" s="111">
        <v>5</v>
      </c>
      <c r="JQ12" s="39">
        <f t="shared" si="91"/>
        <v>22049500.000000004</v>
      </c>
      <c r="JR12" s="69"/>
      <c r="JS12" s="69"/>
      <c r="JW12" s="16" t="s">
        <v>83</v>
      </c>
      <c r="JX12" s="16">
        <v>42971</v>
      </c>
      <c r="JY12" s="15">
        <v>16120500</v>
      </c>
      <c r="JZ12" s="14">
        <v>6000000</v>
      </c>
      <c r="KC12" s="1">
        <f>SUM(KC5:KC11)</f>
        <v>26</v>
      </c>
      <c r="KE12" s="16" t="s">
        <v>82</v>
      </c>
      <c r="KF12" s="16">
        <v>43153</v>
      </c>
      <c r="KG12" s="15">
        <v>17130740</v>
      </c>
      <c r="KH12" s="14">
        <v>6000000</v>
      </c>
      <c r="KJ12" s="14">
        <v>30000000</v>
      </c>
      <c r="KK12" s="1">
        <f t="shared" si="35"/>
        <v>2</v>
      </c>
      <c r="KM12" s="16" t="s">
        <v>81</v>
      </c>
      <c r="KN12" s="16">
        <v>43335</v>
      </c>
      <c r="KO12" s="15">
        <v>14740044</v>
      </c>
      <c r="KP12" s="14">
        <v>3000000</v>
      </c>
      <c r="KR12" s="14">
        <v>50000000</v>
      </c>
      <c r="KS12" s="1">
        <f t="shared" si="36"/>
        <v>1</v>
      </c>
      <c r="KU12" s="16" t="s">
        <v>79</v>
      </c>
      <c r="KV12" s="16">
        <v>43517</v>
      </c>
      <c r="KW12" s="15">
        <v>39329268</v>
      </c>
      <c r="KX12" s="14">
        <v>30000000</v>
      </c>
      <c r="KZ12" s="14">
        <v>80000000</v>
      </c>
      <c r="LA12" s="1">
        <f t="shared" si="37"/>
        <v>1</v>
      </c>
      <c r="LC12" s="16" t="s">
        <v>78</v>
      </c>
      <c r="LD12" s="16">
        <v>43699</v>
      </c>
      <c r="LE12" s="15">
        <v>41150472</v>
      </c>
      <c r="LF12" s="14">
        <v>40000000</v>
      </c>
      <c r="LH12" s="14">
        <v>40000000</v>
      </c>
      <c r="LI12" s="1">
        <f t="shared" si="38"/>
        <v>2</v>
      </c>
      <c r="LK12" s="16" t="s">
        <v>77</v>
      </c>
      <c r="LL12" s="16">
        <v>43881</v>
      </c>
      <c r="LM12" s="15">
        <v>21567018</v>
      </c>
      <c r="LN12" s="14">
        <v>8000000</v>
      </c>
      <c r="LP12" s="14">
        <v>60000000</v>
      </c>
      <c r="LQ12" s="1">
        <f t="shared" si="39"/>
        <v>2</v>
      </c>
      <c r="LS12" s="16" t="s">
        <v>70</v>
      </c>
      <c r="LT12" s="16">
        <v>44063</v>
      </c>
      <c r="LU12" s="15">
        <v>18147492</v>
      </c>
      <c r="LV12" s="14">
        <v>3000000</v>
      </c>
      <c r="LY12" s="1">
        <f>SUM(LY5:LY11)</f>
        <v>27</v>
      </c>
      <c r="MA12" s="16" t="s">
        <v>86</v>
      </c>
      <c r="MB12" s="16">
        <v>44252</v>
      </c>
      <c r="MC12" s="15">
        <v>23798214</v>
      </c>
      <c r="MD12" s="14">
        <v>8000000</v>
      </c>
      <c r="MG12" s="1">
        <f>SUM(MG5:MG11)</f>
        <v>25</v>
      </c>
      <c r="MI12" s="16" t="s">
        <v>69</v>
      </c>
      <c r="MJ12" s="16">
        <v>44427</v>
      </c>
      <c r="MK12" s="15">
        <v>21131154</v>
      </c>
      <c r="ML12" s="14">
        <v>3000000</v>
      </c>
      <c r="MO12" s="1">
        <f>SUM(MO5:MO11)</f>
        <v>27</v>
      </c>
      <c r="MQ12" s="16" t="s">
        <v>76</v>
      </c>
      <c r="MR12" s="16">
        <v>44616</v>
      </c>
      <c r="MS12" s="15">
        <v>248544846</v>
      </c>
      <c r="MT12" s="14">
        <v>120000000</v>
      </c>
      <c r="MV12" s="14">
        <v>120000000</v>
      </c>
      <c r="MW12" s="1">
        <f t="shared" si="43"/>
        <v>1</v>
      </c>
      <c r="MY12" s="16" t="s">
        <v>110</v>
      </c>
      <c r="MZ12" s="16">
        <v>42887</v>
      </c>
      <c r="NA12" s="15">
        <v>23254440</v>
      </c>
      <c r="NB12" s="14">
        <v>10000000</v>
      </c>
      <c r="ND12" s="14">
        <v>40000000</v>
      </c>
      <c r="NE12" s="1">
        <f t="shared" si="44"/>
        <v>1</v>
      </c>
      <c r="NG12" s="40">
        <v>70</v>
      </c>
      <c r="NH12" s="39">
        <f t="shared" si="92"/>
        <v>90484999.999999985</v>
      </c>
      <c r="NI12" s="40">
        <v>220</v>
      </c>
      <c r="NJ12" s="39">
        <f t="shared" si="93"/>
        <v>262700000</v>
      </c>
      <c r="NN12" s="16" t="s">
        <v>34</v>
      </c>
      <c r="NO12" s="16">
        <v>43258</v>
      </c>
      <c r="NP12" s="15">
        <v>56733600</v>
      </c>
      <c r="NQ12" s="14">
        <v>50000000</v>
      </c>
      <c r="NS12" s="14">
        <v>50000000</v>
      </c>
      <c r="NT12" s="1">
        <f t="shared" si="45"/>
        <v>3</v>
      </c>
      <c r="NV12" s="40">
        <v>70</v>
      </c>
      <c r="NW12" s="39">
        <f t="shared" si="94"/>
        <v>89271200</v>
      </c>
      <c r="NX12" s="40">
        <v>220</v>
      </c>
      <c r="NY12" s="39">
        <f t="shared" si="95"/>
        <v>270141200</v>
      </c>
      <c r="OB12" s="1"/>
    </row>
    <row r="13" spans="1:392" x14ac:dyDescent="0.2">
      <c r="B13" s="53">
        <v>40238</v>
      </c>
      <c r="C13" s="53">
        <v>40694</v>
      </c>
      <c r="D13" s="66">
        <v>0.65</v>
      </c>
      <c r="F13" s="5" t="s">
        <v>35</v>
      </c>
      <c r="G13" s="51">
        <f t="shared" si="52"/>
        <v>44378</v>
      </c>
      <c r="H13" s="51">
        <f t="shared" si="50"/>
        <v>44742</v>
      </c>
      <c r="I13" s="50">
        <f t="shared" si="51"/>
        <v>53</v>
      </c>
      <c r="K13" s="7">
        <v>9</v>
      </c>
      <c r="M13" s="5" t="str" cm="1">
        <f t="array" ref="M13">LOOKUP(2,1/($G$19:$G$35&lt;=$V13)/($H$19:$H$35&gt;=$V13),$F$19:$F$35)</f>
        <v>2H17</v>
      </c>
      <c r="N13" s="5" t="str" cm="1">
        <f t="array" ref="N13">LOOKUP(2,1/($G$8:$G$16&lt;=$V13)/($H$8:$H$16&gt;=$V13),$F$8:$F$16)</f>
        <v>FY17</v>
      </c>
      <c r="O13" s="5" t="str">
        <f>IFERROR(N13&amp;"-"&amp;COUNTIF($N$5:N13,N13),NA())</f>
        <v>FY17-9</v>
      </c>
      <c r="P13" s="5">
        <f>COUNTIF(V$5:V13,"&gt;="&amp;MAX($V:$V)-183)</f>
        <v>0</v>
      </c>
      <c r="Q13" s="5">
        <f>COUNTIF(V$5:V13,"&gt;="&amp;MAX($V:$V)-365)</f>
        <v>0</v>
      </c>
      <c r="R13" s="5" cm="1">
        <f t="array" ref="R13">LOOKUP(2,1/($G$46:$G$50&lt;=$V13)/($H$46:$H$50&gt;=$V13),$F$46:$F$50)</f>
        <v>0</v>
      </c>
      <c r="S13" s="5" cm="1">
        <f t="array" ref="S13">LOOKUP(2,1/($G$53:$G$56&lt;=$V13)/($H$53:$H$56&gt;=$V13),$F$53:$F$56)</f>
        <v>0</v>
      </c>
      <c r="T13" s="5" t="e">
        <f>IFERROR(IF($R13&gt;0,$R13&amp;"-"&amp;COUNTIF($R$5:$R13,$R13),NA()),NA())</f>
        <v>#N/A</v>
      </c>
      <c r="U13" s="5" t="e">
        <f>IFERROR(IF($S13&gt;0,$S13&amp;"-"&amp;COUNTIF($S$5:$S13,$S13),NA()),NA())</f>
        <v>#N/A</v>
      </c>
      <c r="V13" s="10">
        <v>42796</v>
      </c>
      <c r="W13" s="9">
        <v>23325921.999309987</v>
      </c>
      <c r="X13" s="9">
        <v>21670947.833458941</v>
      </c>
      <c r="Y13" s="8">
        <v>10000000</v>
      </c>
      <c r="AA13" s="48">
        <f t="shared" si="46"/>
        <v>9</v>
      </c>
      <c r="AB13" s="12">
        <f t="shared" si="0"/>
        <v>45344</v>
      </c>
      <c r="AC13" s="15">
        <f t="shared" si="1"/>
        <v>20955573.934837092</v>
      </c>
      <c r="AD13" s="14">
        <f t="shared" si="2"/>
        <v>4000000</v>
      </c>
      <c r="AF13" s="14">
        <v>100000000</v>
      </c>
      <c r="AG13" s="1">
        <f t="shared" si="3"/>
        <v>2</v>
      </c>
      <c r="AI13" s="40">
        <v>80</v>
      </c>
      <c r="AJ13" s="39">
        <f t="shared" si="53"/>
        <v>140683800.00000003</v>
      </c>
      <c r="AK13" s="40">
        <v>230</v>
      </c>
      <c r="AL13" s="39">
        <f t="shared" si="54"/>
        <v>390043800.00000006</v>
      </c>
      <c r="AP13" s="40">
        <v>80</v>
      </c>
      <c r="AQ13" s="39">
        <f t="shared" si="55"/>
        <v>107454000</v>
      </c>
      <c r="AR13" s="40">
        <v>230</v>
      </c>
      <c r="AS13" s="39">
        <f t="shared" si="56"/>
        <v>277239000</v>
      </c>
      <c r="AW13" s="48">
        <f t="shared" si="47"/>
        <v>9</v>
      </c>
      <c r="AX13" s="12">
        <f t="shared" si="4"/>
        <v>45162</v>
      </c>
      <c r="AY13" s="15">
        <f t="shared" si="5"/>
        <v>42995307.072027899</v>
      </c>
      <c r="AZ13" s="14">
        <f t="shared" si="48"/>
        <v>20000000</v>
      </c>
      <c r="BB13" s="14">
        <v>80000000</v>
      </c>
      <c r="BC13" s="1">
        <f t="shared" si="6"/>
        <v>0</v>
      </c>
      <c r="BD13" s="14" t="e">
        <f t="shared" si="7"/>
        <v>#DIV/0!</v>
      </c>
      <c r="BE13" s="14"/>
      <c r="BF13" s="14"/>
      <c r="BG13" s="14"/>
      <c r="BI13" s="40">
        <v>80</v>
      </c>
      <c r="BJ13" s="39">
        <f t="shared" si="57"/>
        <v>134810800</v>
      </c>
      <c r="BK13" s="40">
        <v>230</v>
      </c>
      <c r="BL13" s="39">
        <f t="shared" si="58"/>
        <v>372575799.99999994</v>
      </c>
      <c r="BP13" s="40">
        <v>20</v>
      </c>
      <c r="BQ13" s="39">
        <f t="shared" si="59"/>
        <v>38290000</v>
      </c>
      <c r="BR13" s="110">
        <v>0</v>
      </c>
      <c r="BS13" s="39">
        <f t="shared" si="60"/>
        <v>38290000</v>
      </c>
      <c r="BW13" s="48" t="str">
        <f t="shared" si="8"/>
        <v>N1-9</v>
      </c>
      <c r="BX13" s="12">
        <f t="shared" si="9"/>
        <v>44168</v>
      </c>
      <c r="BY13" s="15">
        <f t="shared" si="10"/>
        <v>17815226.512617815</v>
      </c>
      <c r="BZ13" s="14">
        <f t="shared" si="11"/>
        <v>3000000</v>
      </c>
      <c r="CB13" s="1">
        <v>1</v>
      </c>
      <c r="CC13" s="1">
        <v>3</v>
      </c>
      <c r="CE13" s="40">
        <v>30</v>
      </c>
      <c r="CF13" s="39">
        <f t="shared" si="61"/>
        <v>53317000.000000007</v>
      </c>
      <c r="CG13" s="40">
        <v>230</v>
      </c>
      <c r="CH13" s="39">
        <f t="shared" si="62"/>
        <v>308017000.00000006</v>
      </c>
      <c r="CL13" s="48" t="str">
        <f t="shared" si="12"/>
        <v>A1-9</v>
      </c>
      <c r="CM13" s="12">
        <f t="shared" si="13"/>
        <v>44280</v>
      </c>
      <c r="CN13" s="49">
        <f t="shared" si="14"/>
        <v>23504738.218303431</v>
      </c>
      <c r="CO13" s="49">
        <f t="shared" si="15"/>
        <v>8000000</v>
      </c>
      <c r="CQ13" s="52" t="s">
        <v>42</v>
      </c>
      <c r="CR13" s="52" t="s">
        <v>41</v>
      </c>
      <c r="CT13" s="40">
        <v>30</v>
      </c>
      <c r="CU13" s="39">
        <f t="shared" si="63"/>
        <v>48807000</v>
      </c>
      <c r="CV13" s="40">
        <v>230</v>
      </c>
      <c r="CW13" s="39">
        <f t="shared" si="64"/>
        <v>292427000</v>
      </c>
      <c r="DA13" s="48" t="str">
        <f t="shared" si="16"/>
        <v>N2-9</v>
      </c>
      <c r="DB13" s="12">
        <f t="shared" si="17"/>
        <v>44763</v>
      </c>
      <c r="DC13" s="15">
        <f t="shared" si="18"/>
        <v>20968405.71602311</v>
      </c>
      <c r="DD13" s="14">
        <f t="shared" si="19"/>
        <v>4000000</v>
      </c>
      <c r="DF13" s="52" t="s">
        <v>42</v>
      </c>
      <c r="DG13" s="52" t="s">
        <v>41</v>
      </c>
      <c r="DI13" s="40">
        <v>30</v>
      </c>
      <c r="DJ13" s="39">
        <f t="shared" si="65"/>
        <v>49304000</v>
      </c>
      <c r="DK13" s="40">
        <v>230</v>
      </c>
      <c r="DL13" s="39">
        <f t="shared" si="66"/>
        <v>259244000.00000003</v>
      </c>
      <c r="DP13" s="48" t="str">
        <f t="shared" si="20"/>
        <v>A2-9</v>
      </c>
      <c r="DQ13" s="12">
        <f t="shared" si="21"/>
        <v>44875</v>
      </c>
      <c r="DR13" s="15">
        <f t="shared" si="22"/>
        <v>44321005.290361807</v>
      </c>
      <c r="DS13" s="14">
        <f t="shared" si="23"/>
        <v>20000000</v>
      </c>
      <c r="DU13" s="55" t="s">
        <v>16</v>
      </c>
      <c r="DV13" s="54"/>
      <c r="DX13" s="40">
        <v>30</v>
      </c>
      <c r="DY13" s="39">
        <f t="shared" si="67"/>
        <v>48807000</v>
      </c>
      <c r="DZ13" s="40">
        <v>230</v>
      </c>
      <c r="EA13" s="39">
        <f t="shared" si="68"/>
        <v>292427000</v>
      </c>
      <c r="EE13" s="40">
        <v>30</v>
      </c>
      <c r="EF13" s="39">
        <f t="shared" si="69"/>
        <v>38956000</v>
      </c>
      <c r="EG13" s="40">
        <v>230</v>
      </c>
      <c r="EH13" s="39">
        <f t="shared" si="70"/>
        <v>197256000</v>
      </c>
      <c r="EL13" s="47" t="str">
        <f t="shared" si="25"/>
        <v>FY18-9</v>
      </c>
      <c r="EM13" s="16">
        <v>42978</v>
      </c>
      <c r="EN13" s="15">
        <v>18730835.321718127</v>
      </c>
      <c r="EO13" s="14">
        <f t="shared" si="26"/>
        <v>10000000</v>
      </c>
      <c r="EQ13" s="14">
        <v>30000000</v>
      </c>
      <c r="ER13" s="1">
        <f t="shared" si="27"/>
        <v>3</v>
      </c>
      <c r="ET13" s="40">
        <v>80</v>
      </c>
      <c r="EU13" s="39">
        <f t="shared" si="71"/>
        <v>95101200</v>
      </c>
      <c r="EV13" s="40">
        <v>230</v>
      </c>
      <c r="EW13" s="39">
        <f t="shared" si="72"/>
        <v>254986200</v>
      </c>
      <c r="FA13" s="16" t="s">
        <v>33</v>
      </c>
      <c r="FB13" s="16">
        <v>43342</v>
      </c>
      <c r="FC13" s="15">
        <v>16733295.359186264</v>
      </c>
      <c r="FD13" s="14">
        <v>8000000</v>
      </c>
      <c r="FF13" s="14">
        <v>60000000</v>
      </c>
      <c r="FG13" s="1">
        <f t="shared" si="28"/>
        <v>1</v>
      </c>
      <c r="FI13" s="40">
        <v>12</v>
      </c>
      <c r="FJ13" s="39">
        <f t="shared" si="73"/>
        <v>18555300.000000004</v>
      </c>
      <c r="FK13" s="40"/>
      <c r="FL13" s="39"/>
      <c r="FP13" s="40">
        <v>12</v>
      </c>
      <c r="FQ13" s="39">
        <f t="shared" si="74"/>
        <v>20169800.000000004</v>
      </c>
      <c r="FR13" s="40"/>
      <c r="FS13" s="39"/>
      <c r="FW13" s="16" t="s">
        <v>39</v>
      </c>
      <c r="FX13" s="16">
        <v>43706</v>
      </c>
      <c r="FY13" s="15">
        <v>55027958.16572807</v>
      </c>
      <c r="FZ13" s="14">
        <v>60000000</v>
      </c>
      <c r="GB13" s="14">
        <v>80000000</v>
      </c>
      <c r="GC13" s="1">
        <f t="shared" si="29"/>
        <v>3</v>
      </c>
      <c r="GD13" s="15">
        <f t="shared" si="30"/>
        <v>79647915.582378373</v>
      </c>
      <c r="GF13" s="40">
        <v>12</v>
      </c>
      <c r="GG13" s="39">
        <f t="shared" si="75"/>
        <v>23365400</v>
      </c>
      <c r="GH13" s="40">
        <v>12</v>
      </c>
      <c r="GI13" s="39">
        <f t="shared" si="76"/>
        <v>23365400</v>
      </c>
      <c r="GM13" s="40">
        <v>12</v>
      </c>
      <c r="GN13" s="39">
        <f t="shared" si="77"/>
        <v>24709000</v>
      </c>
      <c r="GO13" s="40">
        <v>12</v>
      </c>
      <c r="GP13" s="39">
        <f t="shared" si="78"/>
        <v>24709000</v>
      </c>
      <c r="GT13" s="16" t="s">
        <v>38</v>
      </c>
      <c r="GU13" s="16">
        <v>44070</v>
      </c>
      <c r="GV13" s="15">
        <v>26767640.01216175</v>
      </c>
      <c r="GW13" s="14">
        <v>8000000</v>
      </c>
      <c r="GY13" s="14" t="s">
        <v>107</v>
      </c>
      <c r="GZ13" s="1">
        <f>SUM(GZ4:GZ12)</f>
        <v>52</v>
      </c>
      <c r="HB13" s="40">
        <v>30</v>
      </c>
      <c r="HC13" s="39">
        <f t="shared" si="79"/>
        <v>49665000</v>
      </c>
      <c r="HD13" s="40">
        <v>20</v>
      </c>
      <c r="HE13" s="39">
        <f t="shared" si="80"/>
        <v>38164000</v>
      </c>
      <c r="HI13" s="16" t="s">
        <v>35</v>
      </c>
      <c r="HJ13" s="16">
        <v>44434</v>
      </c>
      <c r="HK13" s="15">
        <v>29212562.35937975</v>
      </c>
      <c r="HL13" s="14">
        <v>8000000</v>
      </c>
      <c r="HN13" s="14">
        <v>120000000</v>
      </c>
      <c r="HO13" s="1">
        <f t="shared" si="32"/>
        <v>1</v>
      </c>
      <c r="HQ13" s="40">
        <v>20</v>
      </c>
      <c r="HR13" s="39">
        <f t="shared" si="81"/>
        <v>39518000</v>
      </c>
      <c r="HS13" s="40">
        <v>20</v>
      </c>
      <c r="HT13" s="39">
        <f t="shared" si="82"/>
        <v>39518000</v>
      </c>
      <c r="HX13" s="40">
        <v>20</v>
      </c>
      <c r="HY13" s="39">
        <f t="shared" si="83"/>
        <v>38823000</v>
      </c>
      <c r="HZ13" s="40">
        <v>20</v>
      </c>
      <c r="IA13" s="39">
        <f t="shared" si="84"/>
        <v>38823000</v>
      </c>
      <c r="IE13" s="16" t="s">
        <v>37</v>
      </c>
      <c r="IF13" s="16">
        <v>44805</v>
      </c>
      <c r="IG13" s="15">
        <v>39743730.009121314</v>
      </c>
      <c r="IH13" s="14">
        <v>20000000</v>
      </c>
      <c r="IJ13" s="14">
        <v>100000000</v>
      </c>
      <c r="IK13" s="1">
        <f t="shared" si="33"/>
        <v>3</v>
      </c>
      <c r="IM13" s="40">
        <v>80</v>
      </c>
      <c r="IN13" s="39">
        <f t="shared" si="85"/>
        <v>144567000</v>
      </c>
      <c r="IO13" s="40">
        <v>230</v>
      </c>
      <c r="IP13" s="39">
        <f t="shared" si="86"/>
        <v>402177000</v>
      </c>
      <c r="IT13" s="111">
        <v>6</v>
      </c>
      <c r="IU13" s="39">
        <f t="shared" si="87"/>
        <v>23347600</v>
      </c>
      <c r="IV13" s="40">
        <v>230</v>
      </c>
      <c r="IW13" s="39">
        <f t="shared" si="88"/>
        <v>279962000</v>
      </c>
      <c r="JA13" s="16" t="s">
        <v>115</v>
      </c>
      <c r="JB13" s="16">
        <v>45169</v>
      </c>
      <c r="JC13" s="15">
        <v>59703342.595619485</v>
      </c>
      <c r="JD13" s="14">
        <v>40000000</v>
      </c>
      <c r="JF13" s="14">
        <v>100000000</v>
      </c>
      <c r="JG13" s="1">
        <f t="shared" si="49"/>
        <v>3</v>
      </c>
      <c r="JI13" s="40">
        <v>80</v>
      </c>
      <c r="JJ13" s="39">
        <f t="shared" si="89"/>
        <v>144567000</v>
      </c>
      <c r="JK13" s="40">
        <v>230</v>
      </c>
      <c r="JL13" s="39">
        <f t="shared" si="90"/>
        <v>402177000</v>
      </c>
      <c r="JP13" s="111">
        <v>6</v>
      </c>
      <c r="JQ13" s="39">
        <f t="shared" si="91"/>
        <v>23094800</v>
      </c>
      <c r="JR13" s="69"/>
      <c r="JS13" s="69"/>
      <c r="JW13" s="16" t="s">
        <v>83</v>
      </c>
      <c r="JX13" s="16">
        <v>42978</v>
      </c>
      <c r="JY13" s="15">
        <v>18670520</v>
      </c>
      <c r="JZ13" s="14">
        <v>10000000</v>
      </c>
      <c r="KE13" s="16" t="s">
        <v>82</v>
      </c>
      <c r="KF13" s="16">
        <v>43160</v>
      </c>
      <c r="KG13" s="15">
        <v>21616100</v>
      </c>
      <c r="KH13" s="14">
        <v>10000000</v>
      </c>
      <c r="KJ13" s="14">
        <v>35000000</v>
      </c>
      <c r="KK13" s="1">
        <f t="shared" si="35"/>
        <v>1</v>
      </c>
      <c r="KM13" s="16" t="s">
        <v>81</v>
      </c>
      <c r="KN13" s="16">
        <v>43342</v>
      </c>
      <c r="KO13" s="15">
        <v>17328102</v>
      </c>
      <c r="KP13" s="14">
        <v>8000000</v>
      </c>
      <c r="KR13" s="14">
        <v>60000000</v>
      </c>
      <c r="KS13" s="1">
        <f t="shared" si="36"/>
        <v>1</v>
      </c>
      <c r="KU13" s="16" t="s">
        <v>79</v>
      </c>
      <c r="KV13" s="16">
        <v>43524</v>
      </c>
      <c r="KW13" s="15">
        <v>45325170</v>
      </c>
      <c r="KX13" s="14">
        <v>40000000</v>
      </c>
      <c r="KZ13" s="14">
        <v>100000000</v>
      </c>
      <c r="LA13" s="1">
        <f t="shared" si="37"/>
        <v>1</v>
      </c>
      <c r="LC13" s="16" t="s">
        <v>78</v>
      </c>
      <c r="LD13" s="16">
        <v>43706</v>
      </c>
      <c r="LE13" s="15">
        <v>56344926</v>
      </c>
      <c r="LF13" s="14">
        <v>60000000</v>
      </c>
      <c r="LH13" s="14">
        <v>60000000</v>
      </c>
      <c r="LI13" s="1">
        <f t="shared" si="38"/>
        <v>2</v>
      </c>
      <c r="LK13" s="16" t="s">
        <v>77</v>
      </c>
      <c r="LL13" s="16">
        <v>43888</v>
      </c>
      <c r="LM13" s="15">
        <v>27308490</v>
      </c>
      <c r="LN13" s="14">
        <v>12000000</v>
      </c>
      <c r="LP13" s="14">
        <v>80000000</v>
      </c>
      <c r="LQ13" s="1">
        <f t="shared" si="39"/>
        <v>1</v>
      </c>
      <c r="LS13" s="16" t="s">
        <v>70</v>
      </c>
      <c r="LT13" s="16">
        <v>44070</v>
      </c>
      <c r="LU13" s="15">
        <v>27339840</v>
      </c>
      <c r="LV13" s="14">
        <v>8000000</v>
      </c>
      <c r="MA13" s="16" t="s">
        <v>86</v>
      </c>
      <c r="MB13" s="16">
        <v>44259</v>
      </c>
      <c r="MC13" s="15">
        <v>37335606</v>
      </c>
      <c r="MD13" s="14">
        <v>20000000</v>
      </c>
      <c r="MI13" s="16" t="s">
        <v>69</v>
      </c>
      <c r="MJ13" s="16">
        <v>44434</v>
      </c>
      <c r="MK13" s="15">
        <v>29259912</v>
      </c>
      <c r="ML13" s="14">
        <v>8000000</v>
      </c>
      <c r="MQ13" s="16" t="s">
        <v>76</v>
      </c>
      <c r="MR13" s="16">
        <v>44623</v>
      </c>
      <c r="MS13" s="15">
        <v>20028162</v>
      </c>
      <c r="MT13" s="14">
        <v>3000000</v>
      </c>
      <c r="MW13" s="1">
        <f>SUM(MW5:MW12)</f>
        <v>26</v>
      </c>
      <c r="MY13" s="16" t="s">
        <v>110</v>
      </c>
      <c r="MZ13" s="16">
        <v>42894</v>
      </c>
      <c r="NA13" s="15">
        <v>30271340</v>
      </c>
      <c r="NB13" s="14">
        <v>15000000</v>
      </c>
      <c r="ND13" s="14">
        <v>50000000</v>
      </c>
      <c r="NE13" s="1">
        <f t="shared" si="44"/>
        <v>2</v>
      </c>
      <c r="NG13" s="40">
        <v>80</v>
      </c>
      <c r="NH13" s="39">
        <f t="shared" si="92"/>
        <v>101965999.99999999</v>
      </c>
      <c r="NI13" s="40">
        <v>230</v>
      </c>
      <c r="NJ13" s="39">
        <f t="shared" si="93"/>
        <v>274181000</v>
      </c>
      <c r="NN13" s="16" t="s">
        <v>34</v>
      </c>
      <c r="NO13" s="16">
        <v>43265</v>
      </c>
      <c r="NP13" s="15">
        <v>11832018</v>
      </c>
      <c r="NQ13" s="14">
        <v>3000000</v>
      </c>
      <c r="NS13" s="14">
        <v>60000000</v>
      </c>
      <c r="NT13" s="1">
        <f t="shared" si="45"/>
        <v>1</v>
      </c>
      <c r="NV13" s="40">
        <v>80</v>
      </c>
      <c r="NW13" s="39">
        <f t="shared" si="94"/>
        <v>101329200</v>
      </c>
      <c r="NX13" s="40">
        <v>230</v>
      </c>
      <c r="NY13" s="39">
        <f t="shared" si="95"/>
        <v>282199200</v>
      </c>
      <c r="OB13" s="1"/>
    </row>
    <row r="14" spans="1:392" x14ac:dyDescent="0.2">
      <c r="B14" s="53">
        <v>40695</v>
      </c>
      <c r="C14" s="53">
        <v>41339</v>
      </c>
      <c r="D14" s="66">
        <v>0.75</v>
      </c>
      <c r="F14" s="5" t="s">
        <v>37</v>
      </c>
      <c r="G14" s="51">
        <f t="shared" si="52"/>
        <v>44743</v>
      </c>
      <c r="H14" s="51">
        <f t="shared" si="50"/>
        <v>45107</v>
      </c>
      <c r="I14" s="50">
        <f t="shared" si="51"/>
        <v>52</v>
      </c>
      <c r="K14" s="7">
        <v>10</v>
      </c>
      <c r="M14" s="5" t="str" cm="1">
        <f t="array" ref="M14">LOOKUP(2,1/($G$19:$G$35&lt;=$V14)/($H$19:$H$35&gt;=$V14),$F$19:$F$35)</f>
        <v>2H17</v>
      </c>
      <c r="N14" s="5" t="str" cm="1">
        <f t="array" ref="N14">LOOKUP(2,1/($G$8:$G$16&lt;=$V14)/($H$8:$H$16&gt;=$V14),$F$8:$F$16)</f>
        <v>FY17</v>
      </c>
      <c r="O14" s="5" t="str">
        <f>IFERROR(N14&amp;"-"&amp;COUNTIF($N$5:N14,N14),NA())</f>
        <v>FY17-10</v>
      </c>
      <c r="P14" s="5">
        <f>COUNTIF(V$5:V14,"&gt;="&amp;MAX($V:$V)-183)</f>
        <v>0</v>
      </c>
      <c r="Q14" s="5">
        <f>COUNTIF(V$5:V14,"&gt;="&amp;MAX($V:$V)-365)</f>
        <v>0</v>
      </c>
      <c r="R14" s="5" cm="1">
        <f t="array" ref="R14">LOOKUP(2,1/($G$46:$G$50&lt;=$V14)/($H$46:$H$50&gt;=$V14),$F$46:$F$50)</f>
        <v>0</v>
      </c>
      <c r="S14" s="5" cm="1">
        <f t="array" ref="S14">LOOKUP(2,1/($G$53:$G$56&lt;=$V14)/($H$53:$H$56&gt;=$V14),$F$53:$F$56)</f>
        <v>0</v>
      </c>
      <c r="T14" s="5" t="e">
        <f>IFERROR(IF($R14&gt;0,$R14&amp;"-"&amp;COUNTIF($R$5:$R14,$R14),NA()),NA())</f>
        <v>#N/A</v>
      </c>
      <c r="U14" s="5" t="e">
        <f>IFERROR(IF($S14&gt;0,$S14&amp;"-"&amp;COUNTIF($S$5:$S14,$S14),NA()),NA())</f>
        <v>#N/A</v>
      </c>
      <c r="V14" s="10">
        <v>42803</v>
      </c>
      <c r="W14" s="9">
        <v>14291791.117819561</v>
      </c>
      <c r="X14" s="9">
        <v>13277788.538010262</v>
      </c>
      <c r="Y14" s="8">
        <v>3000000</v>
      </c>
      <c r="AA14" s="48">
        <f t="shared" si="46"/>
        <v>10</v>
      </c>
      <c r="AB14" s="12">
        <f t="shared" si="0"/>
        <v>45351</v>
      </c>
      <c r="AC14" s="15">
        <f t="shared" si="1"/>
        <v>33186050.670153648</v>
      </c>
      <c r="AD14" s="14">
        <f t="shared" si="2"/>
        <v>12000000</v>
      </c>
      <c r="AF14" s="14">
        <v>160000000</v>
      </c>
      <c r="AG14" s="1">
        <f t="shared" si="3"/>
        <v>0</v>
      </c>
      <c r="AI14" s="40">
        <v>90</v>
      </c>
      <c r="AJ14" s="39">
        <f t="shared" si="53"/>
        <v>157307800</v>
      </c>
      <c r="AK14" s="40">
        <v>240</v>
      </c>
      <c r="AL14" s="39">
        <f t="shared" si="54"/>
        <v>406667800</v>
      </c>
      <c r="AP14" s="40">
        <v>90</v>
      </c>
      <c r="AQ14" s="39">
        <f t="shared" si="55"/>
        <v>118773000</v>
      </c>
      <c r="AR14" s="40">
        <v>240</v>
      </c>
      <c r="AS14" s="39">
        <f t="shared" si="56"/>
        <v>288557999.99999994</v>
      </c>
      <c r="AW14" s="48">
        <f t="shared" si="47"/>
        <v>10</v>
      </c>
      <c r="AX14" s="12">
        <f t="shared" si="4"/>
        <v>45169</v>
      </c>
      <c r="AY14" s="15">
        <f t="shared" si="5"/>
        <v>59703342.595619485</v>
      </c>
      <c r="AZ14" s="14">
        <f t="shared" si="48"/>
        <v>40000000</v>
      </c>
      <c r="BB14" s="14">
        <v>100000000</v>
      </c>
      <c r="BC14" s="1">
        <f t="shared" si="6"/>
        <v>3</v>
      </c>
      <c r="BD14" s="14">
        <f t="shared" si="7"/>
        <v>150732235.11677748</v>
      </c>
      <c r="BE14" s="14"/>
      <c r="BF14" s="14"/>
      <c r="BG14" s="14"/>
      <c r="BI14" s="40">
        <v>90</v>
      </c>
      <c r="BJ14" s="39">
        <f t="shared" si="57"/>
        <v>150661800</v>
      </c>
      <c r="BK14" s="40">
        <v>240</v>
      </c>
      <c r="BL14" s="39">
        <f t="shared" si="58"/>
        <v>388426799.99999994</v>
      </c>
      <c r="BP14" s="40">
        <v>40</v>
      </c>
      <c r="BQ14" s="39">
        <f t="shared" si="59"/>
        <v>60013999.999999993</v>
      </c>
      <c r="BR14" s="110">
        <v>0</v>
      </c>
      <c r="BS14" s="39">
        <f t="shared" si="60"/>
        <v>60013999.999999993</v>
      </c>
      <c r="BW14" s="48" t="str">
        <f t="shared" si="8"/>
        <v>N1-10</v>
      </c>
      <c r="BX14" s="12">
        <f t="shared" si="9"/>
        <v>44175</v>
      </c>
      <c r="BY14" s="15">
        <f t="shared" si="10"/>
        <v>25066381.757373061</v>
      </c>
      <c r="BZ14" s="14">
        <f t="shared" si="11"/>
        <v>8000000</v>
      </c>
      <c r="CB14" s="1">
        <v>2</v>
      </c>
      <c r="CC14" s="1">
        <v>8</v>
      </c>
      <c r="CE14" s="40">
        <v>40</v>
      </c>
      <c r="CF14" s="39">
        <f t="shared" si="61"/>
        <v>66052000.000000007</v>
      </c>
      <c r="CG14" s="40">
        <v>240</v>
      </c>
      <c r="CH14" s="39">
        <f t="shared" si="62"/>
        <v>320752000.00000006</v>
      </c>
      <c r="CL14" s="48" t="str">
        <f t="shared" si="12"/>
        <v>A1-10</v>
      </c>
      <c r="CM14" s="12">
        <f t="shared" si="13"/>
        <v>44287</v>
      </c>
      <c r="CN14" s="49">
        <f t="shared" si="14"/>
        <v>37212500.334448159</v>
      </c>
      <c r="CO14" s="49">
        <f t="shared" si="15"/>
        <v>20000000</v>
      </c>
      <c r="CQ14" s="1">
        <v>1</v>
      </c>
      <c r="CR14" s="1">
        <v>8</v>
      </c>
      <c r="CT14" s="40">
        <v>40</v>
      </c>
      <c r="CU14" s="39">
        <f t="shared" si="63"/>
        <v>60988000</v>
      </c>
      <c r="CV14" s="40">
        <v>240</v>
      </c>
      <c r="CW14" s="39">
        <f t="shared" si="64"/>
        <v>304608000</v>
      </c>
      <c r="DA14" s="48" t="str">
        <f t="shared" si="16"/>
        <v>N2-10</v>
      </c>
      <c r="DB14" s="12">
        <f t="shared" si="17"/>
        <v>44770</v>
      </c>
      <c r="DC14" s="15">
        <f t="shared" si="18"/>
        <v>19329129.096989967</v>
      </c>
      <c r="DD14" s="14">
        <f t="shared" si="19"/>
        <v>4000000</v>
      </c>
      <c r="DF14" s="1">
        <v>1</v>
      </c>
      <c r="DG14" s="1">
        <v>4</v>
      </c>
      <c r="DI14" s="40">
        <v>40</v>
      </c>
      <c r="DJ14" s="39">
        <f t="shared" si="65"/>
        <v>59801000</v>
      </c>
      <c r="DK14" s="40">
        <v>240</v>
      </c>
      <c r="DL14" s="39">
        <f t="shared" si="66"/>
        <v>269741000.00000006</v>
      </c>
      <c r="DP14" s="48" t="str">
        <f t="shared" si="20"/>
        <v>A2-10</v>
      </c>
      <c r="DQ14" s="12">
        <f t="shared" si="21"/>
        <v>44882</v>
      </c>
      <c r="DR14" s="15">
        <f t="shared" si="22"/>
        <v>51026175.37245363</v>
      </c>
      <c r="DS14" s="14">
        <f t="shared" si="23"/>
        <v>30000000</v>
      </c>
      <c r="DU14" s="52" t="s">
        <v>42</v>
      </c>
      <c r="DV14" s="52" t="s">
        <v>41</v>
      </c>
      <c r="DX14" s="40">
        <v>40</v>
      </c>
      <c r="DY14" s="39">
        <f t="shared" si="67"/>
        <v>60988000</v>
      </c>
      <c r="DZ14" s="40">
        <v>240</v>
      </c>
      <c r="EA14" s="39">
        <f t="shared" si="68"/>
        <v>304608000</v>
      </c>
      <c r="EE14" s="40">
        <v>40</v>
      </c>
      <c r="EF14" s="39">
        <f t="shared" si="69"/>
        <v>46871000</v>
      </c>
      <c r="EG14" s="40">
        <v>240</v>
      </c>
      <c r="EH14" s="39">
        <f t="shared" si="70"/>
        <v>205171000.00000003</v>
      </c>
      <c r="EL14" s="47" t="str">
        <f t="shared" si="25"/>
        <v>FY18-10</v>
      </c>
      <c r="EM14" s="16">
        <v>42985</v>
      </c>
      <c r="EN14" s="15">
        <v>25735862.268414695</v>
      </c>
      <c r="EO14" s="14">
        <f t="shared" si="26"/>
        <v>15000000</v>
      </c>
      <c r="EQ14" s="14">
        <v>35000000</v>
      </c>
      <c r="ER14" s="1">
        <f t="shared" si="27"/>
        <v>1</v>
      </c>
      <c r="ET14" s="40">
        <v>90</v>
      </c>
      <c r="EU14" s="39">
        <f t="shared" si="71"/>
        <v>105760200.00000001</v>
      </c>
      <c r="EV14" s="40">
        <v>240</v>
      </c>
      <c r="EW14" s="39">
        <f t="shared" si="72"/>
        <v>265645200.00000006</v>
      </c>
      <c r="FA14" s="16" t="s">
        <v>33</v>
      </c>
      <c r="FB14" s="16">
        <v>43349</v>
      </c>
      <c r="FC14" s="15">
        <v>21606582.835346464</v>
      </c>
      <c r="FD14" s="14">
        <v>12000000</v>
      </c>
      <c r="FF14" s="14">
        <v>80000000</v>
      </c>
      <c r="FG14" s="1">
        <f t="shared" si="28"/>
        <v>2</v>
      </c>
      <c r="FI14" s="40">
        <v>20</v>
      </c>
      <c r="FJ14" s="39">
        <f t="shared" si="73"/>
        <v>29226500</v>
      </c>
      <c r="FK14" s="40"/>
      <c r="FL14" s="39"/>
      <c r="FP14" s="40">
        <v>20</v>
      </c>
      <c r="FQ14" s="39">
        <f t="shared" si="74"/>
        <v>28203400.000000004</v>
      </c>
      <c r="FR14" s="40"/>
      <c r="FS14" s="39"/>
      <c r="FW14" s="16" t="s">
        <v>39</v>
      </c>
      <c r="FX14" s="16">
        <v>43713</v>
      </c>
      <c r="FY14" s="15">
        <v>82565532.768116847</v>
      </c>
      <c r="FZ14" s="14">
        <v>80000000</v>
      </c>
      <c r="GB14" s="14">
        <v>100000000</v>
      </c>
      <c r="GC14" s="1">
        <f t="shared" si="29"/>
        <v>1</v>
      </c>
      <c r="GD14" s="15">
        <f t="shared" si="30"/>
        <v>124361859.2734699</v>
      </c>
      <c r="GF14" s="40">
        <v>20</v>
      </c>
      <c r="GG14" s="39">
        <f t="shared" si="75"/>
        <v>32098999.999999996</v>
      </c>
      <c r="GH14" s="40">
        <v>20</v>
      </c>
      <c r="GI14" s="39">
        <f t="shared" si="76"/>
        <v>32098999.999999996</v>
      </c>
      <c r="GM14" s="40">
        <v>20</v>
      </c>
      <c r="GN14" s="39">
        <f t="shared" si="77"/>
        <v>31041000</v>
      </c>
      <c r="GO14" s="40">
        <v>20</v>
      </c>
      <c r="GP14" s="39">
        <f t="shared" si="78"/>
        <v>31041000</v>
      </c>
      <c r="GT14" s="16" t="s">
        <v>38</v>
      </c>
      <c r="GU14" s="16">
        <v>44077</v>
      </c>
      <c r="GV14" s="15">
        <v>40517600.243235022</v>
      </c>
      <c r="GW14" s="14">
        <v>20000000</v>
      </c>
      <c r="HB14" s="40">
        <v>50</v>
      </c>
      <c r="HC14" s="39">
        <f t="shared" si="79"/>
        <v>72667000</v>
      </c>
      <c r="HD14" s="40">
        <v>40</v>
      </c>
      <c r="HE14" s="39">
        <f t="shared" si="80"/>
        <v>61166000</v>
      </c>
      <c r="HI14" s="16" t="s">
        <v>35</v>
      </c>
      <c r="HJ14" s="16">
        <v>44441</v>
      </c>
      <c r="HK14" s="15">
        <v>43186218.060200661</v>
      </c>
      <c r="HL14" s="14">
        <v>20000000</v>
      </c>
      <c r="HO14" s="1">
        <f>SUM(HO5:HO13)</f>
        <v>53</v>
      </c>
      <c r="HQ14" s="40">
        <v>40</v>
      </c>
      <c r="HR14" s="39">
        <f t="shared" si="81"/>
        <v>67173999.999999985</v>
      </c>
      <c r="HS14" s="40">
        <v>40</v>
      </c>
      <c r="HT14" s="39">
        <f t="shared" si="82"/>
        <v>67173999.999999985</v>
      </c>
      <c r="HX14" s="40">
        <v>40</v>
      </c>
      <c r="HY14" s="39">
        <f t="shared" si="83"/>
        <v>61781000</v>
      </c>
      <c r="HZ14" s="40">
        <v>40</v>
      </c>
      <c r="IA14" s="39">
        <f t="shared" si="84"/>
        <v>61781000</v>
      </c>
      <c r="IE14" s="16" t="s">
        <v>37</v>
      </c>
      <c r="IF14" s="16">
        <v>44812</v>
      </c>
      <c r="IG14" s="15">
        <v>61420572.818485856</v>
      </c>
      <c r="IH14" s="14">
        <v>40000000</v>
      </c>
      <c r="IJ14" s="14">
        <v>160000000</v>
      </c>
      <c r="IK14" s="1">
        <f t="shared" si="33"/>
        <v>1</v>
      </c>
      <c r="IM14" s="40">
        <v>90</v>
      </c>
      <c r="IN14" s="39">
        <f t="shared" si="85"/>
        <v>161741000</v>
      </c>
      <c r="IO14" s="40">
        <v>240</v>
      </c>
      <c r="IP14" s="39">
        <f t="shared" si="86"/>
        <v>419351000</v>
      </c>
      <c r="IT14" s="111">
        <v>8</v>
      </c>
      <c r="IU14" s="39">
        <f t="shared" si="87"/>
        <v>25638800</v>
      </c>
      <c r="IV14" s="40">
        <v>240</v>
      </c>
      <c r="IW14" s="39">
        <f t="shared" si="88"/>
        <v>291417999.99999994</v>
      </c>
      <c r="JA14" s="16" t="s">
        <v>115</v>
      </c>
      <c r="JB14" s="16">
        <v>45176</v>
      </c>
      <c r="JC14" s="15">
        <v>20222166.06734227</v>
      </c>
      <c r="JD14" s="14">
        <v>4000000</v>
      </c>
      <c r="JF14" s="14">
        <v>150000000</v>
      </c>
      <c r="JG14" s="1">
        <f t="shared" si="49"/>
        <v>2</v>
      </c>
      <c r="JI14" s="40">
        <v>90</v>
      </c>
      <c r="JJ14" s="39">
        <f t="shared" si="89"/>
        <v>161741000</v>
      </c>
      <c r="JK14" s="40">
        <v>240</v>
      </c>
      <c r="JL14" s="39">
        <f t="shared" si="90"/>
        <v>419351000</v>
      </c>
      <c r="JP14" s="111">
        <v>8</v>
      </c>
      <c r="JQ14" s="39">
        <f t="shared" si="91"/>
        <v>25185400</v>
      </c>
      <c r="JR14" s="69"/>
      <c r="JS14" s="69"/>
      <c r="JW14" s="16" t="s">
        <v>83</v>
      </c>
      <c r="JX14" s="16">
        <v>42985</v>
      </c>
      <c r="JY14" s="15">
        <v>25652990</v>
      </c>
      <c r="JZ14" s="14">
        <v>15000000</v>
      </c>
      <c r="KB14" s="55" t="s">
        <v>83</v>
      </c>
      <c r="KC14" s="54"/>
      <c r="KE14" s="16" t="s">
        <v>82</v>
      </c>
      <c r="KF14" s="16">
        <v>43167</v>
      </c>
      <c r="KG14" s="15">
        <v>27324110</v>
      </c>
      <c r="KH14" s="14">
        <v>15000000</v>
      </c>
      <c r="KJ14" s="14">
        <v>40000000</v>
      </c>
      <c r="KK14" s="1">
        <f t="shared" si="35"/>
        <v>2</v>
      </c>
      <c r="KM14" s="16" t="s">
        <v>81</v>
      </c>
      <c r="KN14" s="16">
        <v>43349</v>
      </c>
      <c r="KO14" s="15">
        <v>21834252</v>
      </c>
      <c r="KP14" s="14">
        <v>12000000</v>
      </c>
      <c r="KR14" s="14">
        <v>80000000</v>
      </c>
      <c r="KS14" s="1">
        <f t="shared" si="36"/>
        <v>1</v>
      </c>
      <c r="KU14" s="16" t="s">
        <v>79</v>
      </c>
      <c r="KV14" s="16">
        <v>43531</v>
      </c>
      <c r="KW14" s="15">
        <v>12844326</v>
      </c>
      <c r="KX14" s="14">
        <v>3000000</v>
      </c>
      <c r="LA14" s="1">
        <f>SUM(LA5:LA13)</f>
        <v>26</v>
      </c>
      <c r="LC14" s="16" t="s">
        <v>78</v>
      </c>
      <c r="LD14" s="16">
        <v>43713</v>
      </c>
      <c r="LE14" s="15">
        <v>85553622</v>
      </c>
      <c r="LF14" s="14">
        <v>80000000</v>
      </c>
      <c r="LH14" s="14">
        <v>80000000</v>
      </c>
      <c r="LI14" s="1">
        <f t="shared" si="38"/>
        <v>2</v>
      </c>
      <c r="LK14" s="16" t="s">
        <v>77</v>
      </c>
      <c r="LL14" s="16">
        <v>43895</v>
      </c>
      <c r="LM14" s="15">
        <v>36963366</v>
      </c>
      <c r="LN14" s="14">
        <v>20000000</v>
      </c>
      <c r="LQ14" s="1">
        <f>SUM(LQ5:LQ13)</f>
        <v>26</v>
      </c>
      <c r="LS14" s="16" t="s">
        <v>70</v>
      </c>
      <c r="LT14" s="16">
        <v>44077</v>
      </c>
      <c r="LU14" s="15">
        <v>41614452</v>
      </c>
      <c r="LV14" s="14">
        <v>20000000</v>
      </c>
      <c r="LX14" s="55" t="s">
        <v>70</v>
      </c>
      <c r="LY14" s="54"/>
      <c r="MA14" s="16" t="s">
        <v>86</v>
      </c>
      <c r="MB14" s="16">
        <v>44266</v>
      </c>
      <c r="MC14" s="15">
        <v>45732786</v>
      </c>
      <c r="MD14" s="14">
        <v>30000000</v>
      </c>
      <c r="MF14" s="55" t="s">
        <v>86</v>
      </c>
      <c r="MG14" s="54"/>
      <c r="MI14" s="16" t="s">
        <v>69</v>
      </c>
      <c r="MJ14" s="16">
        <v>44441</v>
      </c>
      <c r="MK14" s="15">
        <v>43910988</v>
      </c>
      <c r="ML14" s="14">
        <v>20000000</v>
      </c>
      <c r="MN14" s="55" t="s">
        <v>69</v>
      </c>
      <c r="MO14" s="54"/>
      <c r="MQ14" s="16" t="s">
        <v>76</v>
      </c>
      <c r="MR14" s="16">
        <v>44630</v>
      </c>
      <c r="MS14" s="15">
        <v>25568532</v>
      </c>
      <c r="MT14" s="14">
        <v>8000000</v>
      </c>
      <c r="MY14" s="16" t="s">
        <v>110</v>
      </c>
      <c r="MZ14" s="16">
        <v>42901</v>
      </c>
      <c r="NA14" s="15">
        <v>43455060</v>
      </c>
      <c r="NB14" s="14">
        <v>30000000</v>
      </c>
      <c r="ND14" s="14">
        <v>55000000</v>
      </c>
      <c r="NE14" s="1">
        <f t="shared" si="44"/>
        <v>1</v>
      </c>
      <c r="NG14" s="40">
        <v>90</v>
      </c>
      <c r="NH14" s="39">
        <f t="shared" si="92"/>
        <v>113446999.99999999</v>
      </c>
      <c r="NI14" s="40">
        <v>240</v>
      </c>
      <c r="NJ14" s="39">
        <f t="shared" si="93"/>
        <v>285662000</v>
      </c>
      <c r="NN14" s="16" t="s">
        <v>34</v>
      </c>
      <c r="NO14" s="16">
        <v>43272</v>
      </c>
      <c r="NP14" s="15">
        <v>11013750</v>
      </c>
      <c r="NQ14" s="14">
        <v>3000000</v>
      </c>
      <c r="NS14" s="14">
        <v>80000000</v>
      </c>
      <c r="NT14" s="1">
        <f t="shared" si="45"/>
        <v>2</v>
      </c>
      <c r="NV14" s="40">
        <v>90</v>
      </c>
      <c r="NW14" s="39">
        <f t="shared" si="94"/>
        <v>113387200</v>
      </c>
      <c r="NX14" s="40">
        <v>240</v>
      </c>
      <c r="NY14" s="39">
        <f t="shared" si="95"/>
        <v>294257200</v>
      </c>
      <c r="OB14" s="1"/>
    </row>
    <row r="15" spans="1:392" x14ac:dyDescent="0.2">
      <c r="B15" s="53">
        <v>41340</v>
      </c>
      <c r="C15" s="53">
        <v>43208</v>
      </c>
      <c r="D15" s="66">
        <v>0.85</v>
      </c>
      <c r="F15" s="5" t="s">
        <v>115</v>
      </c>
      <c r="G15" s="51">
        <f t="shared" si="52"/>
        <v>45108</v>
      </c>
      <c r="H15" s="51">
        <f t="shared" si="50"/>
        <v>45473</v>
      </c>
      <c r="I15" s="50">
        <f t="shared" si="51"/>
        <v>52</v>
      </c>
      <c r="K15" s="7">
        <v>11</v>
      </c>
      <c r="M15" s="5" t="str" cm="1">
        <f t="array" ref="M15">LOOKUP(2,1/($G$19:$G$35&lt;=$V15)/($H$19:$H$35&gt;=$V15),$F$19:$F$35)</f>
        <v>2H17</v>
      </c>
      <c r="N15" s="5" t="str" cm="1">
        <f t="array" ref="N15">LOOKUP(2,1/($G$8:$G$16&lt;=$V15)/($H$8:$H$16&gt;=$V15),$F$8:$F$16)</f>
        <v>FY17</v>
      </c>
      <c r="O15" s="5" t="str">
        <f>IFERROR(N15&amp;"-"&amp;COUNTIF($N$5:N15,N15),NA())</f>
        <v>FY17-11</v>
      </c>
      <c r="P15" s="5">
        <f>COUNTIF(V$5:V15,"&gt;="&amp;MAX($V:$V)-183)</f>
        <v>0</v>
      </c>
      <c r="Q15" s="5">
        <f>COUNTIF(V$5:V15,"&gt;="&amp;MAX($V:$V)-365)</f>
        <v>0</v>
      </c>
      <c r="R15" s="5" cm="1">
        <f t="array" ref="R15">LOOKUP(2,1/($G$46:$G$50&lt;=$V15)/($H$46:$H$50&gt;=$V15),$F$46:$F$50)</f>
        <v>0</v>
      </c>
      <c r="S15" s="5" cm="1">
        <f t="array" ref="S15">LOOKUP(2,1/($G$53:$G$56&lt;=$V15)/($H$53:$H$56&gt;=$V15),$F$53:$F$56)</f>
        <v>0</v>
      </c>
      <c r="T15" s="5" t="e">
        <f>IFERROR(IF($R15&gt;0,$R15&amp;"-"&amp;COUNTIF($R$5:$R15,$R15),NA()),NA())</f>
        <v>#N/A</v>
      </c>
      <c r="U15" s="5" t="e">
        <f>IFERROR(IF($S15&gt;0,$S15&amp;"-"&amp;COUNTIF($S$5:$S15,$S15),NA()),NA())</f>
        <v>#N/A</v>
      </c>
      <c r="V15" s="10">
        <v>42810</v>
      </c>
      <c r="W15" s="9">
        <v>15912028.45782301</v>
      </c>
      <c r="X15" s="9">
        <v>14783070.038740467</v>
      </c>
      <c r="Y15" s="8">
        <v>6000000</v>
      </c>
      <c r="AA15" s="48">
        <f t="shared" si="46"/>
        <v>11</v>
      </c>
      <c r="AB15" s="12">
        <f t="shared" si="0"/>
        <v>45358</v>
      </c>
      <c r="AC15" s="15">
        <f t="shared" si="1"/>
        <v>40790859.104282446</v>
      </c>
      <c r="AD15" s="14">
        <f t="shared" si="2"/>
        <v>20000000</v>
      </c>
      <c r="AF15" s="14" t="s">
        <v>107</v>
      </c>
      <c r="AG15" s="1">
        <f>SUM(AG5:AG14)</f>
        <v>20</v>
      </c>
      <c r="AI15" s="40">
        <v>100</v>
      </c>
      <c r="AJ15" s="39">
        <f t="shared" si="53"/>
        <v>173931800</v>
      </c>
      <c r="AK15" s="40">
        <v>250</v>
      </c>
      <c r="AL15" s="39">
        <f t="shared" si="54"/>
        <v>423291800</v>
      </c>
      <c r="AN15" s="67"/>
      <c r="AO15" s="67"/>
      <c r="AP15" s="40">
        <v>100</v>
      </c>
      <c r="AQ15" s="39">
        <f t="shared" si="55"/>
        <v>130091999.99999999</v>
      </c>
      <c r="AR15" s="40">
        <v>250</v>
      </c>
      <c r="AS15" s="39">
        <f t="shared" si="56"/>
        <v>299876999.99999994</v>
      </c>
      <c r="AU15" s="67"/>
      <c r="AW15" s="48">
        <f t="shared" si="47"/>
        <v>11</v>
      </c>
      <c r="AX15" s="12">
        <f t="shared" si="4"/>
        <v>45176</v>
      </c>
      <c r="AY15" s="15">
        <f t="shared" si="5"/>
        <v>20222166.06734227</v>
      </c>
      <c r="AZ15" s="14">
        <f t="shared" si="48"/>
        <v>4000000</v>
      </c>
      <c r="BB15" s="14">
        <v>120000000</v>
      </c>
      <c r="BC15" s="1">
        <f t="shared" si="6"/>
        <v>0</v>
      </c>
      <c r="BD15" s="14" t="e">
        <f t="shared" si="7"/>
        <v>#DIV/0!</v>
      </c>
      <c r="BE15" s="14"/>
      <c r="BF15" s="14"/>
      <c r="BG15" s="14"/>
      <c r="BI15" s="40">
        <v>100</v>
      </c>
      <c r="BJ15" s="39">
        <f t="shared" si="57"/>
        <v>166512800</v>
      </c>
      <c r="BK15" s="40">
        <v>250</v>
      </c>
      <c r="BL15" s="39">
        <f t="shared" si="58"/>
        <v>404277799.99999994</v>
      </c>
      <c r="BN15" s="67"/>
      <c r="BO15" s="67"/>
      <c r="BP15" s="40">
        <v>60</v>
      </c>
      <c r="BQ15" s="39">
        <f t="shared" si="59"/>
        <v>81738000</v>
      </c>
      <c r="BR15" s="110">
        <v>0</v>
      </c>
      <c r="BS15" s="39">
        <f t="shared" si="60"/>
        <v>81738000</v>
      </c>
      <c r="BU15" s="67"/>
      <c r="BW15" s="48" t="str">
        <f t="shared" si="8"/>
        <v>N1-11</v>
      </c>
      <c r="BX15" s="12">
        <f t="shared" si="9"/>
        <v>44182</v>
      </c>
      <c r="BY15" s="15">
        <f t="shared" si="10"/>
        <v>40397165.825478874</v>
      </c>
      <c r="BZ15" s="14">
        <f t="shared" si="11"/>
        <v>20000000</v>
      </c>
      <c r="CB15" s="1">
        <v>3</v>
      </c>
      <c r="CC15" s="1">
        <v>20</v>
      </c>
      <c r="CE15" s="40">
        <v>50</v>
      </c>
      <c r="CF15" s="39">
        <f t="shared" si="61"/>
        <v>78787000</v>
      </c>
      <c r="CG15" s="40">
        <v>250</v>
      </c>
      <c r="CH15" s="39">
        <f t="shared" si="62"/>
        <v>333487000</v>
      </c>
      <c r="CJ15" s="67"/>
      <c r="CK15" s="67"/>
      <c r="CL15" s="48" t="str">
        <f t="shared" si="12"/>
        <v>A1-11</v>
      </c>
      <c r="CM15" s="12">
        <f t="shared" si="13"/>
        <v>44294</v>
      </c>
      <c r="CN15" s="49">
        <f t="shared" si="14"/>
        <v>41866552.508361198</v>
      </c>
      <c r="CO15" s="49">
        <f t="shared" si="15"/>
        <v>30000000</v>
      </c>
      <c r="CQ15" s="1">
        <v>2</v>
      </c>
      <c r="CR15" s="1">
        <v>20</v>
      </c>
      <c r="CT15" s="40">
        <v>50</v>
      </c>
      <c r="CU15" s="39">
        <f t="shared" si="63"/>
        <v>73169000</v>
      </c>
      <c r="CV15" s="40">
        <v>250</v>
      </c>
      <c r="CW15" s="39">
        <f t="shared" si="64"/>
        <v>316789000</v>
      </c>
      <c r="CY15" s="67"/>
      <c r="DA15" s="48" t="str">
        <f t="shared" si="16"/>
        <v>N2-11</v>
      </c>
      <c r="DB15" s="12">
        <f t="shared" si="17"/>
        <v>44777</v>
      </c>
      <c r="DC15" s="15">
        <f t="shared" si="18"/>
        <v>24328928.428093642</v>
      </c>
      <c r="DD15" s="14">
        <f t="shared" si="19"/>
        <v>8000000</v>
      </c>
      <c r="DF15" s="1">
        <v>2</v>
      </c>
      <c r="DG15" s="1">
        <v>8</v>
      </c>
      <c r="DI15" s="40">
        <v>50</v>
      </c>
      <c r="DJ15" s="39">
        <f t="shared" si="65"/>
        <v>70298000</v>
      </c>
      <c r="DK15" s="40">
        <v>250</v>
      </c>
      <c r="DL15" s="39">
        <f t="shared" si="66"/>
        <v>280238000</v>
      </c>
      <c r="DN15" s="67"/>
      <c r="DO15" s="67"/>
      <c r="DP15" s="48" t="str">
        <f t="shared" si="20"/>
        <v>A2-11</v>
      </c>
      <c r="DQ15" s="12">
        <f t="shared" si="21"/>
        <v>44889</v>
      </c>
      <c r="DR15" s="15">
        <f t="shared" si="22"/>
        <v>71266594.101550624</v>
      </c>
      <c r="DS15" s="14">
        <f t="shared" si="23"/>
        <v>50000000</v>
      </c>
      <c r="DU15" s="1">
        <v>1</v>
      </c>
      <c r="DV15" s="1">
        <v>8</v>
      </c>
      <c r="DX15" s="40">
        <v>50</v>
      </c>
      <c r="DY15" s="39">
        <f t="shared" si="67"/>
        <v>73169000</v>
      </c>
      <c r="DZ15" s="40">
        <v>250</v>
      </c>
      <c r="EA15" s="39">
        <f t="shared" si="68"/>
        <v>316789000</v>
      </c>
      <c r="EC15" s="67"/>
      <c r="ED15" s="67"/>
      <c r="EE15" s="40">
        <v>50</v>
      </c>
      <c r="EF15" s="39">
        <f t="shared" si="69"/>
        <v>54785999.999999993</v>
      </c>
      <c r="EG15" s="40">
        <v>250</v>
      </c>
      <c r="EH15" s="39">
        <f t="shared" si="70"/>
        <v>213086000</v>
      </c>
      <c r="EJ15" s="67"/>
      <c r="EK15" s="67"/>
      <c r="EL15" s="47" t="str">
        <f t="shared" si="25"/>
        <v>FY18-11</v>
      </c>
      <c r="EM15" s="16">
        <v>42992</v>
      </c>
      <c r="EN15" s="15">
        <v>42955932.763498358</v>
      </c>
      <c r="EO15" s="14">
        <f t="shared" si="26"/>
        <v>30000000</v>
      </c>
      <c r="EQ15" s="14">
        <v>40000000</v>
      </c>
      <c r="ER15" s="1">
        <f t="shared" si="27"/>
        <v>2</v>
      </c>
      <c r="ET15" s="40">
        <v>100</v>
      </c>
      <c r="EU15" s="39">
        <f t="shared" si="71"/>
        <v>116419200</v>
      </c>
      <c r="EV15" s="40">
        <v>250</v>
      </c>
      <c r="EW15" s="39">
        <f t="shared" si="72"/>
        <v>276304200.00000006</v>
      </c>
      <c r="EX15" s="67"/>
      <c r="EY15" s="67"/>
      <c r="EZ15" s="67"/>
      <c r="FA15" s="16" t="s">
        <v>33</v>
      </c>
      <c r="FB15" s="16">
        <v>43356</v>
      </c>
      <c r="FC15" s="15">
        <v>27308763.127781302</v>
      </c>
      <c r="FD15" s="14">
        <v>20000000</v>
      </c>
      <c r="FF15" s="14">
        <v>100000000</v>
      </c>
      <c r="FG15" s="1">
        <f t="shared" si="28"/>
        <v>2</v>
      </c>
      <c r="FI15" s="40">
        <v>30</v>
      </c>
      <c r="FJ15" s="39">
        <f t="shared" si="73"/>
        <v>42565500</v>
      </c>
      <c r="FK15" s="40"/>
      <c r="FL15" s="39"/>
      <c r="FN15" s="67"/>
      <c r="FO15" s="67"/>
      <c r="FP15" s="40">
        <v>30</v>
      </c>
      <c r="FQ15" s="39">
        <f t="shared" si="74"/>
        <v>38245400</v>
      </c>
      <c r="FR15" s="40"/>
      <c r="FS15" s="39"/>
      <c r="FU15" s="67"/>
      <c r="FV15" s="67"/>
      <c r="FW15" s="16" t="s">
        <v>39</v>
      </c>
      <c r="FX15" s="16">
        <v>43720</v>
      </c>
      <c r="FY15" s="15">
        <v>124361859.2734699</v>
      </c>
      <c r="FZ15" s="14">
        <v>100000000</v>
      </c>
      <c r="GB15" s="14">
        <v>110000000</v>
      </c>
      <c r="GC15" s="1">
        <f t="shared" si="29"/>
        <v>1</v>
      </c>
      <c r="GD15" s="15">
        <f t="shared" si="30"/>
        <v>149659728.94362274</v>
      </c>
      <c r="GF15" s="40">
        <v>40</v>
      </c>
      <c r="GG15" s="39">
        <f t="shared" si="75"/>
        <v>53932999.999999993</v>
      </c>
      <c r="GH15" s="40">
        <v>30</v>
      </c>
      <c r="GI15" s="39">
        <f t="shared" si="76"/>
        <v>43016000</v>
      </c>
      <c r="GK15" s="67"/>
      <c r="GL15" s="67"/>
      <c r="GM15" s="40">
        <v>40</v>
      </c>
      <c r="GN15" s="39">
        <f t="shared" si="77"/>
        <v>46871000</v>
      </c>
      <c r="GO15" s="40">
        <v>30</v>
      </c>
      <c r="GP15" s="39">
        <f t="shared" si="78"/>
        <v>38956000</v>
      </c>
      <c r="GR15" s="67"/>
      <c r="GS15" s="67"/>
      <c r="GT15" s="16" t="s">
        <v>38</v>
      </c>
      <c r="GU15" s="16">
        <v>44084</v>
      </c>
      <c r="GV15" s="15">
        <v>59511774.76436606</v>
      </c>
      <c r="GW15" s="14">
        <v>40000000</v>
      </c>
      <c r="GY15" s="55" t="s">
        <v>114</v>
      </c>
      <c r="GZ15" s="54"/>
      <c r="HB15" s="40">
        <v>80</v>
      </c>
      <c r="HC15" s="39">
        <f t="shared" si="79"/>
        <v>107170000</v>
      </c>
      <c r="HD15" s="40">
        <v>60</v>
      </c>
      <c r="HE15" s="39">
        <f t="shared" si="80"/>
        <v>84168000</v>
      </c>
      <c r="HG15" s="67"/>
      <c r="HH15" s="67"/>
      <c r="HI15" s="16" t="s">
        <v>35</v>
      </c>
      <c r="HJ15" s="16">
        <v>44448</v>
      </c>
      <c r="HK15" s="15">
        <v>19506276.92307692</v>
      </c>
      <c r="HL15" s="14">
        <v>3000000</v>
      </c>
      <c r="HQ15" s="40">
        <v>60</v>
      </c>
      <c r="HR15" s="39">
        <f t="shared" si="81"/>
        <v>94830000</v>
      </c>
      <c r="HS15" s="40">
        <v>60</v>
      </c>
      <c r="HT15" s="39">
        <f t="shared" si="82"/>
        <v>94830000</v>
      </c>
      <c r="HV15" s="67"/>
      <c r="HW15" s="67"/>
      <c r="HX15" s="40">
        <v>60</v>
      </c>
      <c r="HY15" s="39">
        <f t="shared" si="83"/>
        <v>84738999.999999985</v>
      </c>
      <c r="HZ15" s="40">
        <v>60</v>
      </c>
      <c r="IA15" s="39">
        <f t="shared" si="84"/>
        <v>84738999.999999985</v>
      </c>
      <c r="IC15" s="67"/>
      <c r="ID15" s="67"/>
      <c r="IE15" s="16" t="s">
        <v>37</v>
      </c>
      <c r="IF15" s="16">
        <v>44819</v>
      </c>
      <c r="IG15" s="15">
        <v>25008818.485861961</v>
      </c>
      <c r="IH15" s="14">
        <v>8000000</v>
      </c>
      <c r="IK15" s="1">
        <f>SUM(IK5:IK14)</f>
        <v>52</v>
      </c>
      <c r="IM15" s="40">
        <v>100</v>
      </c>
      <c r="IN15" s="39">
        <f t="shared" si="85"/>
        <v>178915000.00000003</v>
      </c>
      <c r="IO15" s="40">
        <v>250</v>
      </c>
      <c r="IP15" s="39">
        <f t="shared" si="86"/>
        <v>436525000.00000006</v>
      </c>
      <c r="IR15" s="67"/>
      <c r="IS15" s="67"/>
      <c r="IT15" s="111">
        <v>12</v>
      </c>
      <c r="IU15" s="39">
        <f t="shared" si="87"/>
        <v>30221200</v>
      </c>
      <c r="IV15" s="40">
        <v>250</v>
      </c>
      <c r="IW15" s="39">
        <f t="shared" si="88"/>
        <v>302873999.99999994</v>
      </c>
      <c r="IY15" s="67"/>
      <c r="IZ15" s="67"/>
      <c r="JA15" s="16" t="s">
        <v>115</v>
      </c>
      <c r="JB15" s="16">
        <v>45183</v>
      </c>
      <c r="JC15" s="15">
        <v>32237415.277323749</v>
      </c>
      <c r="JD15" s="14">
        <v>12000000</v>
      </c>
      <c r="JF15" s="14">
        <v>200000000</v>
      </c>
      <c r="JG15" s="1">
        <f t="shared" si="49"/>
        <v>1</v>
      </c>
      <c r="JI15" s="40">
        <v>100</v>
      </c>
      <c r="JJ15" s="39">
        <f t="shared" si="89"/>
        <v>178915000.00000003</v>
      </c>
      <c r="JK15" s="40">
        <v>250</v>
      </c>
      <c r="JL15" s="39">
        <f t="shared" si="90"/>
        <v>436525000.00000006</v>
      </c>
      <c r="JN15" s="67"/>
      <c r="JO15" s="67"/>
      <c r="JP15" s="111">
        <v>12</v>
      </c>
      <c r="JQ15" s="39">
        <f t="shared" si="91"/>
        <v>29366600</v>
      </c>
      <c r="JR15" s="69"/>
      <c r="JS15" s="69"/>
      <c r="JU15" s="67"/>
      <c r="JV15" s="67"/>
      <c r="JW15" s="16" t="s">
        <v>83</v>
      </c>
      <c r="JX15" s="16">
        <v>42992</v>
      </c>
      <c r="JY15" s="15">
        <v>42817610</v>
      </c>
      <c r="JZ15" s="14">
        <v>30000000</v>
      </c>
      <c r="KB15" s="52" t="s">
        <v>42</v>
      </c>
      <c r="KC15" s="52" t="s">
        <v>41</v>
      </c>
      <c r="KE15" s="16" t="s">
        <v>82</v>
      </c>
      <c r="KF15" s="16">
        <v>43174</v>
      </c>
      <c r="KG15" s="15">
        <v>41905380</v>
      </c>
      <c r="KH15" s="14">
        <v>30000000</v>
      </c>
      <c r="KJ15" s="14">
        <v>50000000</v>
      </c>
      <c r="KK15" s="1">
        <f t="shared" si="35"/>
        <v>1</v>
      </c>
      <c r="KM15" s="16" t="s">
        <v>81</v>
      </c>
      <c r="KN15" s="16">
        <v>43356</v>
      </c>
      <c r="KO15" s="15">
        <v>28533780</v>
      </c>
      <c r="KP15" s="14">
        <v>20000000</v>
      </c>
      <c r="KR15" s="14">
        <v>100000000</v>
      </c>
      <c r="KS15" s="1">
        <f t="shared" si="36"/>
        <v>1</v>
      </c>
      <c r="KU15" s="16" t="s">
        <v>79</v>
      </c>
      <c r="KV15" s="16">
        <v>43538</v>
      </c>
      <c r="KW15" s="15">
        <v>16368594</v>
      </c>
      <c r="KX15" s="14">
        <v>8000000</v>
      </c>
      <c r="LC15" s="16" t="s">
        <v>78</v>
      </c>
      <c r="LD15" s="16">
        <v>43720</v>
      </c>
      <c r="LE15" s="15">
        <v>123193752</v>
      </c>
      <c r="LF15" s="14">
        <v>100000000</v>
      </c>
      <c r="LH15" s="14">
        <v>100000000</v>
      </c>
      <c r="LI15" s="1">
        <f t="shared" si="38"/>
        <v>1</v>
      </c>
      <c r="LK15" s="16" t="s">
        <v>77</v>
      </c>
      <c r="LL15" s="16">
        <v>43902</v>
      </c>
      <c r="LM15" s="15">
        <v>46469544</v>
      </c>
      <c r="LN15" s="14">
        <v>40000000</v>
      </c>
      <c r="LS15" s="16" t="s">
        <v>70</v>
      </c>
      <c r="LT15" s="16">
        <v>44084</v>
      </c>
      <c r="LU15" s="15">
        <v>60768708</v>
      </c>
      <c r="LV15" s="14">
        <v>40000000</v>
      </c>
      <c r="LX15" s="52" t="s">
        <v>42</v>
      </c>
      <c r="LY15" s="52" t="s">
        <v>41</v>
      </c>
      <c r="MA15" s="16" t="s">
        <v>86</v>
      </c>
      <c r="MB15" s="16">
        <v>44273</v>
      </c>
      <c r="MC15" s="15">
        <v>68623038</v>
      </c>
      <c r="MD15" s="14">
        <v>50000000</v>
      </c>
      <c r="MF15" s="52" t="s">
        <v>42</v>
      </c>
      <c r="MG15" s="52" t="s">
        <v>41</v>
      </c>
      <c r="MI15" s="16" t="s">
        <v>69</v>
      </c>
      <c r="MJ15" s="16">
        <v>44448</v>
      </c>
      <c r="MK15" s="15">
        <v>19176894</v>
      </c>
      <c r="ML15" s="14">
        <v>3000000</v>
      </c>
      <c r="MN15" s="52" t="s">
        <v>42</v>
      </c>
      <c r="MO15" s="52" t="s">
        <v>41</v>
      </c>
      <c r="MQ15" s="16" t="s">
        <v>76</v>
      </c>
      <c r="MR15" s="16">
        <v>44637</v>
      </c>
      <c r="MS15" s="15">
        <v>43218450</v>
      </c>
      <c r="MT15" s="14">
        <v>20000000</v>
      </c>
      <c r="MV15" s="55" t="s">
        <v>113</v>
      </c>
      <c r="MW15" s="54"/>
      <c r="MY15" s="16" t="s">
        <v>110</v>
      </c>
      <c r="MZ15" s="16">
        <v>42908</v>
      </c>
      <c r="NA15" s="15">
        <v>12797510</v>
      </c>
      <c r="NB15" s="14">
        <v>3000000</v>
      </c>
      <c r="NE15" s="1">
        <f>SUM(NE5:NE14)</f>
        <v>53</v>
      </c>
      <c r="NG15" s="40">
        <v>100</v>
      </c>
      <c r="NH15" s="39">
        <f t="shared" si="92"/>
        <v>124927999.99999999</v>
      </c>
      <c r="NI15" s="40">
        <v>250</v>
      </c>
      <c r="NJ15" s="39">
        <f t="shared" si="93"/>
        <v>297143000</v>
      </c>
      <c r="NL15" s="67"/>
      <c r="NN15" s="16" t="s">
        <v>34</v>
      </c>
      <c r="NO15" s="16">
        <v>43279</v>
      </c>
      <c r="NP15" s="15">
        <v>16538214</v>
      </c>
      <c r="NQ15" s="14">
        <v>8000000</v>
      </c>
      <c r="NS15" s="14">
        <v>100000000</v>
      </c>
      <c r="NT15" s="1">
        <f t="shared" si="45"/>
        <v>2</v>
      </c>
      <c r="NV15" s="40">
        <v>100</v>
      </c>
      <c r="NW15" s="39">
        <f t="shared" si="94"/>
        <v>125445200</v>
      </c>
      <c r="NX15" s="40">
        <v>250</v>
      </c>
      <c r="NY15" s="39">
        <f t="shared" si="95"/>
        <v>306315200</v>
      </c>
      <c r="OA15" s="67"/>
      <c r="OB15" s="1"/>
    </row>
    <row r="16" spans="1:392" x14ac:dyDescent="0.2">
      <c r="B16" s="53">
        <v>43209</v>
      </c>
      <c r="C16" s="51">
        <f>EOMONTH(MAX($V:$V),0)</f>
        <v>45473</v>
      </c>
      <c r="D16" s="66">
        <v>1.1000000000000001</v>
      </c>
      <c r="F16" s="5" t="s">
        <v>112</v>
      </c>
      <c r="G16" s="51">
        <f t="shared" si="52"/>
        <v>45474</v>
      </c>
      <c r="H16" s="51">
        <f t="shared" si="50"/>
        <v>45838</v>
      </c>
      <c r="I16" s="50">
        <f t="shared" si="51"/>
        <v>52</v>
      </c>
      <c r="K16" s="7">
        <v>12</v>
      </c>
      <c r="M16" s="5" t="str" cm="1">
        <f t="array" ref="M16">LOOKUP(2,1/($G$19:$G$35&lt;=$V16)/($H$19:$H$35&gt;=$V16),$F$19:$F$35)</f>
        <v>2H17</v>
      </c>
      <c r="N16" s="5" t="str" cm="1">
        <f t="array" ref="N16">LOOKUP(2,1/($G$8:$G$16&lt;=$V16)/($H$8:$H$16&gt;=$V16),$F$8:$F$16)</f>
        <v>FY17</v>
      </c>
      <c r="O16" s="5" t="str">
        <f>IFERROR(N16&amp;"-"&amp;COUNTIF($N$5:N16,N16),NA())</f>
        <v>FY17-12</v>
      </c>
      <c r="P16" s="5">
        <f>COUNTIF(V$5:V16,"&gt;="&amp;MAX($V:$V)-183)</f>
        <v>0</v>
      </c>
      <c r="Q16" s="5">
        <f>COUNTIF(V$5:V16,"&gt;="&amp;MAX($V:$V)-365)</f>
        <v>0</v>
      </c>
      <c r="R16" s="5" cm="1">
        <f t="array" ref="R16">LOOKUP(2,1/($G$46:$G$50&lt;=$V16)/($H$46:$H$50&gt;=$V16),$F$46:$F$50)</f>
        <v>0</v>
      </c>
      <c r="S16" s="5" cm="1">
        <f t="array" ref="S16">LOOKUP(2,1/($G$53:$G$56&lt;=$V16)/($H$53:$H$56&gt;=$V16),$F$53:$F$56)</f>
        <v>0</v>
      </c>
      <c r="T16" s="5" t="e">
        <f>IFERROR(IF($R16&gt;0,$R16&amp;"-"&amp;COUNTIF($R$5:$R16,$R16),NA()),NA())</f>
        <v>#N/A</v>
      </c>
      <c r="U16" s="5" t="e">
        <f>IFERROR(IF($S16&gt;0,$S16&amp;"-"&amp;COUNTIF($S$5:$S16,$S16),NA()),NA())</f>
        <v>#N/A</v>
      </c>
      <c r="V16" s="10">
        <v>42817</v>
      </c>
      <c r="W16" s="9">
        <v>20376564.749008104</v>
      </c>
      <c r="X16" s="9">
        <v>18930847.480065979</v>
      </c>
      <c r="Y16" s="8">
        <v>10000000</v>
      </c>
      <c r="AA16" s="48">
        <f t="shared" si="46"/>
        <v>12</v>
      </c>
      <c r="AB16" s="12">
        <f t="shared" si="0"/>
        <v>45365</v>
      </c>
      <c r="AC16" s="15">
        <f t="shared" si="1"/>
        <v>52908046.96523919</v>
      </c>
      <c r="AD16" s="14">
        <f t="shared" si="2"/>
        <v>40000000</v>
      </c>
      <c r="AF16" s="14"/>
      <c r="AI16" s="40">
        <v>110</v>
      </c>
      <c r="AJ16" s="39">
        <f t="shared" si="53"/>
        <v>190555800</v>
      </c>
      <c r="AK16" s="40">
        <v>260</v>
      </c>
      <c r="AL16" s="39">
        <f t="shared" si="54"/>
        <v>439915800.00000006</v>
      </c>
      <c r="AN16" s="13"/>
      <c r="AO16" s="13"/>
      <c r="AP16" s="40">
        <v>110</v>
      </c>
      <c r="AQ16" s="39">
        <f t="shared" si="55"/>
        <v>141411000</v>
      </c>
      <c r="AR16" s="40">
        <v>260</v>
      </c>
      <c r="AS16" s="39">
        <f t="shared" si="56"/>
        <v>311195999.99999994</v>
      </c>
      <c r="AU16" s="13"/>
      <c r="AW16" s="48">
        <f t="shared" si="47"/>
        <v>12</v>
      </c>
      <c r="AX16" s="12">
        <f t="shared" si="4"/>
        <v>45183</v>
      </c>
      <c r="AY16" s="15">
        <f t="shared" si="5"/>
        <v>32237415.277323749</v>
      </c>
      <c r="AZ16" s="14">
        <f t="shared" si="48"/>
        <v>12000000</v>
      </c>
      <c r="BB16" s="14">
        <v>160000000</v>
      </c>
      <c r="BC16" s="1">
        <f t="shared" si="6"/>
        <v>0</v>
      </c>
      <c r="BD16" s="14" t="e">
        <f t="shared" si="7"/>
        <v>#DIV/0!</v>
      </c>
      <c r="BE16" s="14"/>
      <c r="BF16" s="14"/>
      <c r="BG16" s="14"/>
      <c r="BI16" s="40">
        <v>110</v>
      </c>
      <c r="BJ16" s="39">
        <f t="shared" si="57"/>
        <v>182363800</v>
      </c>
      <c r="BK16" s="40">
        <v>260</v>
      </c>
      <c r="BL16" s="39">
        <f t="shared" si="58"/>
        <v>420128799.99999994</v>
      </c>
      <c r="BN16" s="13"/>
      <c r="BO16" s="13"/>
      <c r="BP16" s="40">
        <v>100</v>
      </c>
      <c r="BQ16" s="39">
        <f t="shared" si="59"/>
        <v>125186000</v>
      </c>
      <c r="BR16" s="110">
        <v>0.25</v>
      </c>
      <c r="BS16" s="39">
        <f t="shared" si="60"/>
        <v>156482500</v>
      </c>
      <c r="BU16" s="13"/>
      <c r="BW16" s="48" t="str">
        <f t="shared" si="8"/>
        <v>N1-12</v>
      </c>
      <c r="BX16" s="12">
        <f t="shared" si="9"/>
        <v>44189</v>
      </c>
      <c r="BY16" s="15">
        <f t="shared" si="10"/>
        <v>19022130.495591365</v>
      </c>
      <c r="BZ16" s="14">
        <f t="shared" si="11"/>
        <v>3000000</v>
      </c>
      <c r="CB16" s="1">
        <v>4</v>
      </c>
      <c r="CC16" s="1">
        <v>50</v>
      </c>
      <c r="CE16" s="40">
        <v>60</v>
      </c>
      <c r="CF16" s="39">
        <f t="shared" si="61"/>
        <v>91522000</v>
      </c>
      <c r="CG16" s="40">
        <v>260</v>
      </c>
      <c r="CH16" s="39">
        <f t="shared" si="62"/>
        <v>346222000.00000006</v>
      </c>
      <c r="CJ16" s="13"/>
      <c r="CK16" s="13"/>
      <c r="CL16" s="48" t="str">
        <f t="shared" si="12"/>
        <v>A1-12</v>
      </c>
      <c r="CM16" s="12">
        <f t="shared" si="13"/>
        <v>44301</v>
      </c>
      <c r="CN16" s="49">
        <f t="shared" si="14"/>
        <v>63615309.698996648</v>
      </c>
      <c r="CO16" s="49">
        <f t="shared" si="15"/>
        <v>50000000</v>
      </c>
      <c r="CQ16" s="1">
        <v>3</v>
      </c>
      <c r="CR16" s="1">
        <v>30</v>
      </c>
      <c r="CT16" s="40">
        <v>60</v>
      </c>
      <c r="CU16" s="39">
        <f t="shared" si="63"/>
        <v>85350000</v>
      </c>
      <c r="CV16" s="40">
        <v>260</v>
      </c>
      <c r="CW16" s="39">
        <f t="shared" si="64"/>
        <v>328970000</v>
      </c>
      <c r="CY16" s="13"/>
      <c r="DA16" s="48" t="str">
        <f t="shared" si="16"/>
        <v>N2-12</v>
      </c>
      <c r="DB16" s="12">
        <f t="shared" si="17"/>
        <v>44784</v>
      </c>
      <c r="DC16" s="15">
        <f t="shared" si="18"/>
        <v>39456376.284584977</v>
      </c>
      <c r="DD16" s="14">
        <f t="shared" si="19"/>
        <v>20000000</v>
      </c>
      <c r="DF16" s="1">
        <v>3</v>
      </c>
      <c r="DG16" s="1">
        <v>20</v>
      </c>
      <c r="DI16" s="40">
        <v>60</v>
      </c>
      <c r="DJ16" s="39">
        <f t="shared" si="65"/>
        <v>80795000</v>
      </c>
      <c r="DK16" s="40">
        <v>260</v>
      </c>
      <c r="DL16" s="39">
        <f t="shared" si="66"/>
        <v>290735000</v>
      </c>
      <c r="DN16" s="13"/>
      <c r="DO16" s="13"/>
      <c r="DP16" s="48" t="str">
        <f t="shared" si="20"/>
        <v>A2-12</v>
      </c>
      <c r="DQ16" s="12">
        <f t="shared" si="21"/>
        <v>44896</v>
      </c>
      <c r="DR16" s="15">
        <f t="shared" si="22"/>
        <v>25213057.950744905</v>
      </c>
      <c r="DS16" s="14">
        <f t="shared" si="23"/>
        <v>8000000</v>
      </c>
      <c r="DU16" s="1">
        <v>2</v>
      </c>
      <c r="DV16" s="1">
        <v>20</v>
      </c>
      <c r="DX16" s="40">
        <v>60</v>
      </c>
      <c r="DY16" s="39">
        <f t="shared" si="67"/>
        <v>85350000</v>
      </c>
      <c r="DZ16" s="40">
        <v>260</v>
      </c>
      <c r="EA16" s="39">
        <f t="shared" si="68"/>
        <v>328970000</v>
      </c>
      <c r="EC16" s="13"/>
      <c r="ED16" s="13"/>
      <c r="EE16" s="40">
        <v>60</v>
      </c>
      <c r="EF16" s="39">
        <f t="shared" si="69"/>
        <v>62701000</v>
      </c>
      <c r="EG16" s="40">
        <v>260</v>
      </c>
      <c r="EH16" s="39">
        <f t="shared" si="70"/>
        <v>221001000</v>
      </c>
      <c r="EJ16" s="13"/>
      <c r="EK16" s="13"/>
      <c r="EL16" s="47" t="str">
        <f t="shared" si="25"/>
        <v>FY18-12</v>
      </c>
      <c r="EM16" s="16">
        <v>42999</v>
      </c>
      <c r="EN16" s="15">
        <v>69849422.718647569</v>
      </c>
      <c r="EO16" s="14">
        <f t="shared" si="26"/>
        <v>50000000</v>
      </c>
      <c r="EQ16" s="14">
        <v>50000000</v>
      </c>
      <c r="ER16" s="1">
        <f t="shared" si="27"/>
        <v>2</v>
      </c>
      <c r="ET16" s="40">
        <v>110</v>
      </c>
      <c r="EU16" s="39">
        <f t="shared" si="71"/>
        <v>127078200.00000001</v>
      </c>
      <c r="EV16" s="40">
        <v>260</v>
      </c>
      <c r="EW16" s="39">
        <f t="shared" si="72"/>
        <v>286963200</v>
      </c>
      <c r="EX16" s="13"/>
      <c r="EY16" s="13"/>
      <c r="EZ16" s="13"/>
      <c r="FA16" s="16" t="s">
        <v>33</v>
      </c>
      <c r="FB16" s="16">
        <v>43363</v>
      </c>
      <c r="FC16" s="15">
        <v>36523512.523839787</v>
      </c>
      <c r="FD16" s="14">
        <v>30000000</v>
      </c>
      <c r="FF16" s="14" t="s">
        <v>107</v>
      </c>
      <c r="FG16" s="1">
        <f>SUM(FG5:FG15)</f>
        <v>52</v>
      </c>
      <c r="FI16" s="40">
        <v>40</v>
      </c>
      <c r="FJ16" s="39">
        <f t="shared" si="73"/>
        <v>55904500</v>
      </c>
      <c r="FK16" s="40"/>
      <c r="FL16" s="39"/>
      <c r="FN16" s="13"/>
      <c r="FO16" s="13"/>
      <c r="FP16" s="40">
        <v>40</v>
      </c>
      <c r="FQ16" s="39">
        <f t="shared" si="74"/>
        <v>48287400</v>
      </c>
      <c r="FR16" s="40"/>
      <c r="FS16" s="39"/>
      <c r="FU16" s="13"/>
      <c r="FV16" s="13"/>
      <c r="FW16" s="16" t="s">
        <v>39</v>
      </c>
      <c r="FX16" s="16">
        <v>43727</v>
      </c>
      <c r="FY16" s="15">
        <v>202664966.89151555</v>
      </c>
      <c r="FZ16" s="14">
        <v>150000000</v>
      </c>
      <c r="GB16" s="14">
        <v>150000000</v>
      </c>
      <c r="GC16" s="1">
        <f t="shared" si="29"/>
        <v>1</v>
      </c>
      <c r="GD16" s="15">
        <f t="shared" si="30"/>
        <v>202664966.89151555</v>
      </c>
      <c r="GF16" s="40">
        <v>60</v>
      </c>
      <c r="GG16" s="39">
        <f t="shared" si="75"/>
        <v>75767000</v>
      </c>
      <c r="GH16" s="40">
        <v>40</v>
      </c>
      <c r="GI16" s="39">
        <f t="shared" si="76"/>
        <v>53932999.999999993</v>
      </c>
      <c r="GK16" s="13"/>
      <c r="GL16" s="13"/>
      <c r="GM16" s="40">
        <v>60</v>
      </c>
      <c r="GN16" s="39">
        <f t="shared" si="77"/>
        <v>62701000</v>
      </c>
      <c r="GO16" s="40">
        <v>40</v>
      </c>
      <c r="GP16" s="39">
        <f t="shared" si="78"/>
        <v>46871000</v>
      </c>
      <c r="GR16" s="13"/>
      <c r="GS16" s="13"/>
      <c r="GT16" s="16" t="s">
        <v>38</v>
      </c>
      <c r="GU16" s="16">
        <v>44091</v>
      </c>
      <c r="GV16" s="15">
        <v>82205458.680449992</v>
      </c>
      <c r="GW16" s="14">
        <v>60000000</v>
      </c>
      <c r="GY16" s="52" t="s">
        <v>42</v>
      </c>
      <c r="GZ16" s="52" t="s">
        <v>41</v>
      </c>
      <c r="HB16" s="40">
        <v>120</v>
      </c>
      <c r="HC16" s="39">
        <f t="shared" si="79"/>
        <v>153174000</v>
      </c>
      <c r="HD16" s="40">
        <v>80</v>
      </c>
      <c r="HE16" s="39">
        <f t="shared" si="80"/>
        <v>107170000</v>
      </c>
      <c r="HG16" s="13"/>
      <c r="HH16" s="13"/>
      <c r="HI16" s="16" t="s">
        <v>35</v>
      </c>
      <c r="HJ16" s="16">
        <v>44455</v>
      </c>
      <c r="HK16" s="15">
        <v>25355454.910307083</v>
      </c>
      <c r="HL16" s="14">
        <v>8000000</v>
      </c>
      <c r="HN16" s="55" t="s">
        <v>111</v>
      </c>
      <c r="HO16" s="54"/>
      <c r="HQ16" s="40">
        <v>80</v>
      </c>
      <c r="HR16" s="39">
        <f t="shared" si="81"/>
        <v>122485999.99999999</v>
      </c>
      <c r="HS16" s="40">
        <v>80</v>
      </c>
      <c r="HT16" s="39">
        <f t="shared" si="82"/>
        <v>122485999.99999999</v>
      </c>
      <c r="HV16" s="13"/>
      <c r="HW16" s="13"/>
      <c r="HX16" s="40">
        <v>80</v>
      </c>
      <c r="HY16" s="39">
        <f t="shared" si="83"/>
        <v>107696999.99999999</v>
      </c>
      <c r="HZ16" s="40">
        <v>80</v>
      </c>
      <c r="IA16" s="39">
        <f t="shared" si="84"/>
        <v>107696999.99999999</v>
      </c>
      <c r="IC16" s="13"/>
      <c r="ID16" s="13"/>
      <c r="IE16" s="16" t="s">
        <v>37</v>
      </c>
      <c r="IF16" s="16">
        <v>44826</v>
      </c>
      <c r="IG16" s="15">
        <v>22659829.73548191</v>
      </c>
      <c r="IH16" s="14">
        <v>8000000</v>
      </c>
      <c r="IM16" s="40">
        <v>110</v>
      </c>
      <c r="IN16" s="39">
        <f t="shared" si="85"/>
        <v>196089000.00000003</v>
      </c>
      <c r="IO16" s="40">
        <v>260</v>
      </c>
      <c r="IP16" s="39">
        <f t="shared" si="86"/>
        <v>453699000</v>
      </c>
      <c r="IR16" s="13"/>
      <c r="IS16" s="13"/>
      <c r="IT16" s="111">
        <v>15</v>
      </c>
      <c r="IU16" s="39">
        <f t="shared" si="87"/>
        <v>33658000</v>
      </c>
      <c r="IV16" s="40">
        <v>260</v>
      </c>
      <c r="IW16" s="39">
        <f t="shared" si="88"/>
        <v>314330000</v>
      </c>
      <c r="IY16" s="13"/>
      <c r="IZ16" s="13"/>
      <c r="JA16" s="16" t="s">
        <v>115</v>
      </c>
      <c r="JB16" s="16">
        <v>45190</v>
      </c>
      <c r="JC16" s="15">
        <v>41746812.901819773</v>
      </c>
      <c r="JD16" s="14">
        <v>20000000</v>
      </c>
      <c r="JG16" s="1">
        <f>SUM(JG5:JG15)</f>
        <v>52</v>
      </c>
      <c r="JI16" s="40">
        <v>110</v>
      </c>
      <c r="JJ16" s="39">
        <f t="shared" si="89"/>
        <v>196089000.00000003</v>
      </c>
      <c r="JK16" s="40">
        <v>260</v>
      </c>
      <c r="JL16" s="39">
        <f t="shared" si="90"/>
        <v>453699000</v>
      </c>
      <c r="JN16" s="13"/>
      <c r="JO16" s="13"/>
      <c r="JP16" s="111">
        <v>15</v>
      </c>
      <c r="JQ16" s="39">
        <f t="shared" si="91"/>
        <v>32502499.999999996</v>
      </c>
      <c r="JR16" s="69"/>
      <c r="JS16" s="69"/>
      <c r="JU16" s="13"/>
      <c r="JV16" s="13"/>
      <c r="JW16" s="16" t="s">
        <v>83</v>
      </c>
      <c r="JX16" s="16">
        <v>42999</v>
      </c>
      <c r="JY16" s="15">
        <v>69624500</v>
      </c>
      <c r="JZ16" s="14">
        <v>50000000</v>
      </c>
      <c r="KB16" s="1">
        <v>1</v>
      </c>
      <c r="KC16" s="1">
        <v>3</v>
      </c>
      <c r="KE16" s="16" t="s">
        <v>82</v>
      </c>
      <c r="KF16" s="16">
        <v>43181</v>
      </c>
      <c r="KG16" s="15">
        <v>52143080</v>
      </c>
      <c r="KH16" s="14">
        <v>40000000</v>
      </c>
      <c r="KJ16" s="14">
        <v>55000000</v>
      </c>
      <c r="KK16" s="1">
        <f t="shared" si="35"/>
        <v>1</v>
      </c>
      <c r="KM16" s="16" t="s">
        <v>81</v>
      </c>
      <c r="KN16" s="16">
        <v>43363</v>
      </c>
      <c r="KO16" s="15">
        <v>37562184</v>
      </c>
      <c r="KP16" s="14">
        <v>30000000</v>
      </c>
      <c r="KS16" s="1">
        <f>SUM(KS5:KS15)</f>
        <v>26</v>
      </c>
      <c r="KU16" s="16" t="s">
        <v>79</v>
      </c>
      <c r="KV16" s="16">
        <v>43545</v>
      </c>
      <c r="KW16" s="15">
        <v>21428220</v>
      </c>
      <c r="KX16" s="14">
        <v>12000000</v>
      </c>
      <c r="KZ16" s="55" t="s">
        <v>79</v>
      </c>
      <c r="LA16" s="54"/>
      <c r="LC16" s="16" t="s">
        <v>78</v>
      </c>
      <c r="LD16" s="16">
        <v>43727</v>
      </c>
      <c r="LE16" s="15">
        <v>207327384</v>
      </c>
      <c r="LF16" s="14">
        <v>150000000</v>
      </c>
      <c r="LH16" s="14">
        <v>110000000</v>
      </c>
      <c r="LI16" s="1">
        <f t="shared" si="38"/>
        <v>1</v>
      </c>
      <c r="LK16" s="16" t="s">
        <v>77</v>
      </c>
      <c r="LL16" s="16">
        <v>43909</v>
      </c>
      <c r="LM16" s="15">
        <v>65573640</v>
      </c>
      <c r="LN16" s="14">
        <v>60000000</v>
      </c>
      <c r="LP16" s="55" t="s">
        <v>77</v>
      </c>
      <c r="LQ16" s="54"/>
      <c r="LS16" s="16" t="s">
        <v>70</v>
      </c>
      <c r="LT16" s="16">
        <v>44091</v>
      </c>
      <c r="LU16" s="15">
        <v>83651040</v>
      </c>
      <c r="LV16" s="14">
        <v>60000000</v>
      </c>
      <c r="LX16" s="1">
        <v>1</v>
      </c>
      <c r="LY16" s="1">
        <v>3</v>
      </c>
      <c r="MA16" s="16" t="s">
        <v>86</v>
      </c>
      <c r="MB16" s="16">
        <v>44280</v>
      </c>
      <c r="MC16" s="15">
        <v>23764554</v>
      </c>
      <c r="MD16" s="14">
        <v>8000000</v>
      </c>
      <c r="MF16" s="1">
        <v>1</v>
      </c>
      <c r="MG16" s="1">
        <v>3</v>
      </c>
      <c r="MI16" s="16" t="s">
        <v>69</v>
      </c>
      <c r="MJ16" s="16">
        <v>44455</v>
      </c>
      <c r="MK16" s="15">
        <v>26151642</v>
      </c>
      <c r="ML16" s="14">
        <v>8000000</v>
      </c>
      <c r="MN16" s="1">
        <v>1</v>
      </c>
      <c r="MO16" s="1">
        <v>3</v>
      </c>
      <c r="MQ16" s="16" t="s">
        <v>76</v>
      </c>
      <c r="MR16" s="16">
        <v>44644</v>
      </c>
      <c r="MS16" s="15">
        <v>19707336</v>
      </c>
      <c r="MT16" s="14">
        <v>3000000</v>
      </c>
      <c r="MV16" s="52" t="s">
        <v>42</v>
      </c>
      <c r="MW16" s="52" t="s">
        <v>41</v>
      </c>
      <c r="MY16" s="16" t="s">
        <v>110</v>
      </c>
      <c r="MZ16" s="16">
        <v>42915</v>
      </c>
      <c r="NA16" s="15">
        <v>17675350</v>
      </c>
      <c r="NB16" s="14">
        <v>6000000</v>
      </c>
      <c r="NG16" s="40">
        <v>110</v>
      </c>
      <c r="NH16" s="39">
        <f t="shared" si="92"/>
        <v>136409000</v>
      </c>
      <c r="NI16" s="40">
        <v>260</v>
      </c>
      <c r="NJ16" s="39">
        <f t="shared" si="93"/>
        <v>308623999.99999994</v>
      </c>
      <c r="NL16" s="13"/>
      <c r="NN16" s="16" t="s">
        <v>33</v>
      </c>
      <c r="NO16" s="16">
        <v>43286</v>
      </c>
      <c r="NP16" s="15">
        <v>20156862</v>
      </c>
      <c r="NQ16" s="14">
        <v>12000000</v>
      </c>
      <c r="NT16" s="1">
        <f>SUM(NT5:NT15)</f>
        <v>53</v>
      </c>
      <c r="NV16" s="40">
        <v>110</v>
      </c>
      <c r="NW16" s="39">
        <f t="shared" si="94"/>
        <v>137503200</v>
      </c>
      <c r="NX16" s="40">
        <v>260</v>
      </c>
      <c r="NY16" s="39">
        <f t="shared" si="95"/>
        <v>318373200</v>
      </c>
      <c r="OA16" s="13"/>
      <c r="OB16" s="1"/>
    </row>
    <row r="17" spans="2:392" x14ac:dyDescent="0.2">
      <c r="B17" s="5"/>
      <c r="C17" s="5"/>
      <c r="D17" s="5"/>
      <c r="F17" s="5"/>
      <c r="G17" s="5"/>
      <c r="H17" s="5"/>
      <c r="I17" s="5"/>
      <c r="K17" s="7">
        <v>13</v>
      </c>
      <c r="M17" s="5" t="str" cm="1">
        <f t="array" ref="M17">LOOKUP(2,1/($G$19:$G$35&lt;=$V17)/($H$19:$H$35&gt;=$V17),$F$19:$F$35)</f>
        <v>2H17</v>
      </c>
      <c r="N17" s="5" t="str" cm="1">
        <f t="array" ref="N17">LOOKUP(2,1/($G$8:$G$16&lt;=$V17)/($H$8:$H$16&gt;=$V17),$F$8:$F$16)</f>
        <v>FY17</v>
      </c>
      <c r="O17" s="5" t="str">
        <f>IFERROR(N17&amp;"-"&amp;COUNTIF($N$5:N17,N17),NA())</f>
        <v>FY17-13</v>
      </c>
      <c r="P17" s="5">
        <f>COUNTIF(V$5:V17,"&gt;="&amp;MAX($V:$V)-183)</f>
        <v>0</v>
      </c>
      <c r="Q17" s="5">
        <f>COUNTIF(V$5:V17,"&gt;="&amp;MAX($V:$V)-365)</f>
        <v>0</v>
      </c>
      <c r="R17" s="5" cm="1">
        <f t="array" ref="R17">LOOKUP(2,1/($G$46:$G$50&lt;=$V17)/($H$46:$H$50&gt;=$V17),$F$46:$F$50)</f>
        <v>0</v>
      </c>
      <c r="S17" s="5" cm="1">
        <f t="array" ref="S17">LOOKUP(2,1/($G$53:$G$56&lt;=$V17)/($H$53:$H$56&gt;=$V17),$F$53:$F$56)</f>
        <v>0</v>
      </c>
      <c r="T17" s="5" t="e">
        <f>IFERROR(IF($R17&gt;0,$R17&amp;"-"&amp;COUNTIF($R$5:$R17,$R17),NA()),NA())</f>
        <v>#N/A</v>
      </c>
      <c r="U17" s="5" t="e">
        <f>IFERROR(IF($S17&gt;0,$S17&amp;"-"&amp;COUNTIF($S$5:$S17,$S17),NA()),NA())</f>
        <v>#N/A</v>
      </c>
      <c r="V17" s="10">
        <v>42824</v>
      </c>
      <c r="W17" s="9">
        <v>25394533.151630152</v>
      </c>
      <c r="X17" s="9">
        <v>23592791.024521992</v>
      </c>
      <c r="Y17" s="8">
        <v>15000000</v>
      </c>
      <c r="AA17" s="48">
        <f t="shared" si="46"/>
        <v>13</v>
      </c>
      <c r="AB17" s="12">
        <f t="shared" si="0"/>
        <v>45372</v>
      </c>
      <c r="AC17" s="15">
        <f t="shared" si="1"/>
        <v>19763648.7959028</v>
      </c>
      <c r="AD17" s="14">
        <f t="shared" si="2"/>
        <v>4000000</v>
      </c>
      <c r="AF17" s="55" t="s">
        <v>16</v>
      </c>
      <c r="AG17" s="54"/>
      <c r="AI17" s="40">
        <v>120</v>
      </c>
      <c r="AJ17" s="39">
        <f t="shared" si="53"/>
        <v>207179800</v>
      </c>
      <c r="AK17" s="40">
        <v>270</v>
      </c>
      <c r="AL17" s="39">
        <f t="shared" si="54"/>
        <v>456539800</v>
      </c>
      <c r="AN17" s="13"/>
      <c r="AO17" s="13"/>
      <c r="AP17" s="40">
        <v>120</v>
      </c>
      <c r="AQ17" s="39">
        <f t="shared" si="55"/>
        <v>152729999.99999997</v>
      </c>
      <c r="AR17" s="40">
        <v>270</v>
      </c>
      <c r="AS17" s="39">
        <f t="shared" si="56"/>
        <v>322515000</v>
      </c>
      <c r="AU17" s="13"/>
      <c r="AW17" s="48">
        <f t="shared" si="47"/>
        <v>13</v>
      </c>
      <c r="AX17" s="12">
        <f t="shared" si="4"/>
        <v>45190</v>
      </c>
      <c r="AY17" s="15">
        <f t="shared" si="5"/>
        <v>41746812.901819773</v>
      </c>
      <c r="AZ17" s="14">
        <f t="shared" si="48"/>
        <v>20000000</v>
      </c>
      <c r="BB17" s="14" t="s">
        <v>107</v>
      </c>
      <c r="BC17" s="1">
        <f>SUM(BC5:BC16)</f>
        <v>42</v>
      </c>
      <c r="BI17" s="40">
        <v>120</v>
      </c>
      <c r="BJ17" s="39">
        <f t="shared" si="57"/>
        <v>198214800</v>
      </c>
      <c r="BK17" s="40">
        <v>270</v>
      </c>
      <c r="BL17" s="39">
        <f t="shared" si="58"/>
        <v>435979799.99999994</v>
      </c>
      <c r="BN17" s="13"/>
      <c r="BO17" s="13"/>
      <c r="BP17" s="40">
        <v>160</v>
      </c>
      <c r="BQ17" s="39">
        <f t="shared" si="59"/>
        <v>190358000</v>
      </c>
      <c r="BR17" s="110">
        <v>0.25</v>
      </c>
      <c r="BS17" s="39">
        <f t="shared" si="60"/>
        <v>237947500</v>
      </c>
      <c r="BU17" s="13"/>
      <c r="BW17" s="48" t="str">
        <f t="shared" si="8"/>
        <v>N1-13</v>
      </c>
      <c r="BX17" s="12">
        <f t="shared" si="9"/>
        <v>44196</v>
      </c>
      <c r="BY17" s="15">
        <f t="shared" si="10"/>
        <v>25387217.756156884</v>
      </c>
      <c r="BZ17" s="14">
        <f t="shared" si="11"/>
        <v>8000000</v>
      </c>
      <c r="CE17" s="40">
        <v>70</v>
      </c>
      <c r="CF17" s="39">
        <f t="shared" si="61"/>
        <v>104257000</v>
      </c>
      <c r="CG17" s="40">
        <v>270</v>
      </c>
      <c r="CH17" s="39">
        <f t="shared" si="62"/>
        <v>358957000.00000006</v>
      </c>
      <c r="CJ17" s="13"/>
      <c r="CK17" s="13"/>
      <c r="CL17" s="48" t="str">
        <f t="shared" si="12"/>
        <v>A1-13</v>
      </c>
      <c r="CM17" s="12">
        <f t="shared" si="13"/>
        <v>44308</v>
      </c>
      <c r="CN17" s="49">
        <f t="shared" si="14"/>
        <v>118500310.611128</v>
      </c>
      <c r="CO17" s="49">
        <f t="shared" si="15"/>
        <v>80000000</v>
      </c>
      <c r="CQ17" s="1">
        <v>4</v>
      </c>
      <c r="CR17" s="1">
        <v>50</v>
      </c>
      <c r="CT17" s="40">
        <v>70</v>
      </c>
      <c r="CU17" s="39">
        <f t="shared" si="63"/>
        <v>97530999.999999985</v>
      </c>
      <c r="CV17" s="40">
        <v>270</v>
      </c>
      <c r="CW17" s="39">
        <f t="shared" si="64"/>
        <v>341151000</v>
      </c>
      <c r="CY17" s="13"/>
      <c r="DA17" s="48" t="str">
        <f t="shared" si="16"/>
        <v>N2-13</v>
      </c>
      <c r="DB17" s="12">
        <f t="shared" si="17"/>
        <v>44791</v>
      </c>
      <c r="DC17" s="15">
        <f t="shared" si="18"/>
        <v>20023645.36333232</v>
      </c>
      <c r="DD17" s="14">
        <f t="shared" si="19"/>
        <v>4000000</v>
      </c>
      <c r="DF17" s="1">
        <v>4</v>
      </c>
      <c r="DG17" s="1">
        <v>40</v>
      </c>
      <c r="DI17" s="40">
        <v>70</v>
      </c>
      <c r="DJ17" s="39">
        <f t="shared" si="65"/>
        <v>91292000</v>
      </c>
      <c r="DK17" s="40">
        <v>270</v>
      </c>
      <c r="DL17" s="39">
        <f t="shared" si="66"/>
        <v>301232000</v>
      </c>
      <c r="DN17" s="13"/>
      <c r="DO17" s="13"/>
      <c r="DP17" s="48" t="str">
        <f t="shared" si="20"/>
        <v>A2-13</v>
      </c>
      <c r="DQ17" s="12">
        <f t="shared" si="21"/>
        <v>44903</v>
      </c>
      <c r="DR17" s="15">
        <f t="shared" si="22"/>
        <v>38341626.147765279</v>
      </c>
      <c r="DS17" s="14">
        <f t="shared" si="23"/>
        <v>20000000</v>
      </c>
      <c r="DU17" s="1">
        <v>3</v>
      </c>
      <c r="DV17" s="1">
        <v>30</v>
      </c>
      <c r="DX17" s="40">
        <v>70</v>
      </c>
      <c r="DY17" s="39">
        <f t="shared" si="67"/>
        <v>97530999.999999985</v>
      </c>
      <c r="DZ17" s="40">
        <v>270</v>
      </c>
      <c r="EA17" s="39">
        <f t="shared" si="68"/>
        <v>341151000</v>
      </c>
      <c r="EC17" s="13"/>
      <c r="ED17" s="13"/>
      <c r="EE17" s="40">
        <v>70</v>
      </c>
      <c r="EF17" s="39">
        <f t="shared" si="69"/>
        <v>70616000</v>
      </c>
      <c r="EG17" s="40">
        <v>270</v>
      </c>
      <c r="EH17" s="39">
        <f t="shared" si="70"/>
        <v>228916000</v>
      </c>
      <c r="EJ17" s="13"/>
      <c r="EK17" s="13"/>
      <c r="EL17" s="47" t="str">
        <f t="shared" si="25"/>
        <v>FY18-13</v>
      </c>
      <c r="EM17" s="16">
        <v>43006</v>
      </c>
      <c r="EN17" s="15">
        <v>14312979.346213557</v>
      </c>
      <c r="EO17" s="14">
        <f t="shared" si="26"/>
        <v>3000000</v>
      </c>
      <c r="EQ17" s="14">
        <v>55000000</v>
      </c>
      <c r="ER17" s="1">
        <f t="shared" si="27"/>
        <v>1</v>
      </c>
      <c r="ET17" s="40">
        <v>120</v>
      </c>
      <c r="EU17" s="39">
        <f t="shared" si="71"/>
        <v>137737200.00000003</v>
      </c>
      <c r="EV17" s="40">
        <v>270</v>
      </c>
      <c r="EW17" s="39">
        <f t="shared" si="72"/>
        <v>297622200</v>
      </c>
      <c r="EX17" s="13"/>
      <c r="EY17" s="13"/>
      <c r="EZ17" s="13"/>
      <c r="FA17" s="16" t="s">
        <v>33</v>
      </c>
      <c r="FB17" s="16">
        <v>43370</v>
      </c>
      <c r="FC17" s="15">
        <v>12986396.185632547</v>
      </c>
      <c r="FD17" s="14">
        <v>3000000</v>
      </c>
      <c r="FF17" s="14"/>
      <c r="FI17" s="40">
        <v>50</v>
      </c>
      <c r="FJ17" s="39">
        <f t="shared" si="73"/>
        <v>69243500.000000015</v>
      </c>
      <c r="FK17" s="40"/>
      <c r="FL17" s="39"/>
      <c r="FN17" s="13"/>
      <c r="FO17" s="13"/>
      <c r="FP17" s="40">
        <v>50</v>
      </c>
      <c r="FQ17" s="39">
        <f t="shared" si="74"/>
        <v>58329400</v>
      </c>
      <c r="FR17" s="40"/>
      <c r="FS17" s="39"/>
      <c r="FU17" s="13"/>
      <c r="FV17" s="13"/>
      <c r="FW17" s="16" t="s">
        <v>39</v>
      </c>
      <c r="FX17" s="16">
        <v>43734</v>
      </c>
      <c r="FY17" s="15">
        <v>15306639.767312331</v>
      </c>
      <c r="FZ17" s="14">
        <v>3000000</v>
      </c>
      <c r="GB17" s="14" t="s">
        <v>107</v>
      </c>
      <c r="GC17" s="1">
        <f>SUM(GC5:GC16)</f>
        <v>52</v>
      </c>
      <c r="GF17" s="40">
        <v>80</v>
      </c>
      <c r="GG17" s="39">
        <f t="shared" si="75"/>
        <v>97600999.999999985</v>
      </c>
      <c r="GH17" s="40">
        <v>60</v>
      </c>
      <c r="GI17" s="39">
        <f t="shared" si="76"/>
        <v>75767000</v>
      </c>
      <c r="GK17" s="13"/>
      <c r="GL17" s="13"/>
      <c r="GM17" s="40">
        <v>80</v>
      </c>
      <c r="GN17" s="39">
        <f t="shared" si="77"/>
        <v>78531000</v>
      </c>
      <c r="GO17" s="40">
        <v>60</v>
      </c>
      <c r="GP17" s="39">
        <f t="shared" si="78"/>
        <v>62701000</v>
      </c>
      <c r="GR17" s="13"/>
      <c r="GS17" s="13"/>
      <c r="GT17" s="16" t="s">
        <v>38</v>
      </c>
      <c r="GU17" s="16">
        <v>44098</v>
      </c>
      <c r="GV17" s="15">
        <v>19672046.457889937</v>
      </c>
      <c r="GW17" s="14">
        <v>3000000</v>
      </c>
      <c r="GY17" s="1">
        <v>1</v>
      </c>
      <c r="GZ17" s="1">
        <v>3</v>
      </c>
      <c r="HB17" s="40">
        <v>160</v>
      </c>
      <c r="HC17" s="39">
        <f t="shared" si="79"/>
        <v>199178000</v>
      </c>
      <c r="HD17" s="40">
        <v>120</v>
      </c>
      <c r="HE17" s="39">
        <f>($HC$8*HD17^2+$HD$8*HD17+$HE$8)*1000000</f>
        <v>153174000</v>
      </c>
      <c r="HG17" s="13"/>
      <c r="HH17" s="13"/>
      <c r="HI17" s="16" t="s">
        <v>35</v>
      </c>
      <c r="HJ17" s="16">
        <v>44462</v>
      </c>
      <c r="HK17" s="15">
        <v>19222718.151413802</v>
      </c>
      <c r="HL17" s="14">
        <v>3000000</v>
      </c>
      <c r="HN17" s="52" t="s">
        <v>42</v>
      </c>
      <c r="HO17" s="52" t="s">
        <v>41</v>
      </c>
      <c r="HQ17" s="40">
        <v>120</v>
      </c>
      <c r="HR17" s="39">
        <f t="shared" si="81"/>
        <v>177798000</v>
      </c>
      <c r="HS17" s="40">
        <v>120</v>
      </c>
      <c r="HT17" s="39">
        <f t="shared" si="82"/>
        <v>177798000</v>
      </c>
      <c r="HV17" s="13"/>
      <c r="HW17" s="13"/>
      <c r="HX17" s="40">
        <v>120</v>
      </c>
      <c r="HY17" s="39">
        <f t="shared" si="83"/>
        <v>153613000</v>
      </c>
      <c r="HZ17" s="40">
        <v>120</v>
      </c>
      <c r="IA17" s="39">
        <f t="shared" si="84"/>
        <v>153613000</v>
      </c>
      <c r="IC17" s="13"/>
      <c r="ID17" s="13"/>
      <c r="IE17" s="16" t="s">
        <v>37</v>
      </c>
      <c r="IF17" s="16">
        <v>44833</v>
      </c>
      <c r="IG17" s="15">
        <v>35905405.655214347</v>
      </c>
      <c r="IH17" s="14">
        <v>20000000</v>
      </c>
      <c r="IM17" s="40">
        <v>120</v>
      </c>
      <c r="IN17" s="39">
        <f t="shared" si="85"/>
        <v>213263000</v>
      </c>
      <c r="IO17" s="40">
        <v>270</v>
      </c>
      <c r="IP17" s="39">
        <f t="shared" si="86"/>
        <v>470873000.00000006</v>
      </c>
      <c r="IR17" s="13"/>
      <c r="IS17" s="13"/>
      <c r="IT17" s="111">
        <v>20</v>
      </c>
      <c r="IU17" s="39">
        <f t="shared" si="87"/>
        <v>39385999.999999993</v>
      </c>
      <c r="IV17" s="40">
        <v>270</v>
      </c>
      <c r="IW17" s="39">
        <f t="shared" si="88"/>
        <v>325786000</v>
      </c>
      <c r="IY17" s="13"/>
      <c r="IZ17" s="13"/>
      <c r="JA17" s="16" t="s">
        <v>115</v>
      </c>
      <c r="JB17" s="16">
        <v>45197</v>
      </c>
      <c r="JC17" s="15">
        <v>56641298.899422474</v>
      </c>
      <c r="JD17" s="14">
        <v>40000000</v>
      </c>
      <c r="JI17" s="40">
        <v>120</v>
      </c>
      <c r="JJ17" s="39">
        <f t="shared" si="89"/>
        <v>213263000</v>
      </c>
      <c r="JK17" s="40">
        <v>270</v>
      </c>
      <c r="JL17" s="39">
        <f t="shared" si="90"/>
        <v>470873000.00000006</v>
      </c>
      <c r="JN17" s="13"/>
      <c r="JO17" s="13"/>
      <c r="JP17" s="111">
        <v>20</v>
      </c>
      <c r="JQ17" s="39">
        <f t="shared" si="91"/>
        <v>37729000</v>
      </c>
      <c r="JR17" s="69"/>
      <c r="JS17" s="69"/>
      <c r="JU17" s="13"/>
      <c r="JV17" s="13"/>
      <c r="JW17" s="16" t="s">
        <v>83</v>
      </c>
      <c r="JX17" s="16">
        <v>43006</v>
      </c>
      <c r="JY17" s="15">
        <v>14266890</v>
      </c>
      <c r="JZ17" s="14">
        <v>3000000</v>
      </c>
      <c r="KB17" s="1">
        <v>2</v>
      </c>
      <c r="KC17" s="1">
        <v>6</v>
      </c>
      <c r="KE17" s="16" t="s">
        <v>82</v>
      </c>
      <c r="KF17" s="16">
        <v>43188</v>
      </c>
      <c r="KG17" s="15">
        <v>15080230</v>
      </c>
      <c r="KH17" s="14">
        <v>3000000</v>
      </c>
      <c r="KK17" s="1">
        <f>SUM(KK5:KK16)</f>
        <v>26</v>
      </c>
      <c r="KM17" s="16" t="s">
        <v>81</v>
      </c>
      <c r="KN17" s="16">
        <v>43370</v>
      </c>
      <c r="KO17" s="15">
        <v>12930786</v>
      </c>
      <c r="KP17" s="14">
        <v>3000000</v>
      </c>
      <c r="KU17" s="16" t="s">
        <v>79</v>
      </c>
      <c r="KV17" s="16">
        <v>43552</v>
      </c>
      <c r="KW17" s="15">
        <v>26306280</v>
      </c>
      <c r="KX17" s="14">
        <v>20000000</v>
      </c>
      <c r="KZ17" s="52" t="s">
        <v>42</v>
      </c>
      <c r="LA17" s="52" t="s">
        <v>41</v>
      </c>
      <c r="LC17" s="16" t="s">
        <v>78</v>
      </c>
      <c r="LD17" s="16">
        <v>43734</v>
      </c>
      <c r="LE17" s="15">
        <v>15786738</v>
      </c>
      <c r="LF17" s="14">
        <v>3000000</v>
      </c>
      <c r="LH17" s="14">
        <v>150000000</v>
      </c>
      <c r="LI17" s="1">
        <f t="shared" si="38"/>
        <v>1</v>
      </c>
      <c r="LK17" s="16" t="s">
        <v>77</v>
      </c>
      <c r="LL17" s="16">
        <v>43916</v>
      </c>
      <c r="LM17" s="15">
        <v>85889496</v>
      </c>
      <c r="LN17" s="14">
        <v>80000000</v>
      </c>
      <c r="LP17" s="52" t="s">
        <v>42</v>
      </c>
      <c r="LQ17" s="52" t="s">
        <v>41</v>
      </c>
      <c r="LS17" s="16" t="s">
        <v>70</v>
      </c>
      <c r="LT17" s="16">
        <v>44098</v>
      </c>
      <c r="LU17" s="15">
        <v>20388324</v>
      </c>
      <c r="LV17" s="14">
        <v>3000000</v>
      </c>
      <c r="LX17" s="1">
        <v>2</v>
      </c>
      <c r="LY17" s="1">
        <v>8</v>
      </c>
      <c r="MA17" s="16" t="s">
        <v>86</v>
      </c>
      <c r="MB17" s="16">
        <v>44287</v>
      </c>
      <c r="MC17" s="15">
        <v>37602906</v>
      </c>
      <c r="MD17" s="14">
        <v>20000000</v>
      </c>
      <c r="MF17" s="1">
        <v>2</v>
      </c>
      <c r="MG17" s="1">
        <v>8</v>
      </c>
      <c r="MI17" s="16" t="s">
        <v>69</v>
      </c>
      <c r="MJ17" s="16">
        <v>44462</v>
      </c>
      <c r="MK17" s="15">
        <v>19924938</v>
      </c>
      <c r="ML17" s="14">
        <v>3000000</v>
      </c>
      <c r="MN17" s="1">
        <v>2</v>
      </c>
      <c r="MO17" s="1">
        <v>8</v>
      </c>
      <c r="MQ17" s="16" t="s">
        <v>76</v>
      </c>
      <c r="MR17" s="16">
        <v>44651</v>
      </c>
      <c r="MS17" s="15">
        <v>28441050</v>
      </c>
      <c r="MT17" s="14">
        <v>8000000</v>
      </c>
      <c r="MV17" s="1">
        <v>1</v>
      </c>
      <c r="MW17" s="1">
        <v>3</v>
      </c>
      <c r="MY17" s="16" t="s">
        <v>34</v>
      </c>
      <c r="MZ17" s="16">
        <v>42922</v>
      </c>
      <c r="NA17" s="15">
        <v>14265020</v>
      </c>
      <c r="NB17" s="14">
        <v>3000000</v>
      </c>
      <c r="ND17" s="55" t="s">
        <v>106</v>
      </c>
      <c r="NE17" s="54"/>
      <c r="NG17" s="40">
        <v>120</v>
      </c>
      <c r="NH17" s="39">
        <f t="shared" si="92"/>
        <v>147890000</v>
      </c>
      <c r="NI17" s="40">
        <v>270</v>
      </c>
      <c r="NJ17" s="39">
        <f t="shared" si="93"/>
        <v>320104999.99999994</v>
      </c>
      <c r="NL17" s="13"/>
      <c r="NN17" s="16" t="s">
        <v>33</v>
      </c>
      <c r="NO17" s="16">
        <v>43293</v>
      </c>
      <c r="NP17" s="15">
        <v>27395676</v>
      </c>
      <c r="NQ17" s="14">
        <v>20000000</v>
      </c>
      <c r="NV17" s="40">
        <v>120</v>
      </c>
      <c r="NW17" s="39">
        <f t="shared" si="94"/>
        <v>149561200</v>
      </c>
      <c r="NX17" s="40">
        <v>270</v>
      </c>
      <c r="NY17" s="39">
        <f t="shared" si="95"/>
        <v>330431200</v>
      </c>
      <c r="OA17" s="13"/>
      <c r="OB17" s="1"/>
    </row>
    <row r="18" spans="2:392" x14ac:dyDescent="0.2">
      <c r="B18" s="57" t="s">
        <v>109</v>
      </c>
      <c r="C18" s="57"/>
      <c r="D18" s="57"/>
      <c r="F18" s="57" t="s">
        <v>108</v>
      </c>
      <c r="G18" s="57"/>
      <c r="H18" s="57"/>
      <c r="I18" s="57"/>
      <c r="K18" s="7">
        <v>14</v>
      </c>
      <c r="M18" s="5" t="str" cm="1">
        <f t="array" ref="M18">LOOKUP(2,1/($G$19:$G$35&lt;=$V18)/($H$19:$H$35&gt;=$V18),$F$19:$F$35)</f>
        <v>2H17</v>
      </c>
      <c r="N18" s="5" t="str" cm="1">
        <f t="array" ref="N18">LOOKUP(2,1/($G$8:$G$16&lt;=$V18)/($H$8:$H$16&gt;=$V18),$F$8:$F$16)</f>
        <v>FY17</v>
      </c>
      <c r="O18" s="5" t="str">
        <f>IFERROR(N18&amp;"-"&amp;COUNTIF($N$5:N18,N18),NA())</f>
        <v>FY17-14</v>
      </c>
      <c r="P18" s="5">
        <f>COUNTIF(V$5:V18,"&gt;="&amp;MAX($V:$V)-183)</f>
        <v>0</v>
      </c>
      <c r="Q18" s="5">
        <f>COUNTIF(V$5:V18,"&gt;="&amp;MAX($V:$V)-365)</f>
        <v>0</v>
      </c>
      <c r="R18" s="5" cm="1">
        <f t="array" ref="R18">LOOKUP(2,1/($G$46:$G$50&lt;=$V18)/($H$46:$H$50&gt;=$V18),$F$46:$F$50)</f>
        <v>0</v>
      </c>
      <c r="S18" s="5" cm="1">
        <f t="array" ref="S18">LOOKUP(2,1/($G$53:$G$56&lt;=$V18)/($H$53:$H$56&gt;=$V18),$F$53:$F$56)</f>
        <v>0</v>
      </c>
      <c r="T18" s="5" t="e">
        <f>IFERROR(IF($R18&gt;0,$R18&amp;"-"&amp;COUNTIF($R$5:$R18,$R18),NA()),NA())</f>
        <v>#N/A</v>
      </c>
      <c r="U18" s="5" t="e">
        <f>IFERROR(IF($S18&gt;0,$S18&amp;"-"&amp;COUNTIF($S$5:$S18,$S18),NA()),NA())</f>
        <v>#N/A</v>
      </c>
      <c r="V18" s="10">
        <v>42831</v>
      </c>
      <c r="W18" s="9">
        <v>13936998.647576332</v>
      </c>
      <c r="X18" s="9">
        <v>12948168.593530791</v>
      </c>
      <c r="Y18" s="8">
        <v>3000000</v>
      </c>
      <c r="AA18" s="48">
        <f t="shared" si="46"/>
        <v>14</v>
      </c>
      <c r="AB18" s="12">
        <f t="shared" si="0"/>
        <v>45379</v>
      </c>
      <c r="AC18" s="15">
        <f t="shared" si="1"/>
        <v>28780959.790781304</v>
      </c>
      <c r="AD18" s="14">
        <f t="shared" si="2"/>
        <v>12000000</v>
      </c>
      <c r="AF18" s="52" t="s">
        <v>42</v>
      </c>
      <c r="AG18" s="52" t="s">
        <v>41</v>
      </c>
      <c r="AI18" s="40">
        <v>130</v>
      </c>
      <c r="AJ18" s="39">
        <f t="shared" si="53"/>
        <v>223803800.00000003</v>
      </c>
      <c r="AK18" s="40">
        <v>280</v>
      </c>
      <c r="AL18" s="39">
        <f t="shared" si="54"/>
        <v>473163800.00000006</v>
      </c>
      <c r="AN18" s="13"/>
      <c r="AO18" s="13"/>
      <c r="AP18" s="40">
        <v>130</v>
      </c>
      <c r="AQ18" s="39">
        <f t="shared" si="55"/>
        <v>164048999.99999997</v>
      </c>
      <c r="AR18" s="40">
        <v>280</v>
      </c>
      <c r="AS18" s="39">
        <f t="shared" si="56"/>
        <v>333833999.99999994</v>
      </c>
      <c r="AU18" s="13"/>
      <c r="AW18" s="48">
        <f t="shared" si="47"/>
        <v>14</v>
      </c>
      <c r="AX18" s="12">
        <f t="shared" si="4"/>
        <v>45197</v>
      </c>
      <c r="AY18" s="15">
        <f t="shared" si="5"/>
        <v>56641298.899422474</v>
      </c>
      <c r="AZ18" s="14">
        <f t="shared" si="48"/>
        <v>40000000</v>
      </c>
      <c r="BB18" s="14"/>
      <c r="BI18" s="40">
        <v>130</v>
      </c>
      <c r="BJ18" s="39">
        <f t="shared" si="57"/>
        <v>214065800</v>
      </c>
      <c r="BK18" s="40">
        <v>280</v>
      </c>
      <c r="BL18" s="39">
        <f t="shared" si="58"/>
        <v>451830799.99999994</v>
      </c>
      <c r="BN18" s="13"/>
      <c r="BO18" s="13"/>
      <c r="BP18" s="40">
        <v>240</v>
      </c>
      <c r="BQ18" s="39">
        <f t="shared" si="59"/>
        <v>277253999.99999994</v>
      </c>
      <c r="BR18" s="110">
        <v>0.25</v>
      </c>
      <c r="BS18" s="39">
        <f t="shared" si="60"/>
        <v>346567499.99999994</v>
      </c>
      <c r="BU18" s="13"/>
      <c r="BW18" s="48" t="str">
        <f t="shared" si="8"/>
        <v>N1-14</v>
      </c>
      <c r="BX18" s="12">
        <f t="shared" si="9"/>
        <v>44203</v>
      </c>
      <c r="BY18" s="15">
        <f t="shared" si="10"/>
        <v>17082868.713894803</v>
      </c>
      <c r="BZ18" s="14">
        <f t="shared" si="11"/>
        <v>3000000</v>
      </c>
      <c r="CE18" s="40">
        <v>80</v>
      </c>
      <c r="CF18" s="39">
        <f t="shared" si="61"/>
        <v>116992000</v>
      </c>
      <c r="CG18" s="40">
        <v>280</v>
      </c>
      <c r="CH18" s="39">
        <f t="shared" si="62"/>
        <v>371692000.00000006</v>
      </c>
      <c r="CJ18" s="13"/>
      <c r="CK18" s="13"/>
      <c r="CL18" s="48" t="str">
        <f t="shared" si="12"/>
        <v>A1-14</v>
      </c>
      <c r="CM18" s="12">
        <f t="shared" si="13"/>
        <v>44315</v>
      </c>
      <c r="CN18" s="49">
        <f t="shared" si="14"/>
        <v>24573953.906962603</v>
      </c>
      <c r="CO18" s="49">
        <f t="shared" si="15"/>
        <v>8000000</v>
      </c>
      <c r="CQ18" s="1">
        <v>5</v>
      </c>
      <c r="CR18" s="1">
        <v>80</v>
      </c>
      <c r="CT18" s="40">
        <v>80</v>
      </c>
      <c r="CU18" s="39">
        <f t="shared" si="63"/>
        <v>109711999.99999999</v>
      </c>
      <c r="CV18" s="40">
        <v>280</v>
      </c>
      <c r="CW18" s="39">
        <f t="shared" si="64"/>
        <v>353332000</v>
      </c>
      <c r="CY18" s="13"/>
      <c r="DA18" s="48" t="str">
        <f t="shared" si="16"/>
        <v>N2-14</v>
      </c>
      <c r="DB18" s="12">
        <f t="shared" si="17"/>
        <v>44798</v>
      </c>
      <c r="DC18" s="15">
        <f t="shared" si="18"/>
        <v>25454583.399209488</v>
      </c>
      <c r="DD18" s="14">
        <f t="shared" si="19"/>
        <v>8000000</v>
      </c>
      <c r="DF18" s="1">
        <v>5</v>
      </c>
      <c r="DG18" s="1">
        <v>60</v>
      </c>
      <c r="DI18" s="40">
        <v>80</v>
      </c>
      <c r="DJ18" s="39">
        <f t="shared" si="65"/>
        <v>101789000</v>
      </c>
      <c r="DK18" s="40">
        <v>280</v>
      </c>
      <c r="DL18" s="39">
        <f t="shared" si="66"/>
        <v>311729000</v>
      </c>
      <c r="DN18" s="13"/>
      <c r="DO18" s="13"/>
      <c r="DP18" s="48" t="str">
        <f t="shared" si="20"/>
        <v>A2-14</v>
      </c>
      <c r="DQ18" s="12">
        <f t="shared" si="21"/>
        <v>44910</v>
      </c>
      <c r="DR18" s="15">
        <f t="shared" si="22"/>
        <v>50094358.163575552</v>
      </c>
      <c r="DS18" s="14">
        <f t="shared" si="23"/>
        <v>30000000</v>
      </c>
      <c r="DU18" s="1">
        <v>4</v>
      </c>
      <c r="DV18" s="1">
        <v>50</v>
      </c>
      <c r="DX18" s="40">
        <v>80</v>
      </c>
      <c r="DY18" s="39">
        <f t="shared" si="67"/>
        <v>109711999.99999999</v>
      </c>
      <c r="DZ18" s="40">
        <v>280</v>
      </c>
      <c r="EA18" s="39">
        <f t="shared" si="68"/>
        <v>353332000</v>
      </c>
      <c r="EC18" s="13"/>
      <c r="ED18" s="13"/>
      <c r="EE18" s="40">
        <v>80</v>
      </c>
      <c r="EF18" s="39">
        <f t="shared" si="69"/>
        <v>78531000</v>
      </c>
      <c r="EG18" s="40">
        <v>280</v>
      </c>
      <c r="EH18" s="39">
        <f t="shared" si="70"/>
        <v>236831000.00000003</v>
      </c>
      <c r="EJ18" s="13"/>
      <c r="EK18" s="13"/>
      <c r="EL18" s="47" t="str">
        <f t="shared" si="25"/>
        <v>FY18-14</v>
      </c>
      <c r="EM18" s="16">
        <v>43013</v>
      </c>
      <c r="EN18" s="15">
        <v>17552791.894083146</v>
      </c>
      <c r="EO18" s="14">
        <f t="shared" si="26"/>
        <v>6000000</v>
      </c>
      <c r="EQ18" s="14" t="s">
        <v>107</v>
      </c>
      <c r="ER18" s="1">
        <f>SUM(ER5:ER17)</f>
        <v>52</v>
      </c>
      <c r="ET18" s="40">
        <v>130</v>
      </c>
      <c r="EU18" s="39">
        <f t="shared" si="71"/>
        <v>148396200.00000003</v>
      </c>
      <c r="EV18" s="40">
        <v>280</v>
      </c>
      <c r="EW18" s="39">
        <f t="shared" si="72"/>
        <v>308281200</v>
      </c>
      <c r="EX18" s="13"/>
      <c r="EY18" s="13"/>
      <c r="EZ18" s="13"/>
      <c r="FA18" s="16" t="s">
        <v>33</v>
      </c>
      <c r="FB18" s="16">
        <v>43377</v>
      </c>
      <c r="FC18" s="15">
        <v>17248674.888747614</v>
      </c>
      <c r="FD18" s="14">
        <v>8000000</v>
      </c>
      <c r="FF18" s="55" t="s">
        <v>33</v>
      </c>
      <c r="FG18" s="54"/>
      <c r="FI18" s="40">
        <v>80</v>
      </c>
      <c r="FJ18" s="39">
        <f t="shared" si="73"/>
        <v>109260500.00000001</v>
      </c>
      <c r="FK18" s="40"/>
      <c r="FL18" s="39"/>
      <c r="FN18" s="13"/>
      <c r="FO18" s="13"/>
      <c r="FP18" s="40">
        <v>80</v>
      </c>
      <c r="FQ18" s="39">
        <f t="shared" si="74"/>
        <v>88455400</v>
      </c>
      <c r="FR18" s="40"/>
      <c r="FS18" s="39"/>
      <c r="FU18" s="13"/>
      <c r="FV18" s="13"/>
      <c r="FW18" s="16" t="s">
        <v>39</v>
      </c>
      <c r="FX18" s="16">
        <v>43741</v>
      </c>
      <c r="FY18" s="15">
        <v>18203091.032860946</v>
      </c>
      <c r="FZ18" s="14">
        <v>8000000</v>
      </c>
      <c r="GB18" s="14"/>
      <c r="GF18" s="40">
        <v>100</v>
      </c>
      <c r="GG18" s="39">
        <f t="shared" si="75"/>
        <v>119434999.99999999</v>
      </c>
      <c r="GH18" s="40">
        <v>80</v>
      </c>
      <c r="GI18" s="39">
        <f t="shared" si="76"/>
        <v>97600999.999999985</v>
      </c>
      <c r="GK18" s="13"/>
      <c r="GL18" s="13"/>
      <c r="GM18" s="40">
        <v>100</v>
      </c>
      <c r="GN18" s="39">
        <f t="shared" si="77"/>
        <v>94360999.999999985</v>
      </c>
      <c r="GO18" s="40">
        <v>80</v>
      </c>
      <c r="GP18" s="39">
        <f t="shared" si="78"/>
        <v>78531000</v>
      </c>
      <c r="GR18" s="13"/>
      <c r="GS18" s="13"/>
      <c r="GT18" s="16" t="s">
        <v>38</v>
      </c>
      <c r="GU18" s="16">
        <v>44105</v>
      </c>
      <c r="GV18" s="15">
        <v>27468281.909394953</v>
      </c>
      <c r="GW18" s="14">
        <v>8000000</v>
      </c>
      <c r="GY18" s="1">
        <v>2</v>
      </c>
      <c r="GZ18" s="1">
        <v>8</v>
      </c>
      <c r="HB18" s="40">
        <v>200</v>
      </c>
      <c r="HC18" s="39">
        <f t="shared" si="79"/>
        <v>245182000</v>
      </c>
      <c r="HD18" s="40">
        <v>160</v>
      </c>
      <c r="HE18" s="39">
        <f>($HC$8*HD18^2+$HD$8*HD18+$HE$8)*1000000</f>
        <v>199178000</v>
      </c>
      <c r="HG18" s="13"/>
      <c r="HH18" s="13"/>
      <c r="HI18" s="16" t="s">
        <v>35</v>
      </c>
      <c r="HJ18" s="16">
        <v>44469</v>
      </c>
      <c r="HK18" s="15">
        <v>26314208.574034661</v>
      </c>
      <c r="HL18" s="14">
        <v>8000000</v>
      </c>
      <c r="HN18" s="1">
        <v>1</v>
      </c>
      <c r="HO18" s="1">
        <v>3</v>
      </c>
      <c r="HQ18" s="40">
        <v>160</v>
      </c>
      <c r="HR18" s="39">
        <f t="shared" si="81"/>
        <v>233110000</v>
      </c>
      <c r="HS18" s="40">
        <v>160</v>
      </c>
      <c r="HT18" s="39">
        <f t="shared" si="82"/>
        <v>233110000</v>
      </c>
      <c r="HV18" s="13"/>
      <c r="HW18" s="13"/>
      <c r="HX18" s="40">
        <v>160</v>
      </c>
      <c r="HY18" s="39">
        <f t="shared" si="83"/>
        <v>199529000</v>
      </c>
      <c r="HZ18" s="40">
        <v>160</v>
      </c>
      <c r="IA18" s="39">
        <f t="shared" si="84"/>
        <v>199529000</v>
      </c>
      <c r="IC18" s="13"/>
      <c r="ID18" s="13"/>
      <c r="IE18" s="16" t="s">
        <v>37</v>
      </c>
      <c r="IF18" s="16">
        <v>44840</v>
      </c>
      <c r="IG18" s="15">
        <v>47423181.270902999</v>
      </c>
      <c r="IH18" s="14">
        <v>30000000</v>
      </c>
      <c r="IM18" s="40">
        <v>130</v>
      </c>
      <c r="IN18" s="39">
        <f t="shared" si="85"/>
        <v>230437000</v>
      </c>
      <c r="IO18" s="40">
        <v>280</v>
      </c>
      <c r="IP18" s="39">
        <f t="shared" si="86"/>
        <v>488047000</v>
      </c>
      <c r="IR18" s="13"/>
      <c r="IS18" s="13"/>
      <c r="IT18" s="111">
        <v>25</v>
      </c>
      <c r="IU18" s="39">
        <f t="shared" si="87"/>
        <v>45114000.000000007</v>
      </c>
      <c r="IV18" s="40">
        <v>280</v>
      </c>
      <c r="IW18" s="39">
        <f t="shared" si="88"/>
        <v>337241999.99999994</v>
      </c>
      <c r="IY18" s="13"/>
      <c r="IZ18" s="13"/>
      <c r="JA18" s="16" t="s">
        <v>115</v>
      </c>
      <c r="JB18" s="16">
        <v>45204</v>
      </c>
      <c r="JC18" s="15">
        <v>85385106.4618067</v>
      </c>
      <c r="JD18" s="14">
        <v>60000000</v>
      </c>
      <c r="JF18" s="55" t="s">
        <v>174</v>
      </c>
      <c r="JG18" s="54"/>
      <c r="JI18" s="40">
        <v>130</v>
      </c>
      <c r="JJ18" s="39">
        <f t="shared" si="89"/>
        <v>230437000</v>
      </c>
      <c r="JK18" s="40">
        <v>280</v>
      </c>
      <c r="JL18" s="39">
        <f t="shared" si="90"/>
        <v>488047000</v>
      </c>
      <c r="JN18" s="13"/>
      <c r="JO18" s="13"/>
      <c r="JP18" s="111">
        <v>25</v>
      </c>
      <c r="JQ18" s="39">
        <f t="shared" si="91"/>
        <v>42955500</v>
      </c>
      <c r="JR18" s="69"/>
      <c r="JS18" s="69"/>
      <c r="JU18" s="13"/>
      <c r="JV18" s="13"/>
      <c r="JW18" s="16" t="s">
        <v>83</v>
      </c>
      <c r="JX18" s="16">
        <v>43013</v>
      </c>
      <c r="JY18" s="15">
        <v>17496270</v>
      </c>
      <c r="JZ18" s="14">
        <v>6000000</v>
      </c>
      <c r="KB18" s="1">
        <v>3</v>
      </c>
      <c r="KC18" s="1">
        <v>10</v>
      </c>
      <c r="KE18" s="16" t="s">
        <v>82</v>
      </c>
      <c r="KF18" s="16">
        <v>43195</v>
      </c>
      <c r="KG18" s="15">
        <v>18316540</v>
      </c>
      <c r="KH18" s="14">
        <v>6000000</v>
      </c>
      <c r="KM18" s="16" t="s">
        <v>81</v>
      </c>
      <c r="KN18" s="16">
        <v>43377</v>
      </c>
      <c r="KO18" s="15">
        <v>18459936</v>
      </c>
      <c r="KP18" s="14">
        <v>8000000</v>
      </c>
      <c r="KR18" s="55" t="s">
        <v>81</v>
      </c>
      <c r="KS18" s="54"/>
      <c r="KU18" s="16" t="s">
        <v>79</v>
      </c>
      <c r="KV18" s="16">
        <v>43559</v>
      </c>
      <c r="KW18" s="15">
        <v>13384866</v>
      </c>
      <c r="KX18" s="14">
        <v>3000000</v>
      </c>
      <c r="KZ18" s="1">
        <v>1</v>
      </c>
      <c r="LA18" s="1">
        <v>3</v>
      </c>
      <c r="LC18" s="16" t="s">
        <v>78</v>
      </c>
      <c r="LD18" s="16">
        <v>43741</v>
      </c>
      <c r="LE18" s="15">
        <v>18460662</v>
      </c>
      <c r="LF18" s="14">
        <v>8000000</v>
      </c>
      <c r="LI18" s="1">
        <f>SUM(LI5:LI17)</f>
        <v>26</v>
      </c>
      <c r="LK18" s="16" t="s">
        <v>77</v>
      </c>
      <c r="LL18" s="16">
        <v>43923</v>
      </c>
      <c r="LM18" s="15">
        <v>15292002</v>
      </c>
      <c r="LN18" s="14">
        <v>3000000</v>
      </c>
      <c r="LP18" s="1">
        <v>1</v>
      </c>
      <c r="LQ18" s="1">
        <v>3</v>
      </c>
      <c r="LS18" s="16" t="s">
        <v>70</v>
      </c>
      <c r="LT18" s="16">
        <v>44105</v>
      </c>
      <c r="LU18" s="15">
        <v>27460290</v>
      </c>
      <c r="LV18" s="14">
        <v>8000000</v>
      </c>
      <c r="LX18" s="1">
        <v>3</v>
      </c>
      <c r="LY18" s="1">
        <v>20</v>
      </c>
      <c r="MA18" s="16" t="s">
        <v>86</v>
      </c>
      <c r="MB18" s="16">
        <v>44294</v>
      </c>
      <c r="MC18" s="15">
        <v>42348570</v>
      </c>
      <c r="MD18" s="14">
        <v>30000000</v>
      </c>
      <c r="MF18" s="1">
        <v>3</v>
      </c>
      <c r="MG18" s="1">
        <v>20</v>
      </c>
      <c r="MI18" s="16" t="s">
        <v>69</v>
      </c>
      <c r="MJ18" s="16">
        <v>44469</v>
      </c>
      <c r="MK18" s="15">
        <v>26770656</v>
      </c>
      <c r="ML18" s="14">
        <v>8000000</v>
      </c>
      <c r="MN18" s="1">
        <v>3</v>
      </c>
      <c r="MO18" s="1">
        <v>20</v>
      </c>
      <c r="MQ18" s="16" t="s">
        <v>76</v>
      </c>
      <c r="MR18" s="16">
        <v>44658</v>
      </c>
      <c r="MS18" s="15">
        <v>44457534</v>
      </c>
      <c r="MT18" s="14">
        <v>20000000</v>
      </c>
      <c r="MV18" s="1">
        <v>2</v>
      </c>
      <c r="MW18" s="1">
        <v>8</v>
      </c>
      <c r="MY18" s="16" t="s">
        <v>34</v>
      </c>
      <c r="MZ18" s="16">
        <v>42929</v>
      </c>
      <c r="NA18" s="15">
        <v>15749250</v>
      </c>
      <c r="NB18" s="14">
        <v>6000000</v>
      </c>
      <c r="ND18" s="52" t="s">
        <v>42</v>
      </c>
      <c r="NE18" s="52" t="s">
        <v>41</v>
      </c>
      <c r="NG18" s="40">
        <v>130</v>
      </c>
      <c r="NH18" s="39">
        <f t="shared" si="92"/>
        <v>159370999.99999997</v>
      </c>
      <c r="NI18" s="40">
        <v>280</v>
      </c>
      <c r="NJ18" s="39">
        <f t="shared" si="93"/>
        <v>331585999.99999994</v>
      </c>
      <c r="NL18" s="13"/>
      <c r="NN18" s="16" t="s">
        <v>33</v>
      </c>
      <c r="NO18" s="16">
        <v>43300</v>
      </c>
      <c r="NP18" s="15">
        <v>32154144</v>
      </c>
      <c r="NQ18" s="14">
        <v>30000000</v>
      </c>
      <c r="NS18" s="55" t="s">
        <v>106</v>
      </c>
      <c r="NT18" s="54"/>
      <c r="NV18" s="40">
        <v>130</v>
      </c>
      <c r="NW18" s="39">
        <f t="shared" si="94"/>
        <v>161619199.99999997</v>
      </c>
      <c r="NX18" s="40">
        <v>280</v>
      </c>
      <c r="NY18" s="39">
        <f t="shared" si="95"/>
        <v>342489200.00000006</v>
      </c>
      <c r="OA18" s="13"/>
      <c r="OB18" s="1"/>
    </row>
    <row r="19" spans="2:392" x14ac:dyDescent="0.2">
      <c r="B19" s="53">
        <v>35208</v>
      </c>
      <c r="C19" s="53">
        <v>40237</v>
      </c>
      <c r="D19" s="66"/>
      <c r="F19" s="5" t="s">
        <v>105</v>
      </c>
      <c r="G19" s="53">
        <v>42736</v>
      </c>
      <c r="H19" s="51">
        <f t="shared" ref="H19:H35" si="96">EOMONTH(G19,5)</f>
        <v>42916</v>
      </c>
      <c r="I19" s="50">
        <f t="shared" ref="I19:I35" si="97">INT((WEEKDAY($G19-5)-$G19+$H19)/7)</f>
        <v>26</v>
      </c>
      <c r="K19" s="7">
        <v>15</v>
      </c>
      <c r="M19" s="5" t="str" cm="1">
        <f t="array" ref="M19">LOOKUP(2,1/($G$19:$G$35&lt;=$V19)/($H$19:$H$35&gt;=$V19),$F$19:$F$35)</f>
        <v>2H17</v>
      </c>
      <c r="N19" s="5" t="str" cm="1">
        <f t="array" ref="N19">LOOKUP(2,1/($G$8:$G$16&lt;=$V19)/($H$8:$H$16&gt;=$V19),$F$8:$F$16)</f>
        <v>FY17</v>
      </c>
      <c r="O19" s="5" t="str">
        <f>IFERROR(N19&amp;"-"&amp;COUNTIF($N$5:N19,N19),NA())</f>
        <v>FY17-15</v>
      </c>
      <c r="P19" s="5">
        <f>COUNTIF(V$5:V19,"&gt;="&amp;MAX($V:$V)-183)</f>
        <v>0</v>
      </c>
      <c r="Q19" s="5">
        <f>COUNTIF(V$5:V19,"&gt;="&amp;MAX($V:$V)-365)</f>
        <v>0</v>
      </c>
      <c r="R19" s="5" cm="1">
        <f t="array" ref="R19">LOOKUP(2,1/($G$46:$G$50&lt;=$V19)/($H$46:$H$50&gt;=$V19),$F$46:$F$50)</f>
        <v>0</v>
      </c>
      <c r="S19" s="5" cm="1">
        <f t="array" ref="S19">LOOKUP(2,1/($G$53:$G$56&lt;=$V19)/($H$53:$H$56&gt;=$V19),$F$53:$F$56)</f>
        <v>0</v>
      </c>
      <c r="T19" s="5" t="e">
        <f>IFERROR(IF($R19&gt;0,$R19&amp;"-"&amp;COUNTIF($R$5:$R19,$R19),NA()),NA())</f>
        <v>#N/A</v>
      </c>
      <c r="U19" s="5" t="e">
        <f>IFERROR(IF($S19&gt;0,$S19&amp;"-"&amp;COUNTIF($S$5:$S19,$S19),NA()),NA())</f>
        <v>#N/A</v>
      </c>
      <c r="V19" s="10">
        <v>42838</v>
      </c>
      <c r="W19" s="9">
        <v>17703647.666034155</v>
      </c>
      <c r="X19" s="9">
        <v>16447573.864129029</v>
      </c>
      <c r="Y19" s="8">
        <v>6000000</v>
      </c>
      <c r="AA19" s="48">
        <f t="shared" si="46"/>
        <v>15</v>
      </c>
      <c r="AB19" s="12">
        <f t="shared" si="0"/>
        <v>45386</v>
      </c>
      <c r="AC19" s="15">
        <f t="shared" si="1"/>
        <v>33664848.752315573</v>
      </c>
      <c r="AD19" s="14">
        <f t="shared" si="2"/>
        <v>20000000</v>
      </c>
      <c r="AF19" s="1">
        <v>1</v>
      </c>
      <c r="AG19" s="1">
        <v>4</v>
      </c>
      <c r="AI19" s="40">
        <v>140</v>
      </c>
      <c r="AJ19" s="39">
        <f t="shared" si="53"/>
        <v>240427800.00000003</v>
      </c>
      <c r="AK19" s="40">
        <v>290</v>
      </c>
      <c r="AL19" s="39">
        <f t="shared" si="54"/>
        <v>489787800</v>
      </c>
      <c r="AN19" s="13"/>
      <c r="AO19" s="13"/>
      <c r="AP19" s="40">
        <v>140</v>
      </c>
      <c r="AQ19" s="39">
        <f t="shared" si="55"/>
        <v>175368000</v>
      </c>
      <c r="AR19" s="40">
        <v>290</v>
      </c>
      <c r="AS19" s="39">
        <f t="shared" si="56"/>
        <v>345152999.99999994</v>
      </c>
      <c r="AU19" s="13"/>
      <c r="AW19" s="48">
        <f t="shared" si="47"/>
        <v>15</v>
      </c>
      <c r="AX19" s="12">
        <f t="shared" si="4"/>
        <v>45204</v>
      </c>
      <c r="AY19" s="15">
        <f t="shared" si="5"/>
        <v>85385106.4618067</v>
      </c>
      <c r="AZ19" s="14">
        <f t="shared" si="48"/>
        <v>60000000</v>
      </c>
      <c r="BB19" s="55" t="s">
        <v>16</v>
      </c>
      <c r="BC19" s="54"/>
      <c r="BD19" s="54"/>
      <c r="BE19" s="54"/>
      <c r="BF19" s="54"/>
      <c r="BG19" s="54"/>
      <c r="BI19" s="40">
        <v>140</v>
      </c>
      <c r="BJ19" s="39">
        <f t="shared" si="57"/>
        <v>229916800</v>
      </c>
      <c r="BK19" s="40">
        <v>290</v>
      </c>
      <c r="BL19" s="39">
        <f t="shared" si="58"/>
        <v>467681799.99999994</v>
      </c>
      <c r="BN19" s="13"/>
      <c r="BO19" s="13"/>
      <c r="BP19" s="40">
        <v>350</v>
      </c>
      <c r="BQ19" s="39">
        <f t="shared" si="59"/>
        <v>396736000</v>
      </c>
      <c r="BR19" s="110">
        <v>0.25</v>
      </c>
      <c r="BS19" s="39">
        <f t="shared" si="60"/>
        <v>495920000</v>
      </c>
      <c r="BU19" s="13"/>
      <c r="BW19" s="48" t="str">
        <f t="shared" si="8"/>
        <v>N1-15</v>
      </c>
      <c r="BX19" s="12">
        <f t="shared" si="9"/>
        <v>44210</v>
      </c>
      <c r="BY19" s="15">
        <f t="shared" si="10"/>
        <v>24054723.502584364</v>
      </c>
      <c r="BZ19" s="14">
        <f t="shared" si="11"/>
        <v>8000000</v>
      </c>
      <c r="CE19" s="40">
        <v>90</v>
      </c>
      <c r="CF19" s="39">
        <f t="shared" si="61"/>
        <v>129727000</v>
      </c>
      <c r="CG19" s="40">
        <v>290</v>
      </c>
      <c r="CH19" s="39">
        <f t="shared" si="62"/>
        <v>384427000</v>
      </c>
      <c r="CJ19" s="13"/>
      <c r="CK19" s="13"/>
      <c r="CL19" s="48" t="str">
        <f t="shared" si="12"/>
        <v>A1-15</v>
      </c>
      <c r="CM19" s="12">
        <f t="shared" si="13"/>
        <v>44322</v>
      </c>
      <c r="CN19" s="49">
        <f t="shared" si="14"/>
        <v>37110605.290361807</v>
      </c>
      <c r="CO19" s="49">
        <f t="shared" si="15"/>
        <v>20000000</v>
      </c>
      <c r="CT19" s="40">
        <v>90</v>
      </c>
      <c r="CU19" s="39">
        <f t="shared" si="63"/>
        <v>121892999.99999999</v>
      </c>
      <c r="CV19" s="40">
        <v>290</v>
      </c>
      <c r="CW19" s="39">
        <f t="shared" si="64"/>
        <v>365513000</v>
      </c>
      <c r="CY19" s="13"/>
      <c r="DA19" s="48" t="str">
        <f t="shared" si="16"/>
        <v>N2-15</v>
      </c>
      <c r="DB19" s="12">
        <f t="shared" si="17"/>
        <v>44805</v>
      </c>
      <c r="DC19" s="15">
        <f t="shared" si="18"/>
        <v>39743730.009121314</v>
      </c>
      <c r="DD19" s="14">
        <f t="shared" si="19"/>
        <v>20000000</v>
      </c>
      <c r="DI19" s="40">
        <v>90</v>
      </c>
      <c r="DJ19" s="39">
        <f t="shared" si="65"/>
        <v>112286000.00000001</v>
      </c>
      <c r="DK19" s="40">
        <v>290</v>
      </c>
      <c r="DL19" s="39">
        <f t="shared" si="66"/>
        <v>322226000</v>
      </c>
      <c r="DN19" s="13"/>
      <c r="DO19" s="13"/>
      <c r="DP19" s="48" t="str">
        <f t="shared" si="20"/>
        <v>A2-15</v>
      </c>
      <c r="DQ19" s="12">
        <f t="shared" si="21"/>
        <v>44917</v>
      </c>
      <c r="DR19" s="15">
        <f t="shared" si="22"/>
        <v>75733957.798723027</v>
      </c>
      <c r="DS19" s="14">
        <f t="shared" si="23"/>
        <v>50000000</v>
      </c>
      <c r="DU19" s="1">
        <v>5</v>
      </c>
      <c r="DV19" s="1">
        <v>100</v>
      </c>
      <c r="DX19" s="40">
        <v>90</v>
      </c>
      <c r="DY19" s="39">
        <f t="shared" si="67"/>
        <v>121892999.99999999</v>
      </c>
      <c r="DZ19" s="40">
        <v>290</v>
      </c>
      <c r="EA19" s="39">
        <f t="shared" si="68"/>
        <v>365513000</v>
      </c>
      <c r="EC19" s="13"/>
      <c r="ED19" s="13"/>
      <c r="EE19" s="40">
        <v>90</v>
      </c>
      <c r="EF19" s="39">
        <f t="shared" si="69"/>
        <v>86446000</v>
      </c>
      <c r="EG19" s="40">
        <v>290</v>
      </c>
      <c r="EH19" s="39">
        <f t="shared" si="70"/>
        <v>244746000</v>
      </c>
      <c r="EJ19" s="13"/>
      <c r="EK19" s="13"/>
      <c r="EL19" s="47" t="str">
        <f t="shared" si="25"/>
        <v>FY18-15</v>
      </c>
      <c r="EM19" s="16">
        <v>43020</v>
      </c>
      <c r="EN19" s="15">
        <v>25339796.894945659</v>
      </c>
      <c r="EO19" s="14">
        <f t="shared" si="26"/>
        <v>10000000</v>
      </c>
      <c r="ET19" s="40">
        <v>140</v>
      </c>
      <c r="EU19" s="39">
        <f t="shared" si="71"/>
        <v>159055200</v>
      </c>
      <c r="EV19" s="40">
        <v>290</v>
      </c>
      <c r="EW19" s="39">
        <f t="shared" si="72"/>
        <v>318940200.00000006</v>
      </c>
      <c r="EX19" s="13"/>
      <c r="EY19" s="13"/>
      <c r="EZ19" s="13"/>
      <c r="FA19" s="16" t="s">
        <v>33</v>
      </c>
      <c r="FB19" s="16">
        <v>43384</v>
      </c>
      <c r="FC19" s="15">
        <v>22858246.916719638</v>
      </c>
      <c r="FD19" s="14">
        <v>12000000</v>
      </c>
      <c r="FF19" s="52" t="s">
        <v>42</v>
      </c>
      <c r="FG19" s="52" t="s">
        <v>41</v>
      </c>
      <c r="FI19" s="40">
        <v>100</v>
      </c>
      <c r="FJ19" s="39">
        <f t="shared" si="73"/>
        <v>135938500</v>
      </c>
      <c r="FK19" s="40"/>
      <c r="FL19" s="39"/>
      <c r="FN19" s="13"/>
      <c r="FO19" s="13"/>
      <c r="FP19" s="40">
        <v>100</v>
      </c>
      <c r="FQ19" s="39">
        <f t="shared" si="74"/>
        <v>108539400</v>
      </c>
      <c r="FR19" s="40"/>
      <c r="FS19" s="39"/>
      <c r="FU19" s="13"/>
      <c r="FV19" s="13"/>
      <c r="FW19" s="16" t="s">
        <v>39</v>
      </c>
      <c r="FX19" s="16">
        <v>43748</v>
      </c>
      <c r="FY19" s="15">
        <v>21627957.918188009</v>
      </c>
      <c r="FZ19" s="14">
        <v>12000000</v>
      </c>
      <c r="GB19" s="55" t="s">
        <v>39</v>
      </c>
      <c r="GC19" s="54"/>
      <c r="GF19" s="40">
        <v>150</v>
      </c>
      <c r="GG19" s="39">
        <f t="shared" si="75"/>
        <v>174019999.99999997</v>
      </c>
      <c r="GH19" s="40">
        <v>100</v>
      </c>
      <c r="GI19" s="39">
        <f t="shared" si="76"/>
        <v>119434999.99999999</v>
      </c>
      <c r="GK19" s="13"/>
      <c r="GL19" s="13"/>
      <c r="GM19" s="40">
        <v>150</v>
      </c>
      <c r="GN19" s="39">
        <f t="shared" si="77"/>
        <v>133936000</v>
      </c>
      <c r="GO19" s="40">
        <v>100</v>
      </c>
      <c r="GP19" s="39">
        <f t="shared" si="78"/>
        <v>94360999.999999985</v>
      </c>
      <c r="GR19" s="13"/>
      <c r="GS19" s="13"/>
      <c r="GT19" s="16" t="s">
        <v>38</v>
      </c>
      <c r="GU19" s="16">
        <v>44112</v>
      </c>
      <c r="GV19" s="15">
        <v>42908867.619337186</v>
      </c>
      <c r="GW19" s="14">
        <v>20000000</v>
      </c>
      <c r="GY19" s="1">
        <v>3</v>
      </c>
      <c r="GZ19" s="1">
        <v>20</v>
      </c>
      <c r="HB19" s="40">
        <v>250</v>
      </c>
      <c r="HC19" s="39">
        <f t="shared" si="79"/>
        <v>302686999.99999994</v>
      </c>
      <c r="HD19" s="40">
        <v>200</v>
      </c>
      <c r="HE19" s="39">
        <f>($HC$8*HD19^2+$HD$8*HD19+$HE$8)*1000000</f>
        <v>245182000</v>
      </c>
      <c r="HG19" s="13"/>
      <c r="HH19" s="13"/>
      <c r="HI19" s="16" t="s">
        <v>35</v>
      </c>
      <c r="HJ19" s="16">
        <v>44476</v>
      </c>
      <c r="HK19" s="15">
        <v>42338397.567649737</v>
      </c>
      <c r="HL19" s="14">
        <v>20000000</v>
      </c>
      <c r="HN19" s="1">
        <v>2</v>
      </c>
      <c r="HO19" s="1">
        <v>8</v>
      </c>
      <c r="HQ19" s="40">
        <v>200</v>
      </c>
      <c r="HR19" s="39">
        <f t="shared" si="81"/>
        <v>288422000</v>
      </c>
      <c r="HS19" s="40">
        <v>200</v>
      </c>
      <c r="HT19" s="39">
        <f t="shared" si="82"/>
        <v>288422000</v>
      </c>
      <c r="HV19" s="13"/>
      <c r="HW19" s="13"/>
      <c r="HX19" s="40">
        <v>200</v>
      </c>
      <c r="HY19" s="39">
        <f t="shared" si="83"/>
        <v>245445000</v>
      </c>
      <c r="HZ19" s="40">
        <v>200</v>
      </c>
      <c r="IA19" s="39">
        <f t="shared" si="84"/>
        <v>245445000</v>
      </c>
      <c r="IC19" s="13"/>
      <c r="ID19" s="13"/>
      <c r="IE19" s="16" t="s">
        <v>37</v>
      </c>
      <c r="IF19" s="16">
        <v>44847</v>
      </c>
      <c r="IG19" s="15">
        <v>77692655.761629671</v>
      </c>
      <c r="IH19" s="14">
        <v>50000000</v>
      </c>
      <c r="IM19" s="40">
        <v>140</v>
      </c>
      <c r="IN19" s="39">
        <f t="shared" si="85"/>
        <v>247611000.00000003</v>
      </c>
      <c r="IO19" s="40">
        <v>290</v>
      </c>
      <c r="IP19" s="39">
        <f t="shared" si="86"/>
        <v>505221000</v>
      </c>
      <c r="IR19" s="13"/>
      <c r="IS19" s="13"/>
      <c r="IT19" s="111">
        <v>30</v>
      </c>
      <c r="IU19" s="39">
        <f t="shared" si="87"/>
        <v>50842000</v>
      </c>
      <c r="IV19" s="40">
        <v>290</v>
      </c>
      <c r="IW19" s="39">
        <f t="shared" si="88"/>
        <v>348698000</v>
      </c>
      <c r="IY19" s="13"/>
      <c r="IZ19" s="13"/>
      <c r="JA19" s="16" t="s">
        <v>115</v>
      </c>
      <c r="JB19" s="16">
        <v>45211</v>
      </c>
      <c r="JC19" s="15">
        <v>19942564.454614796</v>
      </c>
      <c r="JD19" s="14">
        <v>4000000</v>
      </c>
      <c r="JF19" s="52" t="s">
        <v>42</v>
      </c>
      <c r="JG19" s="52" t="s">
        <v>41</v>
      </c>
      <c r="JI19" s="40">
        <v>140</v>
      </c>
      <c r="JJ19" s="39">
        <f t="shared" si="89"/>
        <v>247611000.00000003</v>
      </c>
      <c r="JK19" s="40">
        <v>290</v>
      </c>
      <c r="JL19" s="39">
        <f t="shared" si="90"/>
        <v>505221000</v>
      </c>
      <c r="JN19" s="13"/>
      <c r="JO19" s="13"/>
      <c r="JP19" s="111">
        <v>30</v>
      </c>
      <c r="JQ19" s="39">
        <f t="shared" si="91"/>
        <v>48182000</v>
      </c>
      <c r="JR19" s="69"/>
      <c r="JS19" s="69"/>
      <c r="JU19" s="13"/>
      <c r="JV19" s="13"/>
      <c r="JW19" s="16" t="s">
        <v>83</v>
      </c>
      <c r="JX19" s="16">
        <v>43020</v>
      </c>
      <c r="JY19" s="15">
        <v>25258200</v>
      </c>
      <c r="JZ19" s="14">
        <v>10000000</v>
      </c>
      <c r="KB19" s="1">
        <v>4</v>
      </c>
      <c r="KC19" s="1">
        <v>15</v>
      </c>
      <c r="KE19" s="16" t="s">
        <v>82</v>
      </c>
      <c r="KF19" s="16">
        <v>43202</v>
      </c>
      <c r="KG19" s="15">
        <v>12798500</v>
      </c>
      <c r="KH19" s="14">
        <v>3000000</v>
      </c>
      <c r="KJ19" s="55" t="s">
        <v>104</v>
      </c>
      <c r="KK19" s="54"/>
      <c r="KM19" s="16" t="s">
        <v>81</v>
      </c>
      <c r="KN19" s="16">
        <v>43384</v>
      </c>
      <c r="KO19" s="15">
        <v>24480720</v>
      </c>
      <c r="KP19" s="14">
        <v>12000000</v>
      </c>
      <c r="KR19" s="52" t="s">
        <v>42</v>
      </c>
      <c r="KS19" s="52" t="s">
        <v>41</v>
      </c>
      <c r="KU19" s="16" t="s">
        <v>79</v>
      </c>
      <c r="KV19" s="16">
        <v>43566</v>
      </c>
      <c r="KW19" s="15">
        <v>18163464</v>
      </c>
      <c r="KX19" s="14">
        <v>8000000</v>
      </c>
      <c r="KZ19" s="1">
        <v>2</v>
      </c>
      <c r="LA19" s="1">
        <v>8</v>
      </c>
      <c r="LC19" s="16" t="s">
        <v>78</v>
      </c>
      <c r="LD19" s="16">
        <v>43748</v>
      </c>
      <c r="LE19" s="15">
        <v>22668492</v>
      </c>
      <c r="LF19" s="14">
        <v>12000000</v>
      </c>
      <c r="LK19" s="16" t="s">
        <v>77</v>
      </c>
      <c r="LL19" s="16">
        <v>43930</v>
      </c>
      <c r="LM19" s="15">
        <v>23177088</v>
      </c>
      <c r="LN19" s="14">
        <v>8000000</v>
      </c>
      <c r="LP19" s="1">
        <v>2</v>
      </c>
      <c r="LQ19" s="1">
        <v>8</v>
      </c>
      <c r="LS19" s="16" t="s">
        <v>70</v>
      </c>
      <c r="LT19" s="16">
        <v>44112</v>
      </c>
      <c r="LU19" s="15">
        <v>44099022</v>
      </c>
      <c r="LV19" s="14">
        <v>20000000</v>
      </c>
      <c r="LX19" s="1">
        <v>4</v>
      </c>
      <c r="LY19" s="1">
        <v>40</v>
      </c>
      <c r="MA19" s="16" t="s">
        <v>86</v>
      </c>
      <c r="MB19" s="16">
        <v>44301</v>
      </c>
      <c r="MC19" s="15">
        <v>65077584</v>
      </c>
      <c r="MD19" s="14">
        <v>50000000</v>
      </c>
      <c r="MF19" s="1">
        <v>4</v>
      </c>
      <c r="MG19" s="1">
        <v>30</v>
      </c>
      <c r="MI19" s="16" t="s">
        <v>69</v>
      </c>
      <c r="MJ19" s="16">
        <v>44476</v>
      </c>
      <c r="MK19" s="15">
        <v>44454036</v>
      </c>
      <c r="ML19" s="14">
        <v>20000000</v>
      </c>
      <c r="MN19" s="1">
        <v>4</v>
      </c>
      <c r="MO19" s="1">
        <v>40</v>
      </c>
      <c r="MQ19" s="16" t="s">
        <v>76</v>
      </c>
      <c r="MR19" s="16">
        <v>44665</v>
      </c>
      <c r="MS19" s="15">
        <v>20825310</v>
      </c>
      <c r="MT19" s="14">
        <v>4000000</v>
      </c>
      <c r="MV19" s="1">
        <v>3</v>
      </c>
      <c r="MW19" s="1">
        <v>20</v>
      </c>
      <c r="MY19" s="16" t="s">
        <v>34</v>
      </c>
      <c r="MZ19" s="16">
        <v>42936</v>
      </c>
      <c r="NA19" s="15">
        <v>13651880</v>
      </c>
      <c r="NB19" s="14">
        <v>3000000</v>
      </c>
      <c r="ND19" s="1">
        <v>1</v>
      </c>
      <c r="NE19" s="1">
        <v>3</v>
      </c>
      <c r="NG19" s="40">
        <v>140</v>
      </c>
      <c r="NH19" s="39">
        <f t="shared" si="92"/>
        <v>170851999.99999997</v>
      </c>
      <c r="NI19" s="40">
        <v>290</v>
      </c>
      <c r="NJ19" s="39">
        <f t="shared" si="93"/>
        <v>343066999.99999994</v>
      </c>
      <c r="NL19" s="13"/>
      <c r="NN19" s="16" t="s">
        <v>33</v>
      </c>
      <c r="NO19" s="16">
        <v>43307</v>
      </c>
      <c r="NP19" s="15">
        <v>38903700</v>
      </c>
      <c r="NQ19" s="14">
        <v>40000000</v>
      </c>
      <c r="NS19" s="52" t="s">
        <v>42</v>
      </c>
      <c r="NT19" s="52" t="s">
        <v>41</v>
      </c>
      <c r="NV19" s="40">
        <v>140</v>
      </c>
      <c r="NW19" s="39">
        <f t="shared" si="94"/>
        <v>173677200</v>
      </c>
      <c r="NX19" s="40">
        <v>290</v>
      </c>
      <c r="NY19" s="39">
        <f t="shared" si="95"/>
        <v>354547200.00000006</v>
      </c>
      <c r="OA19" s="13"/>
      <c r="OB19" s="1"/>
    </row>
    <row r="20" spans="2:392" x14ac:dyDescent="0.2">
      <c r="B20" s="53">
        <v>40238</v>
      </c>
      <c r="C20" s="53">
        <v>40694</v>
      </c>
      <c r="D20" s="66"/>
      <c r="F20" s="5" t="s">
        <v>83</v>
      </c>
      <c r="G20" s="51">
        <f t="shared" ref="G20:G35" si="98">H19+1</f>
        <v>42917</v>
      </c>
      <c r="H20" s="51">
        <f t="shared" si="96"/>
        <v>43100</v>
      </c>
      <c r="I20" s="50">
        <f t="shared" si="97"/>
        <v>26</v>
      </c>
      <c r="K20" s="7">
        <v>16</v>
      </c>
      <c r="M20" s="5" t="str" cm="1">
        <f t="array" ref="M20">LOOKUP(2,1/($G$19:$G$35&lt;=$V20)/($H$19:$H$35&gt;=$V20),$F$19:$F$35)</f>
        <v>2H17</v>
      </c>
      <c r="N20" s="5" t="str" cm="1">
        <f t="array" ref="N20">LOOKUP(2,1/($G$8:$G$16&lt;=$V20)/($H$8:$H$16&gt;=$V20),$F$8:$F$16)</f>
        <v>FY17</v>
      </c>
      <c r="O20" s="5" t="str">
        <f>IFERROR(N20&amp;"-"&amp;COUNTIF($N$5:N20,N20),NA())</f>
        <v>FY17-16</v>
      </c>
      <c r="P20" s="5">
        <f>COUNTIF(V$5:V20,"&gt;="&amp;MAX($V:$V)-183)</f>
        <v>0</v>
      </c>
      <c r="Q20" s="5">
        <f>COUNTIF(V$5:V20,"&gt;="&amp;MAX($V:$V)-365)</f>
        <v>0</v>
      </c>
      <c r="R20" s="5" cm="1">
        <f t="array" ref="R20">LOOKUP(2,1/($G$46:$G$50&lt;=$V20)/($H$46:$H$50&gt;=$V20),$F$46:$F$50)</f>
        <v>0</v>
      </c>
      <c r="S20" s="5" cm="1">
        <f t="array" ref="S20">LOOKUP(2,1/($G$53:$G$56&lt;=$V20)/($H$53:$H$56&gt;=$V20),$F$53:$F$56)</f>
        <v>0</v>
      </c>
      <c r="T20" s="5" t="e">
        <f>IFERROR(IF($R20&gt;0,$R20&amp;"-"&amp;COUNTIF($R$5:$R20,$R20),NA()),NA())</f>
        <v>#N/A</v>
      </c>
      <c r="U20" s="5" t="e">
        <f>IFERROR(IF($S20&gt;0,$S20&amp;"-"&amp;COUNTIF($S$5:$S20,$S20),NA()),NA())</f>
        <v>#N/A</v>
      </c>
      <c r="V20" s="10">
        <v>42845</v>
      </c>
      <c r="W20" s="9">
        <v>23575656.170432981</v>
      </c>
      <c r="X20" s="9">
        <v>21902963.365140758</v>
      </c>
      <c r="Y20" s="8">
        <v>10000000</v>
      </c>
      <c r="AA20" s="48">
        <f t="shared" si="46"/>
        <v>16</v>
      </c>
      <c r="AB20" s="12">
        <f t="shared" si="0"/>
        <v>45393</v>
      </c>
      <c r="AC20" s="15">
        <f t="shared" si="1"/>
        <v>19709566.198103961</v>
      </c>
      <c r="AD20" s="14">
        <f t="shared" si="2"/>
        <v>4000000</v>
      </c>
      <c r="AF20" s="1">
        <v>2</v>
      </c>
      <c r="AG20" s="1">
        <v>8</v>
      </c>
      <c r="AI20" s="40">
        <v>150</v>
      </c>
      <c r="AJ20" s="39">
        <f t="shared" si="53"/>
        <v>257051800</v>
      </c>
      <c r="AK20" s="40">
        <v>300</v>
      </c>
      <c r="AL20" s="39">
        <f t="shared" si="54"/>
        <v>506411800</v>
      </c>
      <c r="AN20" s="13"/>
      <c r="AO20" s="13"/>
      <c r="AP20" s="40">
        <v>150</v>
      </c>
      <c r="AQ20" s="39">
        <f t="shared" si="55"/>
        <v>186687000</v>
      </c>
      <c r="AR20" s="40">
        <v>300</v>
      </c>
      <c r="AS20" s="39">
        <f t="shared" si="56"/>
        <v>356472000</v>
      </c>
      <c r="AU20" s="13"/>
      <c r="AW20" s="48">
        <f t="shared" si="47"/>
        <v>16</v>
      </c>
      <c r="AX20" s="12">
        <f t="shared" si="4"/>
        <v>45211</v>
      </c>
      <c r="AY20" s="15">
        <f t="shared" si="5"/>
        <v>19942564.454614796</v>
      </c>
      <c r="AZ20" s="14">
        <f t="shared" si="48"/>
        <v>4000000</v>
      </c>
      <c r="BB20" s="52" t="s">
        <v>42</v>
      </c>
      <c r="BC20" s="52" t="s">
        <v>41</v>
      </c>
      <c r="BD20" s="64"/>
      <c r="BE20" s="64"/>
      <c r="BF20" s="64"/>
      <c r="BG20" s="64"/>
      <c r="BI20" s="40">
        <v>150</v>
      </c>
      <c r="BJ20" s="39">
        <f t="shared" si="57"/>
        <v>245767800</v>
      </c>
      <c r="BK20" s="40">
        <v>300</v>
      </c>
      <c r="BL20" s="39">
        <f t="shared" si="58"/>
        <v>483532799.99999994</v>
      </c>
      <c r="BN20" s="13"/>
      <c r="BO20" s="13"/>
      <c r="BP20" s="40">
        <v>480</v>
      </c>
      <c r="BQ20" s="39">
        <f t="shared" si="59"/>
        <v>537942000</v>
      </c>
      <c r="BR20" s="110">
        <v>0.25</v>
      </c>
      <c r="BS20" s="39">
        <f t="shared" ref="BS20" si="99">BQ20*(1+BR20)</f>
        <v>672427500</v>
      </c>
      <c r="BU20" s="13"/>
      <c r="BW20" s="48" t="str">
        <f t="shared" si="8"/>
        <v>N1-16</v>
      </c>
      <c r="BX20" s="12">
        <f t="shared" si="9"/>
        <v>44217</v>
      </c>
      <c r="BY20" s="15">
        <f t="shared" si="10"/>
        <v>39055239.160839155</v>
      </c>
      <c r="BZ20" s="14">
        <f t="shared" si="11"/>
        <v>20000000</v>
      </c>
      <c r="CE20" s="40">
        <v>100</v>
      </c>
      <c r="CF20" s="39">
        <f t="shared" si="61"/>
        <v>142462000.00000003</v>
      </c>
      <c r="CG20" s="40">
        <v>300</v>
      </c>
      <c r="CH20" s="39">
        <f t="shared" si="62"/>
        <v>397162000.00000006</v>
      </c>
      <c r="CJ20" s="13"/>
      <c r="CK20" s="13"/>
      <c r="CL20" s="48" t="str">
        <f t="shared" si="12"/>
        <v>A1-16</v>
      </c>
      <c r="CM20" s="12">
        <f t="shared" si="13"/>
        <v>44329</v>
      </c>
      <c r="CN20" s="49">
        <f t="shared" si="14"/>
        <v>47890415.81027668</v>
      </c>
      <c r="CO20" s="49">
        <f t="shared" si="15"/>
        <v>30000000</v>
      </c>
      <c r="CT20" s="40">
        <v>100</v>
      </c>
      <c r="CU20" s="39">
        <f t="shared" si="63"/>
        <v>134074000.00000001</v>
      </c>
      <c r="CV20" s="40">
        <v>300</v>
      </c>
      <c r="CW20" s="39">
        <f t="shared" si="64"/>
        <v>377694000</v>
      </c>
      <c r="CY20" s="13"/>
      <c r="DA20" s="48" t="str">
        <f t="shared" si="16"/>
        <v>N2-16</v>
      </c>
      <c r="DB20" s="12">
        <f t="shared" si="17"/>
        <v>44812</v>
      </c>
      <c r="DC20" s="15">
        <f t="shared" si="18"/>
        <v>61420572.818485856</v>
      </c>
      <c r="DD20" s="14">
        <f t="shared" si="19"/>
        <v>40000000</v>
      </c>
      <c r="DI20" s="40">
        <v>100</v>
      </c>
      <c r="DJ20" s="39">
        <f t="shared" si="65"/>
        <v>122783000.00000001</v>
      </c>
      <c r="DK20" s="40">
        <v>300</v>
      </c>
      <c r="DL20" s="39">
        <f t="shared" si="66"/>
        <v>332723000</v>
      </c>
      <c r="DN20" s="13"/>
      <c r="DO20" s="13"/>
      <c r="DP20" s="48" t="str">
        <f t="shared" si="20"/>
        <v>A2-16</v>
      </c>
      <c r="DQ20" s="12">
        <f t="shared" si="21"/>
        <v>44924</v>
      </c>
      <c r="DR20" s="15">
        <f t="shared" si="22"/>
        <v>137554844.39039224</v>
      </c>
      <c r="DS20" s="14">
        <f t="shared" si="23"/>
        <v>100000000</v>
      </c>
      <c r="DU20" s="1">
        <v>6</v>
      </c>
      <c r="DV20" s="1">
        <v>160</v>
      </c>
      <c r="DX20" s="40">
        <v>100</v>
      </c>
      <c r="DY20" s="39">
        <f t="shared" si="67"/>
        <v>134074000.00000001</v>
      </c>
      <c r="DZ20" s="40">
        <v>300</v>
      </c>
      <c r="EA20" s="39">
        <f t="shared" si="68"/>
        <v>377694000</v>
      </c>
      <c r="EC20" s="13"/>
      <c r="ED20" s="13"/>
      <c r="EE20" s="40">
        <v>100</v>
      </c>
      <c r="EF20" s="39">
        <f t="shared" si="69"/>
        <v>94360999.999999985</v>
      </c>
      <c r="EG20" s="40">
        <v>300</v>
      </c>
      <c r="EH20" s="39">
        <f t="shared" si="70"/>
        <v>252661000</v>
      </c>
      <c r="EJ20" s="13"/>
      <c r="EK20" s="13"/>
      <c r="EL20" s="47" t="str">
        <f t="shared" si="25"/>
        <v>FY18-16</v>
      </c>
      <c r="EM20" s="16">
        <v>43027</v>
      </c>
      <c r="EN20" s="15">
        <v>28458439.261687078</v>
      </c>
      <c r="EO20" s="14">
        <f t="shared" si="26"/>
        <v>15000000</v>
      </c>
      <c r="EQ20" s="63" t="s">
        <v>66</v>
      </c>
      <c r="ER20" s="62"/>
      <c r="ET20" s="40">
        <v>150</v>
      </c>
      <c r="EU20" s="39">
        <f t="shared" si="71"/>
        <v>169714200</v>
      </c>
      <c r="EV20" s="40">
        <v>300</v>
      </c>
      <c r="EW20" s="39">
        <f t="shared" si="72"/>
        <v>329599200.00000006</v>
      </c>
      <c r="EX20" s="13"/>
      <c r="EY20" s="13"/>
      <c r="EZ20" s="13"/>
      <c r="FA20" s="16" t="s">
        <v>33</v>
      </c>
      <c r="FB20" s="16">
        <v>43391</v>
      </c>
      <c r="FC20" s="15">
        <v>29451650.349650346</v>
      </c>
      <c r="FD20" s="14">
        <v>20000000</v>
      </c>
      <c r="FF20" s="1">
        <v>1</v>
      </c>
      <c r="FG20" s="1">
        <v>3</v>
      </c>
      <c r="FI20" s="40">
        <v>150</v>
      </c>
      <c r="FJ20" s="39">
        <f t="shared" si="73"/>
        <v>202633500</v>
      </c>
      <c r="FK20" s="40"/>
      <c r="FL20" s="39"/>
      <c r="FN20" s="13"/>
      <c r="FO20" s="13"/>
      <c r="FP20" s="40">
        <v>150</v>
      </c>
      <c r="FQ20" s="39">
        <f t="shared" si="74"/>
        <v>158749400</v>
      </c>
      <c r="FR20" s="40"/>
      <c r="FS20" s="39"/>
      <c r="FU20" s="13"/>
      <c r="FV20" s="13"/>
      <c r="FW20" s="16" t="s">
        <v>39</v>
      </c>
      <c r="FX20" s="16">
        <v>43755</v>
      </c>
      <c r="FY20" s="15">
        <v>14675381.397363698</v>
      </c>
      <c r="FZ20" s="14">
        <v>3000000</v>
      </c>
      <c r="GB20" s="52" t="s">
        <v>42</v>
      </c>
      <c r="GC20" s="52" t="s">
        <v>41</v>
      </c>
      <c r="GF20" s="40">
        <v>200</v>
      </c>
      <c r="GG20" s="39">
        <f t="shared" si="75"/>
        <v>228604999.99999997</v>
      </c>
      <c r="GH20" s="40">
        <v>150</v>
      </c>
      <c r="GI20" s="39">
        <f t="shared" si="76"/>
        <v>174019999.99999997</v>
      </c>
      <c r="GK20" s="13"/>
      <c r="GL20" s="13"/>
      <c r="GM20" s="40">
        <v>200</v>
      </c>
      <c r="GN20" s="39">
        <f t="shared" si="77"/>
        <v>173511000</v>
      </c>
      <c r="GO20" s="40">
        <v>150</v>
      </c>
      <c r="GP20" s="39">
        <f t="shared" si="78"/>
        <v>133936000</v>
      </c>
      <c r="GR20" s="13"/>
      <c r="GS20" s="13"/>
      <c r="GT20" s="16" t="s">
        <v>38</v>
      </c>
      <c r="GU20" s="16">
        <v>44119</v>
      </c>
      <c r="GV20" s="15">
        <v>61499423.776223779</v>
      </c>
      <c r="GW20" s="14">
        <v>40000000</v>
      </c>
      <c r="GY20" s="1">
        <v>4</v>
      </c>
      <c r="GZ20" s="1">
        <v>40</v>
      </c>
      <c r="HB20" s="40">
        <v>300</v>
      </c>
      <c r="HC20" s="39">
        <f t="shared" si="79"/>
        <v>360191999.99999994</v>
      </c>
      <c r="HD20" s="40">
        <v>250</v>
      </c>
      <c r="HE20" s="39">
        <f>($HC$8*HD20^2+$HD$8*HD20+$HE$8)*1000000</f>
        <v>302686999.99999994</v>
      </c>
      <c r="HG20" s="13"/>
      <c r="HH20" s="13"/>
      <c r="HI20" s="16" t="s">
        <v>35</v>
      </c>
      <c r="HJ20" s="16">
        <v>44483</v>
      </c>
      <c r="HK20" s="15">
        <v>59016362.663423538</v>
      </c>
      <c r="HL20" s="14">
        <v>40000000</v>
      </c>
      <c r="HN20" s="1">
        <v>3</v>
      </c>
      <c r="HO20" s="1">
        <v>20</v>
      </c>
      <c r="HQ20" s="40">
        <v>250</v>
      </c>
      <c r="HR20" s="39">
        <f t="shared" si="81"/>
        <v>357562000</v>
      </c>
      <c r="HS20" s="40">
        <v>250</v>
      </c>
      <c r="HT20" s="39">
        <f t="shared" si="82"/>
        <v>357562000</v>
      </c>
      <c r="HV20" s="13"/>
      <c r="HW20" s="13"/>
      <c r="HX20" s="40">
        <v>250</v>
      </c>
      <c r="HY20" s="39">
        <f t="shared" si="83"/>
        <v>302840000</v>
      </c>
      <c r="HZ20" s="40">
        <v>250</v>
      </c>
      <c r="IA20" s="39">
        <f t="shared" si="84"/>
        <v>302840000</v>
      </c>
      <c r="IC20" s="13"/>
      <c r="ID20" s="13"/>
      <c r="IE20" s="16" t="s">
        <v>37</v>
      </c>
      <c r="IF20" s="16">
        <v>44854</v>
      </c>
      <c r="IG20" s="15">
        <v>183084473.09212527</v>
      </c>
      <c r="IH20" s="14">
        <v>100000000</v>
      </c>
      <c r="IM20" s="40">
        <v>150</v>
      </c>
      <c r="IN20" s="39">
        <f t="shared" si="85"/>
        <v>264785000.00000003</v>
      </c>
      <c r="IO20" s="40">
        <v>300</v>
      </c>
      <c r="IP20" s="39">
        <f t="shared" si="86"/>
        <v>522395000</v>
      </c>
      <c r="IR20" s="13"/>
      <c r="IS20" s="13"/>
      <c r="IT20" s="111">
        <v>40</v>
      </c>
      <c r="IU20" s="39">
        <f t="shared" si="87"/>
        <v>62298000</v>
      </c>
      <c r="IV20" s="40">
        <v>300</v>
      </c>
      <c r="IW20" s="39">
        <f t="shared" si="88"/>
        <v>360154000</v>
      </c>
      <c r="IY20" s="13"/>
      <c r="IZ20" s="13"/>
      <c r="JA20" s="16" t="s">
        <v>115</v>
      </c>
      <c r="JB20" s="16">
        <v>45218</v>
      </c>
      <c r="JC20" s="15">
        <v>28337262.286150157</v>
      </c>
      <c r="JD20" s="14">
        <v>12000000</v>
      </c>
      <c r="JF20" s="1">
        <v>1</v>
      </c>
      <c r="JG20" s="1">
        <v>4</v>
      </c>
      <c r="JI20" s="40">
        <v>150</v>
      </c>
      <c r="JJ20" s="39">
        <f t="shared" si="89"/>
        <v>264785000.00000003</v>
      </c>
      <c r="JK20" s="40">
        <v>300</v>
      </c>
      <c r="JL20" s="39">
        <f t="shared" si="90"/>
        <v>522395000</v>
      </c>
      <c r="JN20" s="13"/>
      <c r="JO20" s="13"/>
      <c r="JP20" s="111">
        <v>40</v>
      </c>
      <c r="JQ20" s="39">
        <f t="shared" si="91"/>
        <v>58635000</v>
      </c>
      <c r="JR20" s="69"/>
      <c r="JS20" s="69"/>
      <c r="JU20" s="13"/>
      <c r="JV20" s="13"/>
      <c r="JW20" s="16" t="s">
        <v>83</v>
      </c>
      <c r="JX20" s="16">
        <v>43027</v>
      </c>
      <c r="JY20" s="15">
        <v>28366800</v>
      </c>
      <c r="JZ20" s="14">
        <v>15000000</v>
      </c>
      <c r="KB20" s="1">
        <v>5</v>
      </c>
      <c r="KC20" s="1">
        <v>30</v>
      </c>
      <c r="KE20" s="46" t="s">
        <v>82</v>
      </c>
      <c r="KF20" s="46">
        <v>43209</v>
      </c>
      <c r="KG20" s="45">
        <v>18243324</v>
      </c>
      <c r="KH20" s="44">
        <v>8000000</v>
      </c>
      <c r="KJ20" s="52" t="s">
        <v>42</v>
      </c>
      <c r="KK20" s="52" t="s">
        <v>41</v>
      </c>
      <c r="KM20" s="16" t="s">
        <v>81</v>
      </c>
      <c r="KN20" s="16">
        <v>43391</v>
      </c>
      <c r="KO20" s="15">
        <v>29189556</v>
      </c>
      <c r="KP20" s="14">
        <v>20000000</v>
      </c>
      <c r="KR20" s="1">
        <v>1</v>
      </c>
      <c r="KS20" s="1">
        <v>3</v>
      </c>
      <c r="KU20" s="16" t="s">
        <v>79</v>
      </c>
      <c r="KV20" s="16">
        <v>43573</v>
      </c>
      <c r="KW20" s="15">
        <v>21462540</v>
      </c>
      <c r="KX20" s="14">
        <v>12000000</v>
      </c>
      <c r="KZ20" s="1">
        <v>3</v>
      </c>
      <c r="LA20" s="1">
        <v>12</v>
      </c>
      <c r="LC20" s="16" t="s">
        <v>78</v>
      </c>
      <c r="LD20" s="16">
        <v>43755</v>
      </c>
      <c r="LE20" s="15">
        <v>15300054</v>
      </c>
      <c r="LF20" s="14">
        <v>3000000</v>
      </c>
      <c r="LH20" s="55" t="s">
        <v>103</v>
      </c>
      <c r="LI20" s="54"/>
      <c r="LK20" s="16" t="s">
        <v>77</v>
      </c>
      <c r="LL20" s="16">
        <v>43937</v>
      </c>
      <c r="LM20" s="15">
        <v>28517610</v>
      </c>
      <c r="LN20" s="14">
        <v>12000000</v>
      </c>
      <c r="LP20" s="1">
        <v>3</v>
      </c>
      <c r="LQ20" s="1">
        <v>12</v>
      </c>
      <c r="LS20" s="16" t="s">
        <v>70</v>
      </c>
      <c r="LT20" s="16">
        <v>44119</v>
      </c>
      <c r="LU20" s="15">
        <v>64884270</v>
      </c>
      <c r="LV20" s="14">
        <v>40000000</v>
      </c>
      <c r="LX20" s="1">
        <v>5</v>
      </c>
      <c r="LY20" s="1">
        <v>60</v>
      </c>
      <c r="MA20" s="16" t="s">
        <v>86</v>
      </c>
      <c r="MB20" s="16">
        <v>44308</v>
      </c>
      <c r="MC20" s="15">
        <v>116210292</v>
      </c>
      <c r="MD20" s="14">
        <v>80000000</v>
      </c>
      <c r="MF20" s="1">
        <v>5</v>
      </c>
      <c r="MG20" s="1">
        <v>50</v>
      </c>
      <c r="MI20" s="16" t="s">
        <v>69</v>
      </c>
      <c r="MJ20" s="16">
        <v>44483</v>
      </c>
      <c r="MK20" s="15">
        <v>59667168</v>
      </c>
      <c r="ML20" s="14">
        <v>40000000</v>
      </c>
      <c r="MN20" s="1">
        <v>5</v>
      </c>
      <c r="MO20" s="1">
        <v>60</v>
      </c>
      <c r="MQ20" s="16" t="s">
        <v>76</v>
      </c>
      <c r="MR20" s="16">
        <v>44672</v>
      </c>
      <c r="MS20" s="15">
        <v>24283512</v>
      </c>
      <c r="MT20" s="14">
        <v>8000000</v>
      </c>
      <c r="MV20" s="1">
        <v>4</v>
      </c>
      <c r="MW20" s="1">
        <v>40</v>
      </c>
      <c r="MY20" s="16" t="s">
        <v>34</v>
      </c>
      <c r="MZ20" s="16">
        <v>42943</v>
      </c>
      <c r="NA20" s="15">
        <v>12289420</v>
      </c>
      <c r="NB20" s="14">
        <v>3000000</v>
      </c>
      <c r="ND20" s="1">
        <v>2</v>
      </c>
      <c r="NE20" s="1">
        <v>6</v>
      </c>
      <c r="NG20" s="40">
        <v>150</v>
      </c>
      <c r="NH20" s="39">
        <f t="shared" si="92"/>
        <v>182332999.99999997</v>
      </c>
      <c r="NI20" s="40">
        <v>300</v>
      </c>
      <c r="NJ20" s="39">
        <f t="shared" si="93"/>
        <v>354547999.99999994</v>
      </c>
      <c r="NL20" s="13"/>
      <c r="NN20" s="16" t="s">
        <v>33</v>
      </c>
      <c r="NO20" s="16">
        <v>43314</v>
      </c>
      <c r="NP20" s="15">
        <v>47926296</v>
      </c>
      <c r="NQ20" s="14">
        <v>50000000</v>
      </c>
      <c r="NS20" s="1">
        <v>1</v>
      </c>
      <c r="NT20" s="1">
        <v>3</v>
      </c>
      <c r="NV20" s="40">
        <v>150</v>
      </c>
      <c r="NW20" s="39">
        <f t="shared" si="94"/>
        <v>185735200</v>
      </c>
      <c r="NX20" s="40">
        <v>300</v>
      </c>
      <c r="NY20" s="39">
        <f t="shared" si="95"/>
        <v>366605200</v>
      </c>
      <c r="OA20" s="13"/>
      <c r="OB20" s="1"/>
    </row>
    <row r="21" spans="2:392" x14ac:dyDescent="0.25">
      <c r="B21" s="53">
        <v>40695</v>
      </c>
      <c r="C21" s="53">
        <v>41339</v>
      </c>
      <c r="D21" s="66"/>
      <c r="F21" s="5" t="s">
        <v>82</v>
      </c>
      <c r="G21" s="51">
        <f t="shared" si="98"/>
        <v>43101</v>
      </c>
      <c r="H21" s="51">
        <f t="shared" si="96"/>
        <v>43281</v>
      </c>
      <c r="I21" s="50">
        <f t="shared" si="97"/>
        <v>26</v>
      </c>
      <c r="K21" s="7">
        <v>17</v>
      </c>
      <c r="M21" s="5" t="str" cm="1">
        <f t="array" ref="M21">LOOKUP(2,1/($G$19:$G$35&lt;=$V21)/($H$19:$H$35&gt;=$V21),$F$19:$F$35)</f>
        <v>2H17</v>
      </c>
      <c r="N21" s="5" t="str" cm="1">
        <f t="array" ref="N21">LOOKUP(2,1/($G$8:$G$16&lt;=$V21)/($H$8:$H$16&gt;=$V21),$F$8:$F$16)</f>
        <v>FY17</v>
      </c>
      <c r="O21" s="5" t="str">
        <f>IFERROR(N21&amp;"-"&amp;COUNTIF($N$5:N21,N21),NA())</f>
        <v>FY17-17</v>
      </c>
      <c r="P21" s="5">
        <f>COUNTIF(V$5:V21,"&gt;="&amp;MAX($V:$V)-183)</f>
        <v>0</v>
      </c>
      <c r="Q21" s="5">
        <f>COUNTIF(V$5:V21,"&gt;="&amp;MAX($V:$V)-365)</f>
        <v>0</v>
      </c>
      <c r="R21" s="5" cm="1">
        <f t="array" ref="R21">LOOKUP(2,1/($G$46:$G$50&lt;=$V21)/($H$46:$H$50&gt;=$V21),$F$46:$F$50)</f>
        <v>0</v>
      </c>
      <c r="S21" s="5" cm="1">
        <f t="array" ref="S21">LOOKUP(2,1/($G$53:$G$56&lt;=$V21)/($H$53:$H$56&gt;=$V21),$F$53:$F$56)</f>
        <v>0</v>
      </c>
      <c r="T21" s="5" t="e">
        <f>IFERROR(IF($R21&gt;0,$R21&amp;"-"&amp;COUNTIF($R$5:$R21,$R21),NA()),NA())</f>
        <v>#N/A</v>
      </c>
      <c r="U21" s="5" t="e">
        <f>IFERROR(IF($S21&gt;0,$S21&amp;"-"&amp;COUNTIF($S$5:$S21,$S21),NA()),NA())</f>
        <v>#N/A</v>
      </c>
      <c r="V21" s="10">
        <v>42852</v>
      </c>
      <c r="W21" s="9">
        <v>26332774.390201826</v>
      </c>
      <c r="X21" s="9">
        <v>24464464.047217004</v>
      </c>
      <c r="Y21" s="8">
        <v>15000000</v>
      </c>
      <c r="AA21" s="48">
        <f t="shared" si="46"/>
        <v>17</v>
      </c>
      <c r="AB21" s="12">
        <f t="shared" si="0"/>
        <v>45400</v>
      </c>
      <c r="AC21" s="15">
        <f t="shared" si="1"/>
        <v>30895473.575242456</v>
      </c>
      <c r="AD21" s="14">
        <f t="shared" si="2"/>
        <v>12000000</v>
      </c>
      <c r="AF21" s="1">
        <v>3</v>
      </c>
      <c r="AG21" s="1">
        <v>20</v>
      </c>
      <c r="AI21" s="40">
        <v>160</v>
      </c>
      <c r="AJ21" s="39">
        <f t="shared" si="53"/>
        <v>273675800.00000006</v>
      </c>
      <c r="AK21" s="40">
        <v>310</v>
      </c>
      <c r="AL21" s="39">
        <f t="shared" si="54"/>
        <v>523035800</v>
      </c>
      <c r="AN21" s="13"/>
      <c r="AO21" s="13"/>
      <c r="AP21" s="40">
        <v>160</v>
      </c>
      <c r="AQ21" s="39">
        <f t="shared" si="55"/>
        <v>198005999.99999997</v>
      </c>
      <c r="AR21" s="40">
        <v>310</v>
      </c>
      <c r="AS21" s="39">
        <f t="shared" si="56"/>
        <v>367790999.99999994</v>
      </c>
      <c r="AU21" s="13"/>
      <c r="AW21" s="48">
        <f t="shared" si="47"/>
        <v>17</v>
      </c>
      <c r="AX21" s="12">
        <f t="shared" si="4"/>
        <v>45218</v>
      </c>
      <c r="AY21" s="15">
        <f t="shared" si="5"/>
        <v>28337262.286150157</v>
      </c>
      <c r="AZ21" s="14">
        <f t="shared" si="48"/>
        <v>12000000</v>
      </c>
      <c r="BB21" s="1">
        <v>1</v>
      </c>
      <c r="BC21" s="1">
        <v>4</v>
      </c>
      <c r="BI21" s="40">
        <v>160</v>
      </c>
      <c r="BJ21" s="39">
        <f t="shared" si="57"/>
        <v>261618799.99999997</v>
      </c>
      <c r="BK21" s="40">
        <v>310</v>
      </c>
      <c r="BL21" s="39">
        <f t="shared" si="58"/>
        <v>499383799.99999994</v>
      </c>
      <c r="BN21" s="13"/>
      <c r="BO21" s="13"/>
      <c r="BP21" s="40"/>
      <c r="BQ21" s="39"/>
      <c r="BR21" s="110"/>
      <c r="BS21" s="39"/>
      <c r="BU21" s="13"/>
      <c r="BW21" s="48" t="e">
        <f t="shared" si="8"/>
        <v>#N/A</v>
      </c>
      <c r="BX21" s="12" t="e">
        <f t="shared" si="9"/>
        <v>#N/A</v>
      </c>
      <c r="BY21" s="15" t="e">
        <f t="shared" si="10"/>
        <v>#N/A</v>
      </c>
      <c r="BZ21" s="14" t="e">
        <f t="shared" si="11"/>
        <v>#N/A</v>
      </c>
      <c r="CE21" s="40">
        <v>110</v>
      </c>
      <c r="CF21" s="39">
        <f t="shared" si="61"/>
        <v>155197000</v>
      </c>
      <c r="CG21" s="40">
        <v>310</v>
      </c>
      <c r="CH21" s="39">
        <f t="shared" si="62"/>
        <v>409897000.00000006</v>
      </c>
      <c r="CJ21" s="13"/>
      <c r="CK21" s="13"/>
      <c r="CL21" s="48" t="e">
        <f t="shared" si="12"/>
        <v>#N/A</v>
      </c>
      <c r="CM21" s="12" t="e">
        <f t="shared" si="13"/>
        <v>#N/A</v>
      </c>
      <c r="CN21" s="49" t="e">
        <f t="shared" si="14"/>
        <v>#N/A</v>
      </c>
      <c r="CO21" s="49" t="e">
        <f t="shared" si="15"/>
        <v>#N/A</v>
      </c>
      <c r="CQ21" s="61">
        <f t="shared" ref="CQ21:CQ35" si="100">CF11/CU11-1</f>
        <v>0.13916956432808347</v>
      </c>
      <c r="CT21" s="40">
        <v>110</v>
      </c>
      <c r="CU21" s="39">
        <f t="shared" si="63"/>
        <v>146255000</v>
      </c>
      <c r="CV21" s="40">
        <v>310</v>
      </c>
      <c r="CW21" s="39">
        <f t="shared" si="64"/>
        <v>389875000</v>
      </c>
      <c r="CY21" s="13"/>
      <c r="DA21" s="48" t="e">
        <f t="shared" si="16"/>
        <v>#N/A</v>
      </c>
      <c r="DB21" s="12" t="e">
        <f t="shared" si="17"/>
        <v>#N/A</v>
      </c>
      <c r="DC21" s="15" t="e">
        <f t="shared" si="18"/>
        <v>#N/A</v>
      </c>
      <c r="DD21" s="14" t="e">
        <f t="shared" si="19"/>
        <v>#N/A</v>
      </c>
      <c r="DI21" s="40">
        <v>110</v>
      </c>
      <c r="DJ21" s="39">
        <f t="shared" si="65"/>
        <v>133280000</v>
      </c>
      <c r="DK21" s="40">
        <v>310</v>
      </c>
      <c r="DL21" s="39">
        <f t="shared" si="66"/>
        <v>343220000</v>
      </c>
      <c r="DN21" s="13"/>
      <c r="DO21" s="13"/>
      <c r="DP21" s="48" t="e">
        <f t="shared" si="20"/>
        <v>#N/A</v>
      </c>
      <c r="DQ21" s="12" t="e">
        <f t="shared" si="21"/>
        <v>#N/A</v>
      </c>
      <c r="DR21" s="15" t="e">
        <f t="shared" si="22"/>
        <v>#N/A</v>
      </c>
      <c r="DS21" s="14" t="e">
        <f t="shared" si="23"/>
        <v>#N/A</v>
      </c>
      <c r="DX21" s="40">
        <v>110</v>
      </c>
      <c r="DY21" s="39">
        <f t="shared" si="67"/>
        <v>146255000</v>
      </c>
      <c r="DZ21" s="40">
        <v>310</v>
      </c>
      <c r="EA21" s="39">
        <f t="shared" si="68"/>
        <v>389875000</v>
      </c>
      <c r="EC21" s="13"/>
      <c r="ED21" s="13"/>
      <c r="EE21" s="40">
        <v>110</v>
      </c>
      <c r="EF21" s="39">
        <f t="shared" si="69"/>
        <v>102276000</v>
      </c>
      <c r="EG21" s="40">
        <v>310</v>
      </c>
      <c r="EH21" s="39">
        <f t="shared" si="70"/>
        <v>260575999.99999997</v>
      </c>
      <c r="EJ21" s="13"/>
      <c r="EK21" s="13"/>
      <c r="EL21" s="47" t="str">
        <f t="shared" si="25"/>
        <v>FY18-17</v>
      </c>
      <c r="EM21" s="16">
        <v>43034</v>
      </c>
      <c r="EN21" s="15">
        <v>12752664.964636879</v>
      </c>
      <c r="EO21" s="14">
        <f t="shared" si="26"/>
        <v>3000000</v>
      </c>
      <c r="EQ21" s="14">
        <v>3000000</v>
      </c>
      <c r="ER21" s="1">
        <f t="shared" ref="ER21:ER30" si="101">COUNTIF($EO$5:$EO$44,EQ21)</f>
        <v>14</v>
      </c>
      <c r="ET21" s="40">
        <v>160</v>
      </c>
      <c r="EU21" s="39">
        <f t="shared" si="71"/>
        <v>180373200</v>
      </c>
      <c r="EV21" s="40">
        <v>310</v>
      </c>
      <c r="EW21" s="39">
        <f t="shared" si="72"/>
        <v>340258200.00000006</v>
      </c>
      <c r="EX21" s="13"/>
      <c r="EY21" s="13"/>
      <c r="EZ21" s="13"/>
      <c r="FA21" s="16" t="s">
        <v>33</v>
      </c>
      <c r="FB21" s="16">
        <v>43398</v>
      </c>
      <c r="FC21" s="15">
        <v>34304900.19071836</v>
      </c>
      <c r="FD21" s="14">
        <v>30000000</v>
      </c>
      <c r="FF21" s="1">
        <v>2</v>
      </c>
      <c r="FG21" s="1">
        <v>8</v>
      </c>
      <c r="FI21" s="40"/>
      <c r="FJ21" s="39"/>
      <c r="FK21" s="40"/>
      <c r="FL21" s="39"/>
      <c r="FN21" s="13"/>
      <c r="FO21" s="13"/>
      <c r="FP21" s="40"/>
      <c r="FQ21" s="39"/>
      <c r="FR21" s="40"/>
      <c r="FS21" s="39"/>
      <c r="FU21" s="13"/>
      <c r="FV21" s="13"/>
      <c r="FW21" s="16" t="s">
        <v>39</v>
      </c>
      <c r="FX21" s="16">
        <v>43762</v>
      </c>
      <c r="FY21" s="15">
        <v>19900891.144253977</v>
      </c>
      <c r="FZ21" s="14">
        <v>8000000</v>
      </c>
      <c r="GB21" s="1">
        <v>1</v>
      </c>
      <c r="GC21" s="1">
        <v>3</v>
      </c>
      <c r="GF21" s="40"/>
      <c r="GG21" s="39"/>
      <c r="GH21" s="40"/>
      <c r="GI21" s="39"/>
      <c r="GK21" s="13"/>
      <c r="GL21" s="13"/>
      <c r="GM21" s="40"/>
      <c r="GN21" s="39"/>
      <c r="GO21" s="40"/>
      <c r="GP21" s="39"/>
      <c r="GR21" s="13"/>
      <c r="GS21" s="13"/>
      <c r="GT21" s="16" t="s">
        <v>38</v>
      </c>
      <c r="GU21" s="16">
        <v>44126</v>
      </c>
      <c r="GV21" s="15">
        <v>19054887.686226815</v>
      </c>
      <c r="GW21" s="14">
        <v>3000000</v>
      </c>
      <c r="GY21" s="1">
        <v>5</v>
      </c>
      <c r="GZ21" s="1">
        <v>60</v>
      </c>
      <c r="HB21" s="40"/>
      <c r="HC21" s="39"/>
      <c r="HD21" s="40"/>
      <c r="HE21" s="39"/>
      <c r="HG21" s="13"/>
      <c r="HH21" s="13"/>
      <c r="HI21" s="16" t="s">
        <v>35</v>
      </c>
      <c r="HJ21" s="16">
        <v>44490</v>
      </c>
      <c r="HK21" s="15">
        <v>83423387.290969908</v>
      </c>
      <c r="HL21" s="14">
        <v>60000000</v>
      </c>
      <c r="HN21" s="1">
        <v>4</v>
      </c>
      <c r="HO21" s="1">
        <v>40</v>
      </c>
      <c r="HQ21" s="40"/>
      <c r="HR21" s="39"/>
      <c r="HS21" s="40"/>
      <c r="HT21" s="39"/>
      <c r="HV21" s="13"/>
      <c r="HW21" s="13"/>
      <c r="HX21" s="40"/>
      <c r="HY21" s="39"/>
      <c r="HZ21" s="40"/>
      <c r="IA21" s="39"/>
      <c r="IC21" s="13"/>
      <c r="ID21" s="13"/>
      <c r="IE21" s="16" t="s">
        <v>37</v>
      </c>
      <c r="IF21" s="16">
        <v>44861</v>
      </c>
      <c r="IG21" s="15">
        <v>284837413.80358768</v>
      </c>
      <c r="IH21" s="14">
        <v>160000000</v>
      </c>
      <c r="IM21" s="40">
        <v>160</v>
      </c>
      <c r="IN21" s="39">
        <f t="shared" si="85"/>
        <v>281959000</v>
      </c>
      <c r="IO21" s="40">
        <v>310</v>
      </c>
      <c r="IP21" s="39">
        <f t="shared" si="86"/>
        <v>539569000</v>
      </c>
      <c r="IR21" s="13"/>
      <c r="IS21" s="13"/>
      <c r="IT21" s="111">
        <v>50</v>
      </c>
      <c r="IU21" s="39">
        <f t="shared" si="87"/>
        <v>73754000</v>
      </c>
      <c r="IV21" s="40">
        <v>310</v>
      </c>
      <c r="IW21" s="39">
        <f t="shared" si="88"/>
        <v>371609999.99999994</v>
      </c>
      <c r="IY21" s="13"/>
      <c r="IZ21" s="13"/>
      <c r="JA21" s="16" t="s">
        <v>115</v>
      </c>
      <c r="JB21" s="16">
        <v>45225</v>
      </c>
      <c r="JC21" s="15">
        <v>41102714.394682363</v>
      </c>
      <c r="JD21" s="14">
        <v>20000000</v>
      </c>
      <c r="JF21" s="1">
        <v>2</v>
      </c>
      <c r="JG21" s="1">
        <v>12</v>
      </c>
      <c r="JI21" s="40">
        <v>160</v>
      </c>
      <c r="JJ21" s="39">
        <f t="shared" si="89"/>
        <v>281959000</v>
      </c>
      <c r="JK21" s="40">
        <v>310</v>
      </c>
      <c r="JL21" s="39">
        <f t="shared" si="90"/>
        <v>539569000</v>
      </c>
      <c r="JN21" s="13"/>
      <c r="JO21" s="13"/>
      <c r="JP21" s="111">
        <v>50</v>
      </c>
      <c r="JQ21" s="39">
        <f t="shared" si="91"/>
        <v>69088000</v>
      </c>
      <c r="JR21" s="69"/>
      <c r="JS21" s="69"/>
      <c r="JU21" s="13"/>
      <c r="JV21" s="13"/>
      <c r="JW21" s="16" t="s">
        <v>83</v>
      </c>
      <c r="JX21" s="16">
        <v>43034</v>
      </c>
      <c r="JY21" s="15">
        <v>12711600</v>
      </c>
      <c r="JZ21" s="14">
        <v>3000000</v>
      </c>
      <c r="KB21" s="1">
        <v>6</v>
      </c>
      <c r="KC21" s="1">
        <v>50</v>
      </c>
      <c r="KE21" s="46" t="s">
        <v>82</v>
      </c>
      <c r="KF21" s="46">
        <v>43216</v>
      </c>
      <c r="KG21" s="45">
        <v>11782122</v>
      </c>
      <c r="KH21" s="44">
        <v>3000000</v>
      </c>
      <c r="KJ21" s="1">
        <v>1</v>
      </c>
      <c r="KK21" s="1">
        <v>3</v>
      </c>
      <c r="KM21" s="16" t="s">
        <v>81</v>
      </c>
      <c r="KN21" s="16">
        <v>43398</v>
      </c>
      <c r="KO21" s="15">
        <v>34647558</v>
      </c>
      <c r="KP21" s="14">
        <v>30000000</v>
      </c>
      <c r="KR21" s="1">
        <v>2</v>
      </c>
      <c r="KS21" s="1">
        <v>8</v>
      </c>
      <c r="KU21" s="16" t="s">
        <v>79</v>
      </c>
      <c r="KV21" s="16">
        <v>43580</v>
      </c>
      <c r="KW21" s="15">
        <v>22645722</v>
      </c>
      <c r="KX21" s="14">
        <v>20000000</v>
      </c>
      <c r="KZ21" s="1">
        <v>4</v>
      </c>
      <c r="LA21" s="1">
        <v>20</v>
      </c>
      <c r="LC21" s="16" t="s">
        <v>78</v>
      </c>
      <c r="LD21" s="16">
        <v>43762</v>
      </c>
      <c r="LE21" s="15">
        <v>21789900</v>
      </c>
      <c r="LF21" s="14">
        <v>8000000</v>
      </c>
      <c r="LH21" s="52" t="s">
        <v>42</v>
      </c>
      <c r="LI21" s="52" t="s">
        <v>41</v>
      </c>
      <c r="LK21" s="16" t="s">
        <v>77</v>
      </c>
      <c r="LL21" s="16">
        <v>43944</v>
      </c>
      <c r="LM21" s="15">
        <v>40089852</v>
      </c>
      <c r="LN21" s="14">
        <v>20000000</v>
      </c>
      <c r="LP21" s="1">
        <v>4</v>
      </c>
      <c r="LQ21" s="1">
        <v>20</v>
      </c>
      <c r="LS21" s="16" t="s">
        <v>70</v>
      </c>
      <c r="LT21" s="16">
        <v>44126</v>
      </c>
      <c r="LU21" s="15">
        <v>19372848</v>
      </c>
      <c r="LV21" s="14">
        <v>3000000</v>
      </c>
      <c r="LX21" s="1">
        <v>6</v>
      </c>
      <c r="LY21" s="1">
        <v>80</v>
      </c>
      <c r="MA21" s="16" t="s">
        <v>86</v>
      </c>
      <c r="MB21" s="16">
        <v>44315</v>
      </c>
      <c r="MC21" s="15">
        <v>24121218</v>
      </c>
      <c r="MD21" s="14">
        <v>8000000</v>
      </c>
      <c r="MF21" s="1">
        <v>6</v>
      </c>
      <c r="MG21" s="1">
        <v>80</v>
      </c>
      <c r="MI21" s="16" t="s">
        <v>69</v>
      </c>
      <c r="MJ21" s="16">
        <v>44490</v>
      </c>
      <c r="MK21" s="15">
        <v>87732480</v>
      </c>
      <c r="ML21" s="14">
        <v>60000000</v>
      </c>
      <c r="MN21" s="1">
        <v>6</v>
      </c>
      <c r="MO21" s="1">
        <v>80</v>
      </c>
      <c r="MQ21" s="16" t="s">
        <v>76</v>
      </c>
      <c r="MR21" s="16">
        <v>44679</v>
      </c>
      <c r="MS21" s="15">
        <v>42425658</v>
      </c>
      <c r="MT21" s="14">
        <v>20000000</v>
      </c>
      <c r="MV21" s="1">
        <v>5</v>
      </c>
      <c r="MW21" s="1">
        <v>60</v>
      </c>
      <c r="MY21" s="16" t="s">
        <v>34</v>
      </c>
      <c r="MZ21" s="16">
        <v>42950</v>
      </c>
      <c r="NA21" s="15">
        <v>17316640</v>
      </c>
      <c r="NB21" s="14">
        <v>6000000</v>
      </c>
      <c r="ND21" s="1">
        <v>3</v>
      </c>
      <c r="NE21" s="1">
        <v>10</v>
      </c>
      <c r="NF21"/>
      <c r="NG21" s="40">
        <v>160</v>
      </c>
      <c r="NH21" s="39">
        <f t="shared" si="92"/>
        <v>193813999.99999997</v>
      </c>
      <c r="NI21" s="40">
        <v>310</v>
      </c>
      <c r="NJ21" s="39">
        <f t="shared" si="93"/>
        <v>366028999.99999994</v>
      </c>
      <c r="NL21" s="13"/>
      <c r="NN21" s="16" t="s">
        <v>33</v>
      </c>
      <c r="NO21" s="16">
        <v>43321</v>
      </c>
      <c r="NP21" s="15">
        <v>90542232</v>
      </c>
      <c r="NQ21" s="14">
        <v>80000000</v>
      </c>
      <c r="NS21" s="1">
        <v>2</v>
      </c>
      <c r="NT21" s="1">
        <v>8</v>
      </c>
      <c r="NV21" s="40">
        <v>160</v>
      </c>
      <c r="NW21" s="39">
        <f t="shared" si="94"/>
        <v>197793199.99999997</v>
      </c>
      <c r="NX21" s="40">
        <v>310</v>
      </c>
      <c r="NY21" s="39">
        <f t="shared" si="95"/>
        <v>378663200</v>
      </c>
      <c r="OA21" s="13"/>
      <c r="OB21" s="1"/>
    </row>
    <row r="22" spans="2:392" x14ac:dyDescent="0.25">
      <c r="B22" s="53">
        <v>41340</v>
      </c>
      <c r="C22" s="53">
        <v>43208</v>
      </c>
      <c r="D22" s="65">
        <v>76.767600000000002</v>
      </c>
      <c r="F22" s="5" t="s">
        <v>81</v>
      </c>
      <c r="G22" s="51">
        <f t="shared" si="98"/>
        <v>43282</v>
      </c>
      <c r="H22" s="51">
        <f t="shared" si="96"/>
        <v>43465</v>
      </c>
      <c r="I22" s="50">
        <f t="shared" si="97"/>
        <v>26</v>
      </c>
      <c r="K22" s="7">
        <v>18</v>
      </c>
      <c r="M22" s="5" t="str" cm="1">
        <f t="array" ref="M22">LOOKUP(2,1/($G$19:$G$35&lt;=$V22)/($H$19:$H$35&gt;=$V22),$F$19:$F$35)</f>
        <v>2H17</v>
      </c>
      <c r="N22" s="5" t="str" cm="1">
        <f t="array" ref="N22">LOOKUP(2,1/($G$8:$G$16&lt;=$V22)/($H$8:$H$16&gt;=$V22),$F$8:$F$16)</f>
        <v>FY17</v>
      </c>
      <c r="O22" s="5" t="str">
        <f>IFERROR(N22&amp;"-"&amp;COUNTIF($N$5:N22,N22),NA())</f>
        <v>FY17-18</v>
      </c>
      <c r="P22" s="5">
        <f>COUNTIF(V$5:V22,"&gt;="&amp;MAX($V:$V)-183)</f>
        <v>0</v>
      </c>
      <c r="Q22" s="5">
        <f>COUNTIF(V$5:V22,"&gt;="&amp;MAX($V:$V)-365)</f>
        <v>0</v>
      </c>
      <c r="R22" s="5" cm="1">
        <f t="array" ref="R22">LOOKUP(2,1/($G$46:$G$50&lt;=$V22)/($H$46:$H$50&gt;=$V22),$F$46:$F$50)</f>
        <v>0</v>
      </c>
      <c r="S22" s="5" cm="1">
        <f t="array" ref="S22">LOOKUP(2,1/($G$53:$G$56&lt;=$V22)/($H$53:$H$56&gt;=$V22),$F$53:$F$56)</f>
        <v>0</v>
      </c>
      <c r="T22" s="5" t="e">
        <f>IFERROR(IF($R22&gt;0,$R22&amp;"-"&amp;COUNTIF($R$5:$R22,$R22),NA()),NA())</f>
        <v>#N/A</v>
      </c>
      <c r="U22" s="5" t="e">
        <f>IFERROR(IF($S22&gt;0,$S22&amp;"-"&amp;COUNTIF($S$5:$S22,$S22),NA()),NA())</f>
        <v>#N/A</v>
      </c>
      <c r="V22" s="10">
        <v>42859</v>
      </c>
      <c r="W22" s="9">
        <v>42862020.355356216</v>
      </c>
      <c r="X22" s="9">
        <v>39820960.011143692</v>
      </c>
      <c r="Y22" s="8">
        <v>30000000</v>
      </c>
      <c r="AA22" s="48">
        <f t="shared" si="46"/>
        <v>18</v>
      </c>
      <c r="AB22" s="12">
        <f t="shared" si="0"/>
        <v>45407</v>
      </c>
      <c r="AC22" s="15">
        <f t="shared" si="1"/>
        <v>37208673.640623301</v>
      </c>
      <c r="AD22" s="14">
        <f t="shared" si="2"/>
        <v>20000000</v>
      </c>
      <c r="AF22" s="1">
        <v>4</v>
      </c>
      <c r="AG22" s="1">
        <v>40</v>
      </c>
      <c r="AI22" s="40">
        <v>170</v>
      </c>
      <c r="AJ22" s="39">
        <f t="shared" si="53"/>
        <v>290299800</v>
      </c>
      <c r="AK22" s="40">
        <v>320</v>
      </c>
      <c r="AL22" s="39">
        <f t="shared" si="54"/>
        <v>539659800</v>
      </c>
      <c r="AN22" s="13"/>
      <c r="AO22" s="13"/>
      <c r="AP22" s="40">
        <v>170</v>
      </c>
      <c r="AQ22" s="39">
        <f t="shared" si="55"/>
        <v>209325000</v>
      </c>
      <c r="AR22" s="40">
        <v>320</v>
      </c>
      <c r="AS22" s="39">
        <f t="shared" si="56"/>
        <v>379109999.99999994</v>
      </c>
      <c r="AU22" s="13"/>
      <c r="AW22" s="48">
        <f t="shared" si="47"/>
        <v>18</v>
      </c>
      <c r="AX22" s="12">
        <f t="shared" si="4"/>
        <v>45225</v>
      </c>
      <c r="AY22" s="15">
        <f t="shared" si="5"/>
        <v>41102714.394682363</v>
      </c>
      <c r="AZ22" s="14">
        <f t="shared" si="48"/>
        <v>20000000</v>
      </c>
      <c r="BB22" s="1">
        <v>2</v>
      </c>
      <c r="BC22" s="1">
        <v>8</v>
      </c>
      <c r="BI22" s="40">
        <v>170</v>
      </c>
      <c r="BJ22" s="39">
        <f t="shared" si="57"/>
        <v>277469799.99999994</v>
      </c>
      <c r="BK22" s="40">
        <v>320</v>
      </c>
      <c r="BL22" s="39">
        <f t="shared" si="58"/>
        <v>515234799.99999994</v>
      </c>
      <c r="BN22" s="13"/>
      <c r="BO22" s="13"/>
      <c r="BP22" s="40">
        <v>5</v>
      </c>
      <c r="BQ22" s="39">
        <f t="shared" ref="BQ22:BQ31" si="102">($BQ$8*BP22^2+$BR$8*BP22+$BS$8)*1000000</f>
        <v>21997000</v>
      </c>
      <c r="BR22" s="110">
        <v>0</v>
      </c>
      <c r="BS22" s="39">
        <f t="shared" ref="BS22:BS26" si="103">BQ22*(1+BR22)</f>
        <v>21997000</v>
      </c>
      <c r="BU22" s="13"/>
      <c r="BW22" s="48" t="e">
        <f t="shared" si="8"/>
        <v>#N/A</v>
      </c>
      <c r="BX22" s="12" t="e">
        <f t="shared" si="9"/>
        <v>#N/A</v>
      </c>
      <c r="BY22" s="15" t="e">
        <f t="shared" si="10"/>
        <v>#N/A</v>
      </c>
      <c r="BZ22" s="14" t="e">
        <f t="shared" si="11"/>
        <v>#N/A</v>
      </c>
      <c r="CE22" s="40">
        <v>120</v>
      </c>
      <c r="CF22" s="39">
        <f t="shared" si="61"/>
        <v>167932000.00000003</v>
      </c>
      <c r="CG22" s="40">
        <v>320</v>
      </c>
      <c r="CH22" s="39">
        <f t="shared" si="62"/>
        <v>422632000.00000006</v>
      </c>
      <c r="CJ22" s="13"/>
      <c r="CK22" s="13"/>
      <c r="CL22" s="48" t="e">
        <f t="shared" si="12"/>
        <v>#N/A</v>
      </c>
      <c r="CM22" s="12" t="e">
        <f t="shared" si="13"/>
        <v>#N/A</v>
      </c>
      <c r="CN22" s="49" t="e">
        <f t="shared" si="14"/>
        <v>#N/A</v>
      </c>
      <c r="CO22" s="49" t="e">
        <f t="shared" si="15"/>
        <v>#N/A</v>
      </c>
      <c r="CQ22" s="61">
        <f t="shared" si="100"/>
        <v>0.10801070277944635</v>
      </c>
      <c r="CT22" s="40">
        <v>120</v>
      </c>
      <c r="CU22" s="39">
        <f t="shared" si="63"/>
        <v>158436000</v>
      </c>
      <c r="CV22" s="40">
        <v>320</v>
      </c>
      <c r="CW22" s="39">
        <f t="shared" si="64"/>
        <v>402056000</v>
      </c>
      <c r="CY22" s="13"/>
      <c r="DA22" s="48" t="e">
        <f t="shared" si="16"/>
        <v>#N/A</v>
      </c>
      <c r="DB22" s="12" t="e">
        <f t="shared" si="17"/>
        <v>#N/A</v>
      </c>
      <c r="DC22" s="15" t="e">
        <f t="shared" si="18"/>
        <v>#N/A</v>
      </c>
      <c r="DD22" s="14" t="e">
        <f t="shared" si="19"/>
        <v>#N/A</v>
      </c>
      <c r="DI22" s="40">
        <v>120</v>
      </c>
      <c r="DJ22" s="39">
        <f t="shared" si="65"/>
        <v>143777000.00000003</v>
      </c>
      <c r="DK22" s="40">
        <v>320</v>
      </c>
      <c r="DL22" s="39">
        <f t="shared" si="66"/>
        <v>353717000</v>
      </c>
      <c r="DN22" s="13"/>
      <c r="DO22" s="13"/>
      <c r="DP22" s="48" t="e">
        <f t="shared" si="20"/>
        <v>#N/A</v>
      </c>
      <c r="DQ22" s="12" t="e">
        <f t="shared" si="21"/>
        <v>#N/A</v>
      </c>
      <c r="DR22" s="15" t="e">
        <f t="shared" si="22"/>
        <v>#N/A</v>
      </c>
      <c r="DS22" s="14" t="e">
        <f t="shared" si="23"/>
        <v>#N/A</v>
      </c>
      <c r="DU22" s="61">
        <f t="shared" ref="DU22:DU36" si="104">DJ11/EF11-1</f>
        <v>0.22416327942575465</v>
      </c>
      <c r="DX22" s="40">
        <v>120</v>
      </c>
      <c r="DY22" s="39">
        <f t="shared" si="67"/>
        <v>158436000</v>
      </c>
      <c r="DZ22" s="40">
        <v>320</v>
      </c>
      <c r="EA22" s="39">
        <f t="shared" si="68"/>
        <v>402056000</v>
      </c>
      <c r="EC22" s="13"/>
      <c r="ED22" s="13"/>
      <c r="EE22" s="40">
        <v>120</v>
      </c>
      <c r="EF22" s="39">
        <f t="shared" si="69"/>
        <v>110191000</v>
      </c>
      <c r="EG22" s="40">
        <v>320</v>
      </c>
      <c r="EH22" s="39">
        <f t="shared" si="70"/>
        <v>268491000</v>
      </c>
      <c r="EJ22" s="13"/>
      <c r="EK22" s="13"/>
      <c r="EL22" s="47" t="str">
        <f t="shared" si="25"/>
        <v>FY18-18</v>
      </c>
      <c r="EM22" s="16">
        <v>43041</v>
      </c>
      <c r="EN22" s="15">
        <v>16170259.991374848</v>
      </c>
      <c r="EO22" s="14">
        <f t="shared" si="26"/>
        <v>6000000</v>
      </c>
      <c r="EQ22" s="14">
        <v>6000000</v>
      </c>
      <c r="ER22" s="1">
        <f t="shared" si="101"/>
        <v>10</v>
      </c>
      <c r="ET22" s="40">
        <v>170</v>
      </c>
      <c r="EU22" s="39">
        <f t="shared" si="71"/>
        <v>191032200</v>
      </c>
      <c r="EV22" s="40">
        <v>320</v>
      </c>
      <c r="EW22" s="39">
        <f t="shared" si="72"/>
        <v>350917200.00000006</v>
      </c>
      <c r="EX22" s="13"/>
      <c r="EY22" s="13"/>
      <c r="EZ22" s="13"/>
      <c r="FA22" s="16" t="s">
        <v>33</v>
      </c>
      <c r="FB22" s="16">
        <v>43405</v>
      </c>
      <c r="FC22" s="15">
        <v>42745877.177368082</v>
      </c>
      <c r="FD22" s="14">
        <v>40000000</v>
      </c>
      <c r="FF22" s="1">
        <v>3</v>
      </c>
      <c r="FG22" s="1">
        <v>12</v>
      </c>
      <c r="FI22" s="40"/>
      <c r="FJ22" s="39"/>
      <c r="FK22" s="40"/>
      <c r="FL22" s="39"/>
      <c r="FN22" s="13"/>
      <c r="FO22" s="13"/>
      <c r="FP22" s="40"/>
      <c r="FQ22" s="39"/>
      <c r="FR22" s="40"/>
      <c r="FS22" s="39"/>
      <c r="FU22" s="13"/>
      <c r="FV22" s="13"/>
      <c r="FW22" s="16" t="s">
        <v>39</v>
      </c>
      <c r="FX22" s="16">
        <v>43769</v>
      </c>
      <c r="FY22" s="15">
        <v>22777251.067516554</v>
      </c>
      <c r="FZ22" s="14">
        <v>12000000</v>
      </c>
      <c r="GB22" s="1">
        <v>2</v>
      </c>
      <c r="GC22" s="1">
        <v>8</v>
      </c>
      <c r="GF22" s="40"/>
      <c r="GG22" s="39"/>
      <c r="GH22" s="40"/>
      <c r="GI22" s="39"/>
      <c r="GK22" s="13"/>
      <c r="GL22" s="13"/>
      <c r="GM22" s="40"/>
      <c r="GN22" s="39"/>
      <c r="GO22" s="40"/>
      <c r="GP22" s="39"/>
      <c r="GR22" s="13"/>
      <c r="GS22" s="13"/>
      <c r="GT22" s="16" t="s">
        <v>38</v>
      </c>
      <c r="GU22" s="16">
        <v>44133</v>
      </c>
      <c r="GV22" s="15">
        <v>24929902.341137119</v>
      </c>
      <c r="GW22" s="14">
        <v>8000000</v>
      </c>
      <c r="GY22" s="1">
        <v>6</v>
      </c>
      <c r="GZ22" s="1">
        <v>80</v>
      </c>
      <c r="HB22" s="40"/>
      <c r="HC22" s="39"/>
      <c r="HD22" s="40"/>
      <c r="HE22" s="39"/>
      <c r="HG22" s="13"/>
      <c r="HH22" s="13"/>
      <c r="HI22" s="16" t="s">
        <v>35</v>
      </c>
      <c r="HJ22" s="16">
        <v>44497</v>
      </c>
      <c r="HK22" s="15">
        <v>18862208.574034657</v>
      </c>
      <c r="HL22" s="14">
        <v>3000000</v>
      </c>
      <c r="HN22" s="1">
        <v>5</v>
      </c>
      <c r="HO22" s="1">
        <v>60</v>
      </c>
      <c r="HQ22" s="40"/>
      <c r="HR22" s="39"/>
      <c r="HS22" s="40"/>
      <c r="HT22" s="39"/>
      <c r="HV22" s="13"/>
      <c r="HW22" s="13"/>
      <c r="HX22" s="40"/>
      <c r="HY22" s="39"/>
      <c r="HZ22" s="40"/>
      <c r="IA22" s="39"/>
      <c r="IC22" s="13"/>
      <c r="ID22" s="13"/>
      <c r="IE22" s="16" t="s">
        <v>37</v>
      </c>
      <c r="IF22" s="16">
        <v>44868</v>
      </c>
      <c r="IG22" s="15">
        <v>27003392.885375496</v>
      </c>
      <c r="IH22" s="14">
        <v>8000000</v>
      </c>
      <c r="IM22" s="40">
        <v>170</v>
      </c>
      <c r="IN22" s="39">
        <f t="shared" si="85"/>
        <v>299133000.00000006</v>
      </c>
      <c r="IO22" s="40">
        <v>320</v>
      </c>
      <c r="IP22" s="39">
        <f t="shared" si="86"/>
        <v>556742999.99999988</v>
      </c>
      <c r="IR22" s="13"/>
      <c r="IS22" s="13"/>
      <c r="IT22" s="111">
        <v>55</v>
      </c>
      <c r="IU22" s="39">
        <f t="shared" si="87"/>
        <v>79482000</v>
      </c>
      <c r="IV22" s="40">
        <v>320</v>
      </c>
      <c r="IW22" s="39">
        <f t="shared" si="88"/>
        <v>383066000</v>
      </c>
      <c r="IY22" s="13"/>
      <c r="IZ22" s="13"/>
      <c r="JA22" s="16" t="s">
        <v>115</v>
      </c>
      <c r="JB22" s="16">
        <v>45232</v>
      </c>
      <c r="JC22" s="15">
        <v>58296434.782608703</v>
      </c>
      <c r="JD22" s="14">
        <v>40000000</v>
      </c>
      <c r="JF22" s="1">
        <v>3</v>
      </c>
      <c r="JG22" s="1">
        <v>20</v>
      </c>
      <c r="JI22" s="40">
        <v>170</v>
      </c>
      <c r="JJ22" s="39">
        <f t="shared" si="89"/>
        <v>299133000.00000006</v>
      </c>
      <c r="JK22" s="40">
        <v>320</v>
      </c>
      <c r="JL22" s="39">
        <f t="shared" si="90"/>
        <v>556742999.99999988</v>
      </c>
      <c r="JN22" s="13"/>
      <c r="JO22" s="13"/>
      <c r="JP22" s="111">
        <v>55</v>
      </c>
      <c r="JQ22" s="39">
        <f t="shared" si="91"/>
        <v>74314500</v>
      </c>
      <c r="JR22" s="69"/>
      <c r="JS22" s="69"/>
      <c r="JU22" s="13"/>
      <c r="JV22" s="13"/>
      <c r="JW22" s="16" t="s">
        <v>83</v>
      </c>
      <c r="JX22" s="16">
        <v>43041</v>
      </c>
      <c r="JY22" s="15">
        <v>16118190</v>
      </c>
      <c r="JZ22" s="14">
        <v>6000000</v>
      </c>
      <c r="KE22" s="46" t="s">
        <v>82</v>
      </c>
      <c r="KF22" s="46">
        <v>43223</v>
      </c>
      <c r="KG22" s="45">
        <v>16804854</v>
      </c>
      <c r="KH22" s="44">
        <v>8000000</v>
      </c>
      <c r="KJ22" s="1">
        <v>2</v>
      </c>
      <c r="KK22" s="1">
        <v>6</v>
      </c>
      <c r="KM22" s="16" t="s">
        <v>81</v>
      </c>
      <c r="KN22" s="16">
        <v>43405</v>
      </c>
      <c r="KO22" s="15">
        <v>42118956</v>
      </c>
      <c r="KP22" s="14">
        <v>40000000</v>
      </c>
      <c r="KR22" s="1">
        <v>3</v>
      </c>
      <c r="KS22" s="1">
        <v>12</v>
      </c>
      <c r="KU22" s="16" t="s">
        <v>79</v>
      </c>
      <c r="KV22" s="16">
        <v>43587</v>
      </c>
      <c r="KW22" s="15">
        <v>34418604</v>
      </c>
      <c r="KX22" s="14">
        <v>30000000</v>
      </c>
      <c r="KZ22" s="1">
        <v>5</v>
      </c>
      <c r="LA22" s="1">
        <v>30</v>
      </c>
      <c r="LC22" s="16" t="s">
        <v>78</v>
      </c>
      <c r="LD22" s="16">
        <v>43769</v>
      </c>
      <c r="LE22" s="15">
        <v>23379708</v>
      </c>
      <c r="LF22" s="14">
        <v>12000000</v>
      </c>
      <c r="LH22" s="1">
        <v>1</v>
      </c>
      <c r="LI22" s="1">
        <v>3</v>
      </c>
      <c r="LK22" s="16" t="s">
        <v>77</v>
      </c>
      <c r="LL22" s="16">
        <v>43951</v>
      </c>
      <c r="LM22" s="15">
        <v>17296884</v>
      </c>
      <c r="LN22" s="14">
        <v>3000000</v>
      </c>
      <c r="LP22" s="1">
        <v>5</v>
      </c>
      <c r="LQ22" s="1">
        <v>40</v>
      </c>
      <c r="LS22" s="16" t="s">
        <v>70</v>
      </c>
      <c r="LT22" s="16">
        <v>44133</v>
      </c>
      <c r="LU22" s="15">
        <v>25254438</v>
      </c>
      <c r="LV22" s="14">
        <v>8000000</v>
      </c>
      <c r="MA22" s="16" t="s">
        <v>86</v>
      </c>
      <c r="MB22" s="16">
        <v>44322</v>
      </c>
      <c r="MC22" s="15">
        <v>37330458</v>
      </c>
      <c r="MD22" s="14">
        <v>20000000</v>
      </c>
      <c r="MI22" s="16" t="s">
        <v>69</v>
      </c>
      <c r="MJ22" s="16">
        <v>44497</v>
      </c>
      <c r="MK22" s="15">
        <v>19189962</v>
      </c>
      <c r="ML22" s="14">
        <v>3000000</v>
      </c>
      <c r="MQ22" s="16" t="s">
        <v>76</v>
      </c>
      <c r="MR22" s="16">
        <v>44686</v>
      </c>
      <c r="MS22" s="15">
        <v>59828736</v>
      </c>
      <c r="MT22" s="14">
        <v>40000000</v>
      </c>
      <c r="MV22" s="1">
        <v>6</v>
      </c>
      <c r="MW22" s="1">
        <v>80</v>
      </c>
      <c r="MY22" s="16" t="s">
        <v>34</v>
      </c>
      <c r="MZ22" s="16">
        <v>42957</v>
      </c>
      <c r="NA22" s="15">
        <v>13752860</v>
      </c>
      <c r="NB22" s="14">
        <v>3000000</v>
      </c>
      <c r="ND22" s="1">
        <v>4</v>
      </c>
      <c r="NE22" s="1">
        <v>15</v>
      </c>
      <c r="NF22"/>
      <c r="NG22" s="40">
        <v>170</v>
      </c>
      <c r="NH22" s="39">
        <f t="shared" si="92"/>
        <v>205295000</v>
      </c>
      <c r="NI22" s="40">
        <v>320</v>
      </c>
      <c r="NJ22" s="39">
        <f t="shared" si="93"/>
        <v>377509999.99999994</v>
      </c>
      <c r="NL22" s="13"/>
      <c r="NN22" s="16" t="s">
        <v>33</v>
      </c>
      <c r="NO22" s="16">
        <v>43328</v>
      </c>
      <c r="NP22" s="15">
        <v>168618912</v>
      </c>
      <c r="NQ22" s="14">
        <v>100000000</v>
      </c>
      <c r="NS22" s="1">
        <v>3</v>
      </c>
      <c r="NT22" s="1">
        <v>12</v>
      </c>
      <c r="NV22" s="40">
        <v>170</v>
      </c>
      <c r="NW22" s="39">
        <f t="shared" si="94"/>
        <v>209851199.99999997</v>
      </c>
      <c r="NX22" s="40">
        <v>320</v>
      </c>
      <c r="NY22" s="39">
        <f t="shared" si="95"/>
        <v>390721200</v>
      </c>
      <c r="OA22" s="13"/>
      <c r="OB22" s="1"/>
    </row>
    <row r="23" spans="2:392" x14ac:dyDescent="0.25">
      <c r="B23" s="53">
        <v>43209</v>
      </c>
      <c r="C23" s="51">
        <f>EOMONTH(MAX($V:$V),0)</f>
        <v>45473</v>
      </c>
      <c r="D23" s="65">
        <v>134.49039999999999</v>
      </c>
      <c r="F23" s="5" t="s">
        <v>79</v>
      </c>
      <c r="G23" s="51">
        <f t="shared" si="98"/>
        <v>43466</v>
      </c>
      <c r="H23" s="51">
        <f t="shared" si="96"/>
        <v>43646</v>
      </c>
      <c r="I23" s="50">
        <f t="shared" si="97"/>
        <v>26</v>
      </c>
      <c r="K23" s="7">
        <v>19</v>
      </c>
      <c r="M23" s="5" t="str" cm="1">
        <f t="array" ref="M23">LOOKUP(2,1/($G$19:$G$35&lt;=$V23)/($H$19:$H$35&gt;=$V23),$F$19:$F$35)</f>
        <v>2H17</v>
      </c>
      <c r="N23" s="5" t="str" cm="1">
        <f t="array" ref="N23">LOOKUP(2,1/($G$8:$G$16&lt;=$V23)/($H$8:$H$16&gt;=$V23),$F$8:$F$16)</f>
        <v>FY17</v>
      </c>
      <c r="O23" s="5" t="str">
        <f>IFERROR(N23&amp;"-"&amp;COUNTIF($N$5:N23,N23),NA())</f>
        <v>FY17-19</v>
      </c>
      <c r="P23" s="5">
        <f>COUNTIF(V$5:V23,"&gt;="&amp;MAX($V:$V)-183)</f>
        <v>0</v>
      </c>
      <c r="Q23" s="5">
        <f>COUNTIF(V$5:V23,"&gt;="&amp;MAX($V:$V)-365)</f>
        <v>0</v>
      </c>
      <c r="R23" s="5" cm="1">
        <f t="array" ref="R23">LOOKUP(2,1/($G$46:$G$50&lt;=$V23)/($H$46:$H$50&gt;=$V23),$F$46:$F$50)</f>
        <v>0</v>
      </c>
      <c r="S23" s="5" cm="1">
        <f t="array" ref="S23">LOOKUP(2,1/($G$53:$G$56&lt;=$V23)/($H$53:$H$56&gt;=$V23),$F$53:$F$56)</f>
        <v>0</v>
      </c>
      <c r="T23" s="5" t="e">
        <f>IFERROR(IF($R23&gt;0,$R23&amp;"-"&amp;COUNTIF($R$5:$R23,$R23),NA()),NA())</f>
        <v>#N/A</v>
      </c>
      <c r="U23" s="5" t="e">
        <f>IFERROR(IF($S23&gt;0,$S23&amp;"-"&amp;COUNTIF($S$5:$S23,$S23),NA()),NA())</f>
        <v>#N/A</v>
      </c>
      <c r="V23" s="10">
        <v>42866</v>
      </c>
      <c r="W23" s="9">
        <v>67259823.929618761</v>
      </c>
      <c r="X23" s="9">
        <v>62487739.421812303</v>
      </c>
      <c r="Y23" s="8">
        <v>50000000</v>
      </c>
      <c r="AA23" s="48">
        <f t="shared" si="46"/>
        <v>19</v>
      </c>
      <c r="AB23" s="12">
        <f t="shared" si="0"/>
        <v>45414</v>
      </c>
      <c r="AC23" s="15">
        <f t="shared" si="1"/>
        <v>54983203.443391085</v>
      </c>
      <c r="AD23" s="14">
        <f t="shared" si="2"/>
        <v>40000000</v>
      </c>
      <c r="AF23" s="1">
        <v>5</v>
      </c>
      <c r="AG23" s="1">
        <v>60</v>
      </c>
      <c r="AI23" s="40">
        <v>180</v>
      </c>
      <c r="AJ23" s="39">
        <f t="shared" si="53"/>
        <v>306923800</v>
      </c>
      <c r="AK23" s="40">
        <v>330</v>
      </c>
      <c r="AL23" s="39">
        <f t="shared" si="54"/>
        <v>556283799.99999988</v>
      </c>
      <c r="AN23" s="13"/>
      <c r="AO23" s="13"/>
      <c r="AP23" s="40">
        <v>180</v>
      </c>
      <c r="AQ23" s="39">
        <f t="shared" si="55"/>
        <v>220644000</v>
      </c>
      <c r="AR23" s="40">
        <v>330</v>
      </c>
      <c r="AS23" s="39">
        <f t="shared" si="56"/>
        <v>390429000</v>
      </c>
      <c r="AU23" s="13"/>
      <c r="AW23" s="48">
        <f t="shared" si="47"/>
        <v>19</v>
      </c>
      <c r="AX23" s="12">
        <f t="shared" si="4"/>
        <v>45232</v>
      </c>
      <c r="AY23" s="15">
        <f t="shared" si="5"/>
        <v>58296434.782608703</v>
      </c>
      <c r="AZ23" s="14">
        <f t="shared" si="48"/>
        <v>40000000</v>
      </c>
      <c r="BB23" s="1">
        <v>3</v>
      </c>
      <c r="BC23" s="1">
        <v>20</v>
      </c>
      <c r="BI23" s="40">
        <v>180</v>
      </c>
      <c r="BJ23" s="39">
        <f t="shared" si="57"/>
        <v>293320799.99999994</v>
      </c>
      <c r="BK23" s="40">
        <v>330</v>
      </c>
      <c r="BL23" s="39">
        <f t="shared" si="58"/>
        <v>531085799.99999994</v>
      </c>
      <c r="BN23" s="13"/>
      <c r="BO23" s="13"/>
      <c r="BP23" s="40">
        <v>15</v>
      </c>
      <c r="BQ23" s="39">
        <f t="shared" si="102"/>
        <v>32858999.999999996</v>
      </c>
      <c r="BR23" s="110">
        <v>0</v>
      </c>
      <c r="BS23" s="39">
        <f t="shared" si="103"/>
        <v>32858999.999999996</v>
      </c>
      <c r="BU23" s="13"/>
      <c r="BW23" s="48" t="e">
        <f t="shared" si="8"/>
        <v>#N/A</v>
      </c>
      <c r="BX23" s="12" t="e">
        <f t="shared" si="9"/>
        <v>#N/A</v>
      </c>
      <c r="BY23" s="15" t="e">
        <f t="shared" si="10"/>
        <v>#N/A</v>
      </c>
      <c r="BZ23" s="14" t="e">
        <f t="shared" si="11"/>
        <v>#N/A</v>
      </c>
      <c r="CE23" s="40">
        <v>130</v>
      </c>
      <c r="CF23" s="39">
        <f t="shared" si="61"/>
        <v>180667000</v>
      </c>
      <c r="CG23" s="40">
        <v>330</v>
      </c>
      <c r="CH23" s="39">
        <f t="shared" si="62"/>
        <v>435367000.00000006</v>
      </c>
      <c r="CJ23" s="13"/>
      <c r="CK23" s="13"/>
      <c r="CL23" s="48" t="e">
        <f t="shared" si="12"/>
        <v>#N/A</v>
      </c>
      <c r="CM23" s="12" t="e">
        <f t="shared" si="13"/>
        <v>#N/A</v>
      </c>
      <c r="CN23" s="49" t="e">
        <f t="shared" si="14"/>
        <v>#N/A</v>
      </c>
      <c r="CO23" s="49" t="e">
        <f t="shared" si="15"/>
        <v>#N/A</v>
      </c>
      <c r="CQ23" s="61">
        <f t="shared" si="100"/>
        <v>9.2404778003155386E-2</v>
      </c>
      <c r="CT23" s="40">
        <v>130</v>
      </c>
      <c r="CU23" s="39">
        <f t="shared" si="63"/>
        <v>170617000.00000003</v>
      </c>
      <c r="CV23" s="40">
        <v>330</v>
      </c>
      <c r="CW23" s="39">
        <f t="shared" si="64"/>
        <v>414237000</v>
      </c>
      <c r="CY23" s="13"/>
      <c r="DA23" s="48" t="e">
        <f t="shared" si="16"/>
        <v>#N/A</v>
      </c>
      <c r="DB23" s="12" t="e">
        <f t="shared" si="17"/>
        <v>#N/A</v>
      </c>
      <c r="DC23" s="15" t="e">
        <f t="shared" si="18"/>
        <v>#N/A</v>
      </c>
      <c r="DD23" s="14" t="e">
        <f t="shared" si="19"/>
        <v>#N/A</v>
      </c>
      <c r="DI23" s="40">
        <v>130</v>
      </c>
      <c r="DJ23" s="39">
        <f t="shared" si="65"/>
        <v>154274000</v>
      </c>
      <c r="DK23" s="40">
        <v>330</v>
      </c>
      <c r="DL23" s="39">
        <f t="shared" si="66"/>
        <v>364214000</v>
      </c>
      <c r="DN23" s="13"/>
      <c r="DO23" s="13"/>
      <c r="DP23" s="48" t="e">
        <f t="shared" si="20"/>
        <v>#N/A</v>
      </c>
      <c r="DQ23" s="12" t="e">
        <f t="shared" si="21"/>
        <v>#N/A</v>
      </c>
      <c r="DR23" s="15" t="e">
        <f t="shared" si="22"/>
        <v>#N/A</v>
      </c>
      <c r="DS23" s="14" t="e">
        <f t="shared" si="23"/>
        <v>#N/A</v>
      </c>
      <c r="DU23" s="61">
        <f t="shared" si="104"/>
        <v>0.25018523887761357</v>
      </c>
      <c r="DX23" s="40">
        <v>130</v>
      </c>
      <c r="DY23" s="39">
        <f t="shared" si="67"/>
        <v>170617000.00000003</v>
      </c>
      <c r="DZ23" s="40">
        <v>330</v>
      </c>
      <c r="EA23" s="39">
        <f t="shared" si="68"/>
        <v>414237000</v>
      </c>
      <c r="EC23" s="13"/>
      <c r="ED23" s="13"/>
      <c r="EE23" s="40">
        <v>130</v>
      </c>
      <c r="EF23" s="39">
        <f t="shared" si="69"/>
        <v>118106000</v>
      </c>
      <c r="EG23" s="40">
        <v>330</v>
      </c>
      <c r="EH23" s="39">
        <f t="shared" si="70"/>
        <v>276406000</v>
      </c>
      <c r="EJ23" s="13"/>
      <c r="EK23" s="13"/>
      <c r="EL23" s="47" t="str">
        <f t="shared" si="25"/>
        <v>FY18-19</v>
      </c>
      <c r="EM23" s="16">
        <v>43048</v>
      </c>
      <c r="EN23" s="15">
        <v>13079537.52975677</v>
      </c>
      <c r="EO23" s="14">
        <f t="shared" si="26"/>
        <v>3000000</v>
      </c>
      <c r="EQ23" s="14">
        <v>10000000</v>
      </c>
      <c r="ER23" s="1">
        <f t="shared" si="101"/>
        <v>5</v>
      </c>
      <c r="ET23" s="40">
        <v>180</v>
      </c>
      <c r="EU23" s="39">
        <f t="shared" si="71"/>
        <v>201691200.00000003</v>
      </c>
      <c r="EV23" s="40">
        <v>330</v>
      </c>
      <c r="EW23" s="39">
        <f t="shared" si="72"/>
        <v>361576200</v>
      </c>
      <c r="EX23" s="13"/>
      <c r="EY23" s="13"/>
      <c r="EZ23" s="13"/>
      <c r="FA23" s="16" t="s">
        <v>33</v>
      </c>
      <c r="FB23" s="16">
        <v>43412</v>
      </c>
      <c r="FC23" s="15">
        <v>70047528.035600752</v>
      </c>
      <c r="FD23" s="14">
        <v>60000000</v>
      </c>
      <c r="FF23" s="1">
        <v>4</v>
      </c>
      <c r="FG23" s="1">
        <v>20</v>
      </c>
      <c r="FI23" s="40"/>
      <c r="FJ23" s="39"/>
      <c r="FK23" s="40"/>
      <c r="FL23" s="39"/>
      <c r="FN23" s="13"/>
      <c r="FO23" s="13"/>
      <c r="FP23" s="40"/>
      <c r="FQ23" s="39"/>
      <c r="FR23" s="40"/>
      <c r="FS23" s="39"/>
      <c r="FU23" s="13"/>
      <c r="FV23" s="13"/>
      <c r="FW23" s="16" t="s">
        <v>39</v>
      </c>
      <c r="FX23" s="16">
        <v>43776</v>
      </c>
      <c r="FY23" s="15">
        <v>30483818.305588219</v>
      </c>
      <c r="FZ23" s="14">
        <v>20000000</v>
      </c>
      <c r="GB23" s="1">
        <v>3</v>
      </c>
      <c r="GC23" s="1">
        <v>12</v>
      </c>
      <c r="GF23" s="40"/>
      <c r="GG23" s="39"/>
      <c r="GH23" s="40"/>
      <c r="GI23" s="39"/>
      <c r="GK23" s="13"/>
      <c r="GL23" s="13"/>
      <c r="GM23" s="40"/>
      <c r="GN23" s="39"/>
      <c r="GO23" s="40"/>
      <c r="GP23" s="39"/>
      <c r="GR23" s="13"/>
      <c r="GS23" s="13"/>
      <c r="GT23" s="16" t="s">
        <v>38</v>
      </c>
      <c r="GU23" s="16">
        <v>44140</v>
      </c>
      <c r="GV23" s="15">
        <v>39323627.363940403</v>
      </c>
      <c r="GW23" s="14">
        <v>20000000</v>
      </c>
      <c r="HB23" s="40"/>
      <c r="HC23" s="39"/>
      <c r="HD23" s="40"/>
      <c r="HE23" s="39"/>
      <c r="HG23" s="13"/>
      <c r="HH23" s="13"/>
      <c r="HI23" s="16" t="s">
        <v>35</v>
      </c>
      <c r="HJ23" s="16">
        <v>44504</v>
      </c>
      <c r="HK23" s="15">
        <v>25128435.147461236</v>
      </c>
      <c r="HL23" s="14">
        <v>8000000</v>
      </c>
      <c r="HN23" s="1">
        <v>6</v>
      </c>
      <c r="HO23" s="1">
        <v>80</v>
      </c>
      <c r="HQ23" s="40"/>
      <c r="HR23" s="39"/>
      <c r="HS23" s="40"/>
      <c r="HT23" s="39"/>
      <c r="HV23" s="13"/>
      <c r="HW23" s="13"/>
      <c r="HX23" s="40"/>
      <c r="HY23" s="39"/>
      <c r="HZ23" s="40"/>
      <c r="IA23" s="39"/>
      <c r="IC23" s="13"/>
      <c r="ID23" s="13"/>
      <c r="IE23" s="16" t="s">
        <v>37</v>
      </c>
      <c r="IF23" s="16">
        <v>44875</v>
      </c>
      <c r="IG23" s="15">
        <v>44321005.290361807</v>
      </c>
      <c r="IH23" s="14">
        <v>20000000</v>
      </c>
      <c r="IM23" s="40">
        <v>180</v>
      </c>
      <c r="IN23" s="39">
        <f t="shared" si="85"/>
        <v>316307000</v>
      </c>
      <c r="IO23" s="40">
        <v>330</v>
      </c>
      <c r="IP23" s="39">
        <f t="shared" si="86"/>
        <v>573916999.99999988</v>
      </c>
      <c r="IR23" s="13"/>
      <c r="IS23" s="13"/>
      <c r="IT23" s="111">
        <v>60</v>
      </c>
      <c r="IU23" s="39">
        <f t="shared" si="87"/>
        <v>85210000</v>
      </c>
      <c r="IV23" s="40">
        <v>330</v>
      </c>
      <c r="IW23" s="39">
        <f t="shared" si="88"/>
        <v>394522000</v>
      </c>
      <c r="IY23" s="13"/>
      <c r="IZ23" s="13"/>
      <c r="JA23" s="16" t="s">
        <v>115</v>
      </c>
      <c r="JB23" s="16">
        <v>45239</v>
      </c>
      <c r="JC23" s="15">
        <v>24487517.27143947</v>
      </c>
      <c r="JD23" s="14">
        <v>8000000</v>
      </c>
      <c r="JF23" s="1">
        <v>4</v>
      </c>
      <c r="JG23" s="1">
        <v>40</v>
      </c>
      <c r="JI23" s="40">
        <v>180</v>
      </c>
      <c r="JJ23" s="39">
        <f t="shared" si="89"/>
        <v>316307000</v>
      </c>
      <c r="JK23" s="40">
        <v>330</v>
      </c>
      <c r="JL23" s="39">
        <f t="shared" si="90"/>
        <v>573916999.99999988</v>
      </c>
      <c r="JN23" s="13"/>
      <c r="JO23" s="13"/>
      <c r="JP23" s="111">
        <v>60</v>
      </c>
      <c r="JQ23" s="39">
        <f t="shared" si="91"/>
        <v>79541000</v>
      </c>
      <c r="JR23" s="69"/>
      <c r="JS23" s="69"/>
      <c r="JU23" s="13"/>
      <c r="JV23" s="13"/>
      <c r="JW23" s="16" t="s">
        <v>83</v>
      </c>
      <c r="JX23" s="16">
        <v>43048</v>
      </c>
      <c r="JY23" s="15">
        <v>13037420</v>
      </c>
      <c r="JZ23" s="14">
        <v>3000000</v>
      </c>
      <c r="KE23" s="46" t="s">
        <v>82</v>
      </c>
      <c r="KF23" s="46">
        <v>43230</v>
      </c>
      <c r="KG23" s="45">
        <v>17618040</v>
      </c>
      <c r="KH23" s="44">
        <v>12000000</v>
      </c>
      <c r="KJ23" s="1">
        <v>3</v>
      </c>
      <c r="KK23" s="1">
        <v>10</v>
      </c>
      <c r="KM23" s="16" t="s">
        <v>81</v>
      </c>
      <c r="KN23" s="16">
        <v>43412</v>
      </c>
      <c r="KO23" s="15">
        <v>69371610</v>
      </c>
      <c r="KP23" s="14">
        <v>60000000</v>
      </c>
      <c r="KR23" s="1">
        <v>4</v>
      </c>
      <c r="KS23" s="1">
        <v>20</v>
      </c>
      <c r="KU23" s="16" t="s">
        <v>79</v>
      </c>
      <c r="KV23" s="16">
        <v>43594</v>
      </c>
      <c r="KW23" s="15">
        <v>11561946</v>
      </c>
      <c r="KX23" s="14">
        <v>3000000</v>
      </c>
      <c r="KZ23" s="1">
        <v>6</v>
      </c>
      <c r="LA23" s="1">
        <v>40</v>
      </c>
      <c r="LC23" s="16" t="s">
        <v>78</v>
      </c>
      <c r="LD23" s="16">
        <v>43776</v>
      </c>
      <c r="LE23" s="15">
        <v>30573576</v>
      </c>
      <c r="LF23" s="14">
        <v>20000000</v>
      </c>
      <c r="LH23" s="1">
        <v>2</v>
      </c>
      <c r="LI23" s="1">
        <v>8</v>
      </c>
      <c r="LK23" s="16" t="s">
        <v>77</v>
      </c>
      <c r="LL23" s="16">
        <v>43958</v>
      </c>
      <c r="LM23" s="15">
        <v>23024496</v>
      </c>
      <c r="LN23" s="14">
        <v>8000000</v>
      </c>
      <c r="LP23" s="1">
        <v>6</v>
      </c>
      <c r="LQ23" s="1">
        <v>60</v>
      </c>
      <c r="LS23" s="16" t="s">
        <v>70</v>
      </c>
      <c r="LT23" s="16">
        <v>44140</v>
      </c>
      <c r="LU23" s="15">
        <v>39958050</v>
      </c>
      <c r="LV23" s="14">
        <v>20000000</v>
      </c>
      <c r="LX23" s="1" t="s">
        <v>102</v>
      </c>
      <c r="MA23" s="16" t="s">
        <v>86</v>
      </c>
      <c r="MB23" s="16">
        <v>44329</v>
      </c>
      <c r="MC23" s="15">
        <v>49308534</v>
      </c>
      <c r="MD23" s="14">
        <v>30000000</v>
      </c>
      <c r="MF23" s="1" t="s">
        <v>101</v>
      </c>
      <c r="MI23" s="16" t="s">
        <v>69</v>
      </c>
      <c r="MJ23" s="16">
        <v>44504</v>
      </c>
      <c r="MK23" s="15">
        <v>26245824</v>
      </c>
      <c r="ML23" s="14">
        <v>8000000</v>
      </c>
      <c r="MN23" s="1" t="s">
        <v>100</v>
      </c>
      <c r="MQ23" s="16" t="s">
        <v>76</v>
      </c>
      <c r="MR23" s="16">
        <v>44693</v>
      </c>
      <c r="MS23" s="15">
        <v>85527684</v>
      </c>
      <c r="MT23" s="14">
        <v>60000000</v>
      </c>
      <c r="MV23" s="1">
        <v>7</v>
      </c>
      <c r="MW23" s="1">
        <v>120</v>
      </c>
      <c r="MY23" s="16" t="s">
        <v>34</v>
      </c>
      <c r="MZ23" s="16">
        <v>42964</v>
      </c>
      <c r="NA23" s="15">
        <v>13145000</v>
      </c>
      <c r="NB23" s="14">
        <v>3000000</v>
      </c>
      <c r="ND23" s="1">
        <v>5</v>
      </c>
      <c r="NE23" s="1">
        <v>30</v>
      </c>
      <c r="NF23"/>
      <c r="NG23" s="40">
        <v>180</v>
      </c>
      <c r="NH23" s="39">
        <f t="shared" si="92"/>
        <v>216775999.99999997</v>
      </c>
      <c r="NI23" s="40">
        <v>330</v>
      </c>
      <c r="NJ23" s="39">
        <f t="shared" si="93"/>
        <v>388991000</v>
      </c>
      <c r="NL23" s="13"/>
      <c r="NN23" s="16" t="s">
        <v>33</v>
      </c>
      <c r="NO23" s="16">
        <v>43335</v>
      </c>
      <c r="NP23" s="15">
        <v>14740044</v>
      </c>
      <c r="NQ23" s="14">
        <v>3000000</v>
      </c>
      <c r="NS23" s="1">
        <v>4</v>
      </c>
      <c r="NT23" s="1">
        <v>20</v>
      </c>
      <c r="NV23" s="40">
        <v>180</v>
      </c>
      <c r="NW23" s="39">
        <f t="shared" si="94"/>
        <v>221909199.99999997</v>
      </c>
      <c r="NX23" s="40">
        <v>330</v>
      </c>
      <c r="NY23" s="39">
        <f t="shared" si="95"/>
        <v>402779200</v>
      </c>
      <c r="OA23" s="13"/>
      <c r="OB23" s="1"/>
    </row>
    <row r="24" spans="2:392" x14ac:dyDescent="0.25">
      <c r="B24" s="53"/>
      <c r="C24" s="53"/>
      <c r="D24" s="53"/>
      <c r="F24" s="5" t="s">
        <v>78</v>
      </c>
      <c r="G24" s="51">
        <f t="shared" si="98"/>
        <v>43647</v>
      </c>
      <c r="H24" s="51">
        <f t="shared" si="96"/>
        <v>43830</v>
      </c>
      <c r="I24" s="50">
        <f t="shared" si="97"/>
        <v>26</v>
      </c>
      <c r="K24" s="7">
        <v>20</v>
      </c>
      <c r="M24" s="5" t="str" cm="1">
        <f t="array" ref="M24">LOOKUP(2,1/($G$19:$G$35&lt;=$V24)/($H$19:$H$35&gt;=$V24),$F$19:$F$35)</f>
        <v>2H17</v>
      </c>
      <c r="N24" s="5" t="str" cm="1">
        <f t="array" ref="N24">LOOKUP(2,1/($G$8:$G$16&lt;=$V24)/($H$8:$H$16&gt;=$V24),$F$8:$F$16)</f>
        <v>FY17</v>
      </c>
      <c r="O24" s="5" t="str">
        <f>IFERROR(N24&amp;"-"&amp;COUNTIF($N$5:N24,N24),NA())</f>
        <v>FY17-20</v>
      </c>
      <c r="P24" s="5">
        <f>COUNTIF(V$5:V24,"&gt;="&amp;MAX($V:$V)-183)</f>
        <v>0</v>
      </c>
      <c r="Q24" s="5">
        <f>COUNTIF(V$5:V24,"&gt;="&amp;MAX($V:$V)-365)</f>
        <v>0</v>
      </c>
      <c r="R24" s="5" cm="1">
        <f t="array" ref="R24">LOOKUP(2,1/($G$46:$G$50&lt;=$V24)/($H$46:$H$50&gt;=$V24),$F$46:$F$50)</f>
        <v>0</v>
      </c>
      <c r="S24" s="5" cm="1">
        <f t="array" ref="S24">LOOKUP(2,1/($G$53:$G$56&lt;=$V24)/($H$53:$H$56&gt;=$V24),$F$53:$F$56)</f>
        <v>0</v>
      </c>
      <c r="T24" s="5" t="e">
        <f>IFERROR(IF($R24&gt;0,$R24&amp;"-"&amp;COUNTIF($R$5:$R24,$R24),NA()),NA())</f>
        <v>#N/A</v>
      </c>
      <c r="U24" s="5" t="e">
        <f>IFERROR(IF($S24&gt;0,$S24&amp;"-"&amp;COUNTIF($S$5:$S24,$S24),NA()),NA())</f>
        <v>#N/A</v>
      </c>
      <c r="V24" s="10">
        <v>42873</v>
      </c>
      <c r="W24" s="9">
        <v>13729089.156460237</v>
      </c>
      <c r="X24" s="9">
        <v>12755010.280809382</v>
      </c>
      <c r="Y24" s="8">
        <v>3000000</v>
      </c>
      <c r="AA24" s="48">
        <f t="shared" si="46"/>
        <v>20</v>
      </c>
      <c r="AB24" s="12">
        <f t="shared" si="0"/>
        <v>45421</v>
      </c>
      <c r="AC24" s="15">
        <f t="shared" si="1"/>
        <v>77952955.649994567</v>
      </c>
      <c r="AD24" s="14">
        <f t="shared" si="2"/>
        <v>60000000</v>
      </c>
      <c r="AF24" s="1">
        <v>6</v>
      </c>
      <c r="AG24" s="1">
        <v>80</v>
      </c>
      <c r="AI24" s="40">
        <v>190</v>
      </c>
      <c r="AJ24" s="39">
        <f t="shared" si="53"/>
        <v>323547800</v>
      </c>
      <c r="AK24" s="40">
        <v>340</v>
      </c>
      <c r="AL24" s="39">
        <f t="shared" si="54"/>
        <v>572907800</v>
      </c>
      <c r="AN24" s="13"/>
      <c r="AO24" s="13"/>
      <c r="AP24" s="40">
        <v>190</v>
      </c>
      <c r="AQ24" s="39">
        <f t="shared" si="55"/>
        <v>231962999.99999997</v>
      </c>
      <c r="AR24" s="40">
        <v>340</v>
      </c>
      <c r="AS24" s="39">
        <f t="shared" si="56"/>
        <v>401747999.99999994</v>
      </c>
      <c r="AU24" s="13"/>
      <c r="AW24" s="48">
        <f t="shared" si="47"/>
        <v>20</v>
      </c>
      <c r="AX24" s="12">
        <f t="shared" si="4"/>
        <v>45239</v>
      </c>
      <c r="AY24" s="15">
        <f t="shared" si="5"/>
        <v>24487517.27143947</v>
      </c>
      <c r="AZ24" s="14">
        <f t="shared" si="48"/>
        <v>8000000</v>
      </c>
      <c r="BB24" s="1">
        <v>4</v>
      </c>
      <c r="BC24" s="1">
        <v>40</v>
      </c>
      <c r="BI24" s="40">
        <v>190</v>
      </c>
      <c r="BJ24" s="39">
        <f t="shared" si="57"/>
        <v>309171799.99999994</v>
      </c>
      <c r="BK24" s="40">
        <v>340</v>
      </c>
      <c r="BL24" s="39">
        <f t="shared" si="58"/>
        <v>546936800</v>
      </c>
      <c r="BN24" s="13"/>
      <c r="BO24" s="13"/>
      <c r="BP24" s="40">
        <v>25</v>
      </c>
      <c r="BQ24" s="39">
        <f t="shared" si="102"/>
        <v>43721000</v>
      </c>
      <c r="BR24" s="110">
        <v>0</v>
      </c>
      <c r="BS24" s="39">
        <f t="shared" si="103"/>
        <v>43721000</v>
      </c>
      <c r="BU24" s="13"/>
      <c r="BW24" s="48" t="e">
        <f t="shared" si="8"/>
        <v>#N/A</v>
      </c>
      <c r="BX24" s="12" t="e">
        <f t="shared" si="9"/>
        <v>#N/A</v>
      </c>
      <c r="BY24" s="15" t="e">
        <f t="shared" si="10"/>
        <v>#N/A</v>
      </c>
      <c r="BZ24" s="14" t="e">
        <f t="shared" si="11"/>
        <v>#N/A</v>
      </c>
      <c r="CE24" s="40">
        <v>140</v>
      </c>
      <c r="CF24" s="39">
        <f t="shared" si="61"/>
        <v>193402000.00000003</v>
      </c>
      <c r="CG24" s="40">
        <v>340</v>
      </c>
      <c r="CH24" s="39">
        <f t="shared" si="62"/>
        <v>448102000.00000006</v>
      </c>
      <c r="CJ24" s="13"/>
      <c r="CK24" s="13"/>
      <c r="CL24" s="48" t="e">
        <f t="shared" si="12"/>
        <v>#N/A</v>
      </c>
      <c r="CM24" s="12" t="e">
        <f t="shared" si="13"/>
        <v>#N/A</v>
      </c>
      <c r="CN24" s="49" t="e">
        <f t="shared" si="14"/>
        <v>#N/A</v>
      </c>
      <c r="CO24" s="49" t="e">
        <f t="shared" si="15"/>
        <v>#N/A</v>
      </c>
      <c r="CQ24" s="61">
        <f t="shared" si="100"/>
        <v>8.3032727749721369E-2</v>
      </c>
      <c r="CT24" s="40">
        <v>140</v>
      </c>
      <c r="CU24" s="39">
        <f t="shared" si="63"/>
        <v>182798000</v>
      </c>
      <c r="CV24" s="40">
        <v>340</v>
      </c>
      <c r="CW24" s="39">
        <f t="shared" si="64"/>
        <v>426418000</v>
      </c>
      <c r="CY24" s="13"/>
      <c r="DA24" s="48" t="e">
        <f t="shared" si="16"/>
        <v>#N/A</v>
      </c>
      <c r="DB24" s="12" t="e">
        <f t="shared" si="17"/>
        <v>#N/A</v>
      </c>
      <c r="DC24" s="15" t="e">
        <f t="shared" si="18"/>
        <v>#N/A</v>
      </c>
      <c r="DD24" s="14" t="e">
        <f t="shared" si="19"/>
        <v>#N/A</v>
      </c>
      <c r="DI24" s="40">
        <v>140</v>
      </c>
      <c r="DJ24" s="39">
        <f t="shared" si="65"/>
        <v>164771000</v>
      </c>
      <c r="DK24" s="40">
        <v>340</v>
      </c>
      <c r="DL24" s="39">
        <f t="shared" si="66"/>
        <v>374711000</v>
      </c>
      <c r="DN24" s="13"/>
      <c r="DO24" s="13"/>
      <c r="DP24" s="48" t="e">
        <f t="shared" si="20"/>
        <v>#N/A</v>
      </c>
      <c r="DQ24" s="12" t="e">
        <f t="shared" si="21"/>
        <v>#N/A</v>
      </c>
      <c r="DR24" s="15" t="e">
        <f t="shared" si="22"/>
        <v>#N/A</v>
      </c>
      <c r="DS24" s="14" t="e">
        <f t="shared" si="23"/>
        <v>#N/A</v>
      </c>
      <c r="DU24" s="61">
        <f t="shared" si="104"/>
        <v>0.26563302187082871</v>
      </c>
      <c r="DX24" s="40">
        <v>140</v>
      </c>
      <c r="DY24" s="39">
        <f t="shared" si="67"/>
        <v>182798000</v>
      </c>
      <c r="DZ24" s="40">
        <v>340</v>
      </c>
      <c r="EA24" s="39">
        <f t="shared" si="68"/>
        <v>426418000</v>
      </c>
      <c r="EC24" s="13"/>
      <c r="ED24" s="13"/>
      <c r="EE24" s="40">
        <v>140</v>
      </c>
      <c r="EF24" s="39">
        <f t="shared" si="69"/>
        <v>126021000</v>
      </c>
      <c r="EG24" s="40">
        <v>340</v>
      </c>
      <c r="EH24" s="39">
        <f t="shared" si="70"/>
        <v>284321000</v>
      </c>
      <c r="EJ24" s="13"/>
      <c r="EK24" s="13"/>
      <c r="EL24" s="47" t="str">
        <f t="shared" si="25"/>
        <v>FY18-20</v>
      </c>
      <c r="EM24" s="16">
        <v>43055</v>
      </c>
      <c r="EN24" s="15">
        <v>17451375.32171813</v>
      </c>
      <c r="EO24" s="14">
        <f t="shared" si="26"/>
        <v>6000000</v>
      </c>
      <c r="EQ24" s="14">
        <v>15000000</v>
      </c>
      <c r="ER24" s="1">
        <f t="shared" si="101"/>
        <v>4</v>
      </c>
      <c r="ET24" s="40">
        <v>190</v>
      </c>
      <c r="EU24" s="39">
        <f t="shared" si="71"/>
        <v>212350200.00000003</v>
      </c>
      <c r="EV24" s="40">
        <v>340</v>
      </c>
      <c r="EW24" s="39">
        <f t="shared" si="72"/>
        <v>372235200</v>
      </c>
      <c r="EX24" s="13"/>
      <c r="EY24" s="13"/>
      <c r="EZ24" s="13"/>
      <c r="FA24" s="16" t="s">
        <v>33</v>
      </c>
      <c r="FB24" s="16">
        <v>43419</v>
      </c>
      <c r="FC24" s="15">
        <v>13689841.958041953</v>
      </c>
      <c r="FD24" s="14">
        <v>3000000</v>
      </c>
      <c r="FF24" s="1">
        <v>5</v>
      </c>
      <c r="FG24" s="1">
        <v>30</v>
      </c>
      <c r="FI24" s="40"/>
      <c r="FJ24" s="39"/>
      <c r="FK24" s="40"/>
      <c r="FL24" s="39"/>
      <c r="FN24" s="13"/>
      <c r="FO24" s="13"/>
      <c r="FP24" s="40"/>
      <c r="FQ24" s="39"/>
      <c r="FR24" s="40"/>
      <c r="FS24" s="39"/>
      <c r="FU24" s="13"/>
      <c r="FV24" s="13"/>
      <c r="FW24" s="16" t="s">
        <v>39</v>
      </c>
      <c r="FX24" s="16">
        <v>43783</v>
      </c>
      <c r="FY24" s="15">
        <v>40529243.888854511</v>
      </c>
      <c r="FZ24" s="14">
        <v>30000000</v>
      </c>
      <c r="GB24" s="1">
        <v>4</v>
      </c>
      <c r="GC24" s="1">
        <v>20</v>
      </c>
      <c r="GF24" s="40"/>
      <c r="GG24" s="39"/>
      <c r="GH24" s="40"/>
      <c r="GI24" s="39"/>
      <c r="GK24" s="13"/>
      <c r="GL24" s="13"/>
      <c r="GM24" s="40"/>
      <c r="GN24" s="39"/>
      <c r="GO24" s="40"/>
      <c r="GP24" s="39"/>
      <c r="GR24" s="13"/>
      <c r="GS24" s="13"/>
      <c r="GT24" s="16" t="s">
        <v>38</v>
      </c>
      <c r="GU24" s="16">
        <v>44147</v>
      </c>
      <c r="GV24" s="15">
        <v>17490034.417756159</v>
      </c>
      <c r="GW24" s="14">
        <v>3000000</v>
      </c>
      <c r="GY24" s="1" t="s">
        <v>99</v>
      </c>
      <c r="HB24" s="40"/>
      <c r="HC24" s="39"/>
      <c r="HD24" s="40"/>
      <c r="HE24" s="39"/>
      <c r="HG24" s="13"/>
      <c r="HH24" s="13"/>
      <c r="HI24" s="16" t="s">
        <v>35</v>
      </c>
      <c r="HJ24" s="16">
        <v>44511</v>
      </c>
      <c r="HK24" s="15">
        <v>41533547.217999399</v>
      </c>
      <c r="HL24" s="14">
        <v>20000000</v>
      </c>
      <c r="HN24" s="1">
        <v>7</v>
      </c>
      <c r="HO24" s="1">
        <v>120</v>
      </c>
      <c r="HQ24" s="40"/>
      <c r="HR24" s="39"/>
      <c r="HS24" s="40"/>
      <c r="HT24" s="39"/>
      <c r="HV24" s="13"/>
      <c r="HW24" s="13"/>
      <c r="HX24" s="40"/>
      <c r="HY24" s="39"/>
      <c r="HZ24" s="40"/>
      <c r="IA24" s="39"/>
      <c r="IC24" s="13"/>
      <c r="ID24" s="13"/>
      <c r="IE24" s="16" t="s">
        <v>37</v>
      </c>
      <c r="IF24" s="16">
        <v>44882</v>
      </c>
      <c r="IG24" s="15">
        <v>51026175.37245363</v>
      </c>
      <c r="IH24" s="14">
        <v>30000000</v>
      </c>
      <c r="IM24" s="40">
        <v>190</v>
      </c>
      <c r="IN24" s="39">
        <f t="shared" si="85"/>
        <v>333481000</v>
      </c>
      <c r="IO24" s="40">
        <v>340</v>
      </c>
      <c r="IP24" s="39">
        <f t="shared" si="86"/>
        <v>591091000</v>
      </c>
      <c r="IR24" s="13"/>
      <c r="IS24" s="13"/>
      <c r="IT24" s="111">
        <v>65</v>
      </c>
      <c r="IU24" s="39">
        <f t="shared" si="87"/>
        <v>90938000</v>
      </c>
      <c r="IV24" s="40">
        <v>340</v>
      </c>
      <c r="IW24" s="39">
        <f t="shared" si="88"/>
        <v>405977999.99999994</v>
      </c>
      <c r="IY24" s="13"/>
      <c r="IZ24" s="13"/>
      <c r="JA24" s="16" t="s">
        <v>115</v>
      </c>
      <c r="JB24" s="16">
        <v>45246</v>
      </c>
      <c r="JC24" s="15">
        <v>25126546.256946716</v>
      </c>
      <c r="JD24" s="14">
        <v>8000000</v>
      </c>
      <c r="JF24" s="1">
        <v>5</v>
      </c>
      <c r="JG24" s="1">
        <v>60</v>
      </c>
      <c r="JI24" s="40">
        <v>190</v>
      </c>
      <c r="JJ24" s="39">
        <f t="shared" si="89"/>
        <v>333481000</v>
      </c>
      <c r="JK24" s="40">
        <v>340</v>
      </c>
      <c r="JL24" s="39">
        <f t="shared" si="90"/>
        <v>591091000</v>
      </c>
      <c r="JN24" s="13"/>
      <c r="JO24" s="13"/>
      <c r="JP24" s="111">
        <v>65</v>
      </c>
      <c r="JQ24" s="39">
        <f t="shared" si="91"/>
        <v>84767499.999999985</v>
      </c>
      <c r="JR24" s="69"/>
      <c r="JS24" s="69"/>
      <c r="JU24" s="13"/>
      <c r="JV24" s="13"/>
      <c r="JW24" s="16" t="s">
        <v>83</v>
      </c>
      <c r="JX24" s="16">
        <v>43055</v>
      </c>
      <c r="JY24" s="15">
        <v>17395180</v>
      </c>
      <c r="JZ24" s="14">
        <v>6000000</v>
      </c>
      <c r="KE24" s="46" t="s">
        <v>82</v>
      </c>
      <c r="KF24" s="46">
        <v>43237</v>
      </c>
      <c r="KG24" s="45">
        <v>26383104</v>
      </c>
      <c r="KH24" s="44">
        <v>20000000</v>
      </c>
      <c r="KJ24" s="1">
        <v>4</v>
      </c>
      <c r="KK24" s="1">
        <v>15</v>
      </c>
      <c r="KM24" s="16" t="s">
        <v>81</v>
      </c>
      <c r="KN24" s="16">
        <v>43419</v>
      </c>
      <c r="KO24" s="15">
        <v>13565772</v>
      </c>
      <c r="KP24" s="14">
        <v>3000000</v>
      </c>
      <c r="KR24" s="1">
        <v>5</v>
      </c>
      <c r="KS24" s="1">
        <v>30</v>
      </c>
      <c r="KU24" s="16" t="s">
        <v>79</v>
      </c>
      <c r="KV24" s="16">
        <v>43601</v>
      </c>
      <c r="KW24" s="15">
        <v>17234778</v>
      </c>
      <c r="KX24" s="14">
        <v>8000000</v>
      </c>
      <c r="KZ24" s="1">
        <v>7</v>
      </c>
      <c r="LA24" s="1">
        <v>50</v>
      </c>
      <c r="LC24" s="16" t="s">
        <v>78</v>
      </c>
      <c r="LD24" s="16">
        <v>43783</v>
      </c>
      <c r="LE24" s="15">
        <v>40326264</v>
      </c>
      <c r="LF24" s="14">
        <v>30000000</v>
      </c>
      <c r="LH24" s="1">
        <v>3</v>
      </c>
      <c r="LI24" s="1">
        <v>12</v>
      </c>
      <c r="LK24" s="16" t="s">
        <v>77</v>
      </c>
      <c r="LL24" s="16">
        <v>43965</v>
      </c>
      <c r="LM24" s="15">
        <v>17538246</v>
      </c>
      <c r="LN24" s="14">
        <v>3000000</v>
      </c>
      <c r="LP24" s="1">
        <v>7</v>
      </c>
      <c r="LQ24" s="1">
        <v>80</v>
      </c>
      <c r="LS24" s="16" t="s">
        <v>70</v>
      </c>
      <c r="LT24" s="16">
        <v>44147</v>
      </c>
      <c r="LU24" s="15">
        <v>18090468</v>
      </c>
      <c r="LV24" s="14">
        <v>3000000</v>
      </c>
      <c r="MA24" s="16" t="s">
        <v>86</v>
      </c>
      <c r="MB24" s="16">
        <v>44336</v>
      </c>
      <c r="MC24" s="15">
        <v>20064990</v>
      </c>
      <c r="MD24" s="14">
        <v>3000000</v>
      </c>
      <c r="MF24" s="1" t="s">
        <v>98</v>
      </c>
      <c r="MI24" s="16" t="s">
        <v>69</v>
      </c>
      <c r="MJ24" s="16">
        <v>44511</v>
      </c>
      <c r="MK24" s="15">
        <v>41058600</v>
      </c>
      <c r="ML24" s="14">
        <v>20000000</v>
      </c>
      <c r="MN24" s="1" t="s">
        <v>97</v>
      </c>
      <c r="MQ24" s="16" t="s">
        <v>76</v>
      </c>
      <c r="MR24" s="16">
        <v>44700</v>
      </c>
      <c r="MS24" s="15">
        <v>119209926</v>
      </c>
      <c r="MT24" s="14">
        <v>80000000</v>
      </c>
      <c r="MY24" s="16" t="s">
        <v>34</v>
      </c>
      <c r="MZ24" s="16">
        <v>42971</v>
      </c>
      <c r="NA24" s="15">
        <v>16120500</v>
      </c>
      <c r="NB24" s="14">
        <v>6000000</v>
      </c>
      <c r="ND24" s="1">
        <v>6</v>
      </c>
      <c r="NE24" s="1">
        <v>50</v>
      </c>
      <c r="NF24"/>
      <c r="NG24" s="40">
        <v>190</v>
      </c>
      <c r="NH24" s="39">
        <f t="shared" si="92"/>
        <v>228256999.99999997</v>
      </c>
      <c r="NI24" s="40">
        <v>340</v>
      </c>
      <c r="NJ24" s="39">
        <f t="shared" si="93"/>
        <v>400472000</v>
      </c>
      <c r="NL24" s="13"/>
      <c r="NN24" s="16" t="s">
        <v>33</v>
      </c>
      <c r="NO24" s="16">
        <v>43342</v>
      </c>
      <c r="NP24" s="15">
        <v>17328102</v>
      </c>
      <c r="NQ24" s="14">
        <v>8000000</v>
      </c>
      <c r="NS24" s="1">
        <v>5</v>
      </c>
      <c r="NT24" s="1">
        <v>30</v>
      </c>
      <c r="NV24" s="40">
        <v>190</v>
      </c>
      <c r="NW24" s="39">
        <f t="shared" si="94"/>
        <v>233967200</v>
      </c>
      <c r="NX24" s="40">
        <v>340</v>
      </c>
      <c r="NY24" s="39">
        <f t="shared" si="95"/>
        <v>414837200</v>
      </c>
      <c r="OA24" s="13"/>
      <c r="OB24" s="1"/>
    </row>
    <row r="25" spans="2:392" x14ac:dyDescent="0.25">
      <c r="B25" s="5"/>
      <c r="C25" s="5"/>
      <c r="D25" s="5"/>
      <c r="F25" s="5" t="s">
        <v>77</v>
      </c>
      <c r="G25" s="51">
        <f t="shared" si="98"/>
        <v>43831</v>
      </c>
      <c r="H25" s="51">
        <f t="shared" si="96"/>
        <v>44012</v>
      </c>
      <c r="I25" s="50">
        <f t="shared" si="97"/>
        <v>26</v>
      </c>
      <c r="K25" s="7">
        <v>21</v>
      </c>
      <c r="M25" s="5" t="str" cm="1">
        <f t="array" ref="M25">LOOKUP(2,1/($G$19:$G$35&lt;=$V25)/($H$19:$H$35&gt;=$V25),$F$19:$F$35)</f>
        <v>2H17</v>
      </c>
      <c r="N25" s="5" t="str" cm="1">
        <f t="array" ref="N25">LOOKUP(2,1/($G$8:$G$16&lt;=$V25)/($H$8:$H$16&gt;=$V25),$F$8:$F$16)</f>
        <v>FY17</v>
      </c>
      <c r="O25" s="5" t="str">
        <f>IFERROR(N25&amp;"-"&amp;COUNTIF($N$5:N25,N25),NA())</f>
        <v>FY17-21</v>
      </c>
      <c r="P25" s="5">
        <f>COUNTIF(V$5:V25,"&gt;="&amp;MAX($V:$V)-183)</f>
        <v>0</v>
      </c>
      <c r="Q25" s="5">
        <f>COUNTIF(V$5:V25,"&gt;="&amp;MAX($V:$V)-365)</f>
        <v>0</v>
      </c>
      <c r="R25" s="5" cm="1">
        <f t="array" ref="R25">LOOKUP(2,1/($G$46:$G$50&lt;=$V25)/($H$46:$H$50&gt;=$V25),$F$46:$F$50)</f>
        <v>0</v>
      </c>
      <c r="S25" s="5" cm="1">
        <f t="array" ref="S25">LOOKUP(2,1/($G$53:$G$56&lt;=$V25)/($H$53:$H$56&gt;=$V25),$F$53:$F$56)</f>
        <v>0</v>
      </c>
      <c r="T25" s="5" t="e">
        <f>IFERROR(IF($R25&gt;0,$R25&amp;"-"&amp;COUNTIF($R$5:$R25,$R25),NA()),NA())</f>
        <v>#N/A</v>
      </c>
      <c r="U25" s="5" t="e">
        <f>IFERROR(IF($S25&gt;0,$S25&amp;"-"&amp;COUNTIF($S$5:$S25,$S25),NA()),NA())</f>
        <v>#N/A</v>
      </c>
      <c r="V25" s="10">
        <v>42880</v>
      </c>
      <c r="W25" s="9">
        <v>16222899.496291183</v>
      </c>
      <c r="X25" s="9">
        <v>15071884.777029322</v>
      </c>
      <c r="Y25" s="8">
        <v>6000000</v>
      </c>
      <c r="AA25" s="48">
        <f t="shared" si="46"/>
        <v>21</v>
      </c>
      <c r="AB25" s="12">
        <f t="shared" si="0"/>
        <v>45428</v>
      </c>
      <c r="AC25" s="15">
        <f t="shared" si="1"/>
        <v>140290075.73281032</v>
      </c>
      <c r="AD25" s="14">
        <f t="shared" si="2"/>
        <v>100000000</v>
      </c>
      <c r="AF25" s="1">
        <v>7</v>
      </c>
      <c r="AG25" s="1">
        <v>120</v>
      </c>
      <c r="AI25" s="40">
        <v>200</v>
      </c>
      <c r="AJ25" s="39">
        <f t="shared" si="53"/>
        <v>340171800</v>
      </c>
      <c r="AK25" s="40">
        <v>350</v>
      </c>
      <c r="AL25" s="39">
        <f t="shared" si="54"/>
        <v>589531800</v>
      </c>
      <c r="AN25" s="13"/>
      <c r="AO25" s="13"/>
      <c r="AP25" s="40">
        <v>200</v>
      </c>
      <c r="AQ25" s="39">
        <f t="shared" si="55"/>
        <v>243281999.99999997</v>
      </c>
      <c r="AR25" s="40">
        <v>350</v>
      </c>
      <c r="AS25" s="39">
        <f t="shared" si="56"/>
        <v>413066999.99999994</v>
      </c>
      <c r="AU25" s="13"/>
      <c r="AW25" s="48">
        <f t="shared" si="47"/>
        <v>21</v>
      </c>
      <c r="AX25" s="12">
        <f t="shared" si="4"/>
        <v>45246</v>
      </c>
      <c r="AY25" s="15">
        <f t="shared" si="5"/>
        <v>25126546.256946716</v>
      </c>
      <c r="AZ25" s="14">
        <f t="shared" si="48"/>
        <v>8000000</v>
      </c>
      <c r="BB25" s="1">
        <v>5</v>
      </c>
      <c r="BC25" s="1">
        <v>60</v>
      </c>
      <c r="BI25" s="40">
        <v>200</v>
      </c>
      <c r="BJ25" s="39">
        <f t="shared" si="57"/>
        <v>325022799.99999994</v>
      </c>
      <c r="BK25" s="40">
        <v>350</v>
      </c>
      <c r="BL25" s="39">
        <f t="shared" si="58"/>
        <v>562787800</v>
      </c>
      <c r="BN25" s="13"/>
      <c r="BO25" s="13"/>
      <c r="BP25" s="40">
        <v>40</v>
      </c>
      <c r="BQ25" s="39">
        <f t="shared" si="102"/>
        <v>60013999.999999993</v>
      </c>
      <c r="BR25" s="110">
        <v>0</v>
      </c>
      <c r="BS25" s="39">
        <f t="shared" si="103"/>
        <v>60013999.999999993</v>
      </c>
      <c r="BU25" s="13"/>
      <c r="BW25" s="48" t="e">
        <f t="shared" si="8"/>
        <v>#N/A</v>
      </c>
      <c r="BX25" s="12" t="e">
        <f t="shared" si="9"/>
        <v>#N/A</v>
      </c>
      <c r="BY25" s="15" t="e">
        <f t="shared" si="10"/>
        <v>#N/A</v>
      </c>
      <c r="BZ25" s="14" t="e">
        <f t="shared" si="11"/>
        <v>#N/A</v>
      </c>
      <c r="CE25" s="40">
        <v>150</v>
      </c>
      <c r="CF25" s="39">
        <f t="shared" si="61"/>
        <v>206137000</v>
      </c>
      <c r="CG25" s="40">
        <v>350</v>
      </c>
      <c r="CH25" s="39">
        <f t="shared" si="62"/>
        <v>460837000.00000006</v>
      </c>
      <c r="CJ25" s="13"/>
      <c r="CK25" s="13"/>
      <c r="CL25" s="48" t="e">
        <f t="shared" si="12"/>
        <v>#N/A</v>
      </c>
      <c r="CM25" s="12" t="e">
        <f t="shared" si="13"/>
        <v>#N/A</v>
      </c>
      <c r="CN25" s="49" t="e">
        <f t="shared" si="14"/>
        <v>#N/A</v>
      </c>
      <c r="CO25" s="49" t="e">
        <f t="shared" si="15"/>
        <v>#N/A</v>
      </c>
      <c r="CQ25" s="61">
        <f t="shared" si="100"/>
        <v>7.6781150487228222E-2</v>
      </c>
      <c r="CT25" s="40">
        <v>150</v>
      </c>
      <c r="CU25" s="39">
        <f t="shared" si="63"/>
        <v>194979000</v>
      </c>
      <c r="CV25" s="40">
        <v>350</v>
      </c>
      <c r="CW25" s="39">
        <f t="shared" si="64"/>
        <v>438599000</v>
      </c>
      <c r="CY25" s="13"/>
      <c r="DA25" s="48" t="e">
        <f t="shared" si="16"/>
        <v>#N/A</v>
      </c>
      <c r="DB25" s="12" t="e">
        <f t="shared" si="17"/>
        <v>#N/A</v>
      </c>
      <c r="DC25" s="15" t="e">
        <f t="shared" si="18"/>
        <v>#N/A</v>
      </c>
      <c r="DD25" s="14" t="e">
        <f t="shared" si="19"/>
        <v>#N/A</v>
      </c>
      <c r="DI25" s="40">
        <v>150</v>
      </c>
      <c r="DJ25" s="39">
        <f t="shared" si="65"/>
        <v>175268000</v>
      </c>
      <c r="DK25" s="40">
        <v>350</v>
      </c>
      <c r="DL25" s="39">
        <f t="shared" si="66"/>
        <v>385208000</v>
      </c>
      <c r="DN25" s="13"/>
      <c r="DO25" s="13"/>
      <c r="DP25" s="48" t="e">
        <f t="shared" si="20"/>
        <v>#N/A</v>
      </c>
      <c r="DQ25" s="12" t="e">
        <f t="shared" si="21"/>
        <v>#N/A</v>
      </c>
      <c r="DR25" s="15" t="e">
        <f t="shared" si="22"/>
        <v>#N/A</v>
      </c>
      <c r="DS25" s="14" t="e">
        <f t="shared" si="23"/>
        <v>#N/A</v>
      </c>
      <c r="DU25" s="61">
        <f t="shared" si="104"/>
        <v>0.27586354035544369</v>
      </c>
      <c r="DX25" s="40">
        <v>150</v>
      </c>
      <c r="DY25" s="39">
        <f t="shared" si="67"/>
        <v>194979000</v>
      </c>
      <c r="DZ25" s="40">
        <v>350</v>
      </c>
      <c r="EA25" s="39">
        <f t="shared" si="68"/>
        <v>438599000</v>
      </c>
      <c r="EC25" s="13"/>
      <c r="ED25" s="13"/>
      <c r="EE25" s="40">
        <v>150</v>
      </c>
      <c r="EF25" s="39">
        <f t="shared" si="69"/>
        <v>133936000</v>
      </c>
      <c r="EG25" s="40">
        <v>350</v>
      </c>
      <c r="EH25" s="39">
        <f t="shared" si="70"/>
        <v>292236000</v>
      </c>
      <c r="EJ25" s="13"/>
      <c r="EK25" s="13"/>
      <c r="EL25" s="47" t="str">
        <f t="shared" si="25"/>
        <v>FY18-21</v>
      </c>
      <c r="EM25" s="16">
        <v>43062</v>
      </c>
      <c r="EN25" s="15">
        <v>25218185.292392615</v>
      </c>
      <c r="EO25" s="14">
        <f t="shared" si="26"/>
        <v>10000000</v>
      </c>
      <c r="EQ25" s="14">
        <v>25000000</v>
      </c>
      <c r="ER25" s="1">
        <f t="shared" si="101"/>
        <v>1</v>
      </c>
      <c r="ET25" s="40">
        <v>200</v>
      </c>
      <c r="EU25" s="39">
        <f t="shared" si="71"/>
        <v>223009200.00000003</v>
      </c>
      <c r="EV25" s="40">
        <v>350</v>
      </c>
      <c r="EW25" s="39">
        <f t="shared" si="72"/>
        <v>382894200</v>
      </c>
      <c r="EX25" s="13"/>
      <c r="EY25" s="13"/>
      <c r="EZ25" s="13"/>
      <c r="FA25" s="16" t="s">
        <v>33</v>
      </c>
      <c r="FB25" s="16">
        <v>43426</v>
      </c>
      <c r="FC25" s="15">
        <v>13612641.449459627</v>
      </c>
      <c r="FD25" s="14">
        <v>3000000</v>
      </c>
      <c r="FF25" s="1">
        <v>6</v>
      </c>
      <c r="FG25" s="1">
        <v>40</v>
      </c>
      <c r="FI25" s="40"/>
      <c r="FJ25" s="39"/>
      <c r="FK25" s="40"/>
      <c r="FL25" s="39"/>
      <c r="FN25" s="13"/>
      <c r="FO25" s="13"/>
      <c r="FP25" s="40"/>
      <c r="FQ25" s="39"/>
      <c r="FR25" s="40"/>
      <c r="FS25" s="39"/>
      <c r="FU25" s="13"/>
      <c r="FV25" s="13"/>
      <c r="FW25" s="16" t="s">
        <v>39</v>
      </c>
      <c r="FX25" s="16">
        <v>43790</v>
      </c>
      <c r="FY25" s="15">
        <v>48609266.415000923</v>
      </c>
      <c r="FZ25" s="14">
        <v>40000000</v>
      </c>
      <c r="GB25" s="1">
        <v>5</v>
      </c>
      <c r="GC25" s="1">
        <v>40</v>
      </c>
      <c r="GF25" s="40"/>
      <c r="GG25" s="39"/>
      <c r="GH25" s="40"/>
      <c r="GI25" s="39"/>
      <c r="GK25" s="13"/>
      <c r="GL25" s="13"/>
      <c r="GM25" s="40"/>
      <c r="GN25" s="39"/>
      <c r="GO25" s="40"/>
      <c r="GP25" s="39"/>
      <c r="GR25" s="13"/>
      <c r="GS25" s="13"/>
      <c r="GT25" s="16" t="s">
        <v>38</v>
      </c>
      <c r="GU25" s="16">
        <v>44154</v>
      </c>
      <c r="GV25" s="15">
        <v>23485624.323502589</v>
      </c>
      <c r="GW25" s="14">
        <v>8000000</v>
      </c>
      <c r="GY25" s="1" t="s">
        <v>96</v>
      </c>
      <c r="HB25" s="40"/>
      <c r="HC25" s="39"/>
      <c r="HD25" s="40"/>
      <c r="HE25" s="39"/>
      <c r="HG25" s="13"/>
      <c r="HH25" s="13"/>
      <c r="HI25" s="16" t="s">
        <v>35</v>
      </c>
      <c r="HJ25" s="16">
        <v>44518</v>
      </c>
      <c r="HK25" s="15">
        <v>57357794.101550631</v>
      </c>
      <c r="HL25" s="14">
        <v>40000000</v>
      </c>
      <c r="HQ25" s="40"/>
      <c r="HR25" s="39"/>
      <c r="HS25" s="40"/>
      <c r="HT25" s="39"/>
      <c r="HV25" s="13"/>
      <c r="HW25" s="13"/>
      <c r="HX25" s="40"/>
      <c r="HY25" s="39"/>
      <c r="HZ25" s="40"/>
      <c r="IA25" s="39"/>
      <c r="IC25" s="13"/>
      <c r="ID25" s="13"/>
      <c r="IE25" s="16" t="s">
        <v>37</v>
      </c>
      <c r="IF25" s="16">
        <v>44889</v>
      </c>
      <c r="IG25" s="15">
        <v>71266594.101550624</v>
      </c>
      <c r="IH25" s="14">
        <v>50000000</v>
      </c>
      <c r="IM25" s="40">
        <v>200</v>
      </c>
      <c r="IN25" s="39">
        <f t="shared" si="85"/>
        <v>350655000</v>
      </c>
      <c r="IO25" s="40">
        <v>350</v>
      </c>
      <c r="IP25" s="39">
        <f t="shared" si="86"/>
        <v>608265000</v>
      </c>
      <c r="IR25" s="13"/>
      <c r="IS25" s="13"/>
      <c r="IT25" s="111">
        <v>80</v>
      </c>
      <c r="IU25" s="39">
        <f t="shared" si="87"/>
        <v>108122000</v>
      </c>
      <c r="IV25" s="40">
        <v>350</v>
      </c>
      <c r="IW25" s="39">
        <f t="shared" si="88"/>
        <v>417433999.99999994</v>
      </c>
      <c r="IY25" s="13"/>
      <c r="IZ25" s="13"/>
      <c r="JA25" s="16" t="s">
        <v>115</v>
      </c>
      <c r="JB25" s="16">
        <v>45253</v>
      </c>
      <c r="JC25" s="15">
        <v>37695077.694235586</v>
      </c>
      <c r="JD25" s="14">
        <v>20000000</v>
      </c>
      <c r="JF25" s="1">
        <v>6</v>
      </c>
      <c r="JG25" s="1">
        <v>100</v>
      </c>
      <c r="JI25" s="40">
        <v>200</v>
      </c>
      <c r="JJ25" s="39">
        <f t="shared" si="89"/>
        <v>350655000</v>
      </c>
      <c r="JK25" s="40">
        <v>350</v>
      </c>
      <c r="JL25" s="39">
        <f t="shared" si="90"/>
        <v>608265000</v>
      </c>
      <c r="JN25" s="13"/>
      <c r="JO25" s="13"/>
      <c r="JP25" s="111">
        <v>80</v>
      </c>
      <c r="JQ25" s="39">
        <f t="shared" si="91"/>
        <v>100447000</v>
      </c>
      <c r="JR25" s="69"/>
      <c r="JS25" s="69"/>
      <c r="JU25" s="13"/>
      <c r="JV25" s="13"/>
      <c r="JW25" s="16" t="s">
        <v>83</v>
      </c>
      <c r="JX25" s="16">
        <v>43062</v>
      </c>
      <c r="JY25" s="15">
        <v>25136980</v>
      </c>
      <c r="JZ25" s="14">
        <v>10000000</v>
      </c>
      <c r="KE25" s="46" t="s">
        <v>82</v>
      </c>
      <c r="KF25" s="46">
        <v>43244</v>
      </c>
      <c r="KG25" s="45">
        <v>36245220</v>
      </c>
      <c r="KH25" s="44">
        <v>30000000</v>
      </c>
      <c r="KJ25" s="1">
        <v>5</v>
      </c>
      <c r="KK25" s="1">
        <v>30</v>
      </c>
      <c r="KM25" s="16" t="s">
        <v>81</v>
      </c>
      <c r="KN25" s="16">
        <v>43426</v>
      </c>
      <c r="KO25" s="15">
        <v>13172082</v>
      </c>
      <c r="KP25" s="14">
        <v>3000000</v>
      </c>
      <c r="KR25" s="1">
        <v>6</v>
      </c>
      <c r="KS25" s="1">
        <v>40</v>
      </c>
      <c r="KU25" s="16" t="s">
        <v>79</v>
      </c>
      <c r="KV25" s="16">
        <v>43608</v>
      </c>
      <c r="KW25" s="15">
        <v>12103146</v>
      </c>
      <c r="KX25" s="14">
        <v>3000000</v>
      </c>
      <c r="KZ25" s="1">
        <v>8</v>
      </c>
      <c r="LA25" s="1">
        <v>80</v>
      </c>
      <c r="LC25" s="16" t="s">
        <v>78</v>
      </c>
      <c r="LD25" s="16">
        <v>43790</v>
      </c>
      <c r="LE25" s="15">
        <v>48564054</v>
      </c>
      <c r="LF25" s="14">
        <v>40000000</v>
      </c>
      <c r="LH25" s="1">
        <v>4</v>
      </c>
      <c r="LI25" s="1">
        <v>20</v>
      </c>
      <c r="LK25" s="16" t="s">
        <v>77</v>
      </c>
      <c r="LL25" s="16">
        <v>43972</v>
      </c>
      <c r="LM25" s="15">
        <v>24643212</v>
      </c>
      <c r="LN25" s="14">
        <v>8000000</v>
      </c>
      <c r="LS25" s="16" t="s">
        <v>70</v>
      </c>
      <c r="LT25" s="16">
        <v>44154</v>
      </c>
      <c r="LU25" s="15">
        <v>24823524</v>
      </c>
      <c r="LV25" s="14">
        <v>8000000</v>
      </c>
      <c r="MA25" s="16" t="s">
        <v>86</v>
      </c>
      <c r="MB25" s="16">
        <v>44343</v>
      </c>
      <c r="MC25" s="15">
        <v>25637634</v>
      </c>
      <c r="MD25" s="14">
        <v>8000000</v>
      </c>
      <c r="MI25" s="16" t="s">
        <v>69</v>
      </c>
      <c r="MJ25" s="16">
        <v>44518</v>
      </c>
      <c r="MK25" s="15">
        <v>59644332</v>
      </c>
      <c r="ML25" s="14">
        <v>40000000</v>
      </c>
      <c r="MQ25" s="16" t="s">
        <v>76</v>
      </c>
      <c r="MR25" s="16">
        <v>44707</v>
      </c>
      <c r="MS25" s="15">
        <v>20577744</v>
      </c>
      <c r="MT25" s="14">
        <v>4000000</v>
      </c>
      <c r="MV25" s="55" t="s">
        <v>95</v>
      </c>
      <c r="MW25" s="54"/>
      <c r="MY25" s="16" t="s">
        <v>34</v>
      </c>
      <c r="MZ25" s="16">
        <v>42978</v>
      </c>
      <c r="NA25" s="15">
        <v>18670520</v>
      </c>
      <c r="NB25" s="14">
        <v>10000000</v>
      </c>
      <c r="NF25"/>
      <c r="NG25" s="40">
        <v>200</v>
      </c>
      <c r="NH25" s="39">
        <f t="shared" si="92"/>
        <v>239737999.99999997</v>
      </c>
      <c r="NI25" s="40">
        <v>350</v>
      </c>
      <c r="NJ25" s="39">
        <f t="shared" si="93"/>
        <v>411953000</v>
      </c>
      <c r="NL25" s="13"/>
      <c r="NN25" s="16" t="s">
        <v>33</v>
      </c>
      <c r="NO25" s="16">
        <v>43349</v>
      </c>
      <c r="NP25" s="15">
        <v>21834252</v>
      </c>
      <c r="NQ25" s="14">
        <v>12000000</v>
      </c>
      <c r="NS25" s="1">
        <v>6</v>
      </c>
      <c r="NT25" s="1">
        <v>40</v>
      </c>
      <c r="NV25" s="40">
        <v>200</v>
      </c>
      <c r="NW25" s="39">
        <f t="shared" si="94"/>
        <v>246025199.99999997</v>
      </c>
      <c r="NX25" s="40">
        <v>350</v>
      </c>
      <c r="NY25" s="39">
        <f t="shared" si="95"/>
        <v>426895200</v>
      </c>
      <c r="OA25" s="13"/>
      <c r="OB25" s="1"/>
    </row>
    <row r="26" spans="2:392" x14ac:dyDescent="0.25">
      <c r="B26" s="5"/>
      <c r="C26" s="5"/>
      <c r="D26" s="5"/>
      <c r="F26" s="5" t="s">
        <v>70</v>
      </c>
      <c r="G26" s="51">
        <f t="shared" si="98"/>
        <v>44013</v>
      </c>
      <c r="H26" s="51">
        <f t="shared" si="96"/>
        <v>44196</v>
      </c>
      <c r="I26" s="50">
        <f t="shared" si="97"/>
        <v>27</v>
      </c>
      <c r="K26" s="7">
        <v>22</v>
      </c>
      <c r="M26" s="5" t="str" cm="1">
        <f t="array" ref="M26">LOOKUP(2,1/($G$19:$G$35&lt;=$V26)/($H$19:$H$35&gt;=$V26),$F$19:$F$35)</f>
        <v>2H17</v>
      </c>
      <c r="N26" s="5" t="str" cm="1">
        <f t="array" ref="N26">LOOKUP(2,1/($G$8:$G$16&lt;=$V26)/($H$8:$H$16&gt;=$V26),$F$8:$F$16)</f>
        <v>FY17</v>
      </c>
      <c r="O26" s="5" t="str">
        <f>IFERROR(N26&amp;"-"&amp;COUNTIF($N$5:N26,N26),NA())</f>
        <v>FY17-22</v>
      </c>
      <c r="P26" s="5">
        <f>COUNTIF(V$5:V26,"&gt;="&amp;MAX($V:$V)-183)</f>
        <v>0</v>
      </c>
      <c r="Q26" s="5">
        <f>COUNTIF(V$5:V26,"&gt;="&amp;MAX($V:$V)-365)</f>
        <v>0</v>
      </c>
      <c r="R26" s="5" cm="1">
        <f t="array" ref="R26">LOOKUP(2,1/($G$46:$G$50&lt;=$V26)/($H$46:$H$50&gt;=$V26),$F$46:$F$50)</f>
        <v>0</v>
      </c>
      <c r="S26" s="5" cm="1">
        <f t="array" ref="S26">LOOKUP(2,1/($G$53:$G$56&lt;=$V26)/($H$53:$H$56&gt;=$V26),$F$53:$F$56)</f>
        <v>0</v>
      </c>
      <c r="T26" s="5" t="e">
        <f>IFERROR(IF($R26&gt;0,$R26&amp;"-"&amp;COUNTIF($R$5:$R26,$R26),NA()),NA())</f>
        <v>#N/A</v>
      </c>
      <c r="U26" s="5" t="e">
        <f>IFERROR(IF($S26&gt;0,$S26&amp;"-"&amp;COUNTIF($S$5:$S26,$S26),NA()),NA())</f>
        <v>#N/A</v>
      </c>
      <c r="V26" s="10">
        <v>42887</v>
      </c>
      <c r="W26" s="9">
        <v>23329563.726065204</v>
      </c>
      <c r="X26" s="9">
        <v>21674331.179700878</v>
      </c>
      <c r="Y26" s="8">
        <v>10000000</v>
      </c>
      <c r="AA26" s="48">
        <f t="shared" si="46"/>
        <v>22</v>
      </c>
      <c r="AB26" s="12">
        <f t="shared" si="0"/>
        <v>45435</v>
      </c>
      <c r="AC26" s="15">
        <f t="shared" si="1"/>
        <v>194704917.18426505</v>
      </c>
      <c r="AD26" s="14">
        <f t="shared" si="2"/>
        <v>150000000</v>
      </c>
      <c r="AI26" s="40"/>
      <c r="AJ26" s="39"/>
      <c r="AN26" s="13"/>
      <c r="AO26" s="13"/>
      <c r="AP26" s="40"/>
      <c r="AQ26" s="39"/>
      <c r="AU26" s="13"/>
      <c r="AW26" s="48">
        <f t="shared" si="47"/>
        <v>22</v>
      </c>
      <c r="AX26" s="12">
        <f t="shared" si="4"/>
        <v>45253</v>
      </c>
      <c r="AY26" s="15">
        <f t="shared" si="5"/>
        <v>37695077.694235586</v>
      </c>
      <c r="AZ26" s="14">
        <f t="shared" si="48"/>
        <v>20000000</v>
      </c>
      <c r="BB26" s="1">
        <v>6</v>
      </c>
      <c r="BC26" s="1">
        <v>80</v>
      </c>
      <c r="BI26" s="40"/>
      <c r="BJ26" s="39"/>
      <c r="BN26" s="13"/>
      <c r="BO26" s="13"/>
      <c r="BP26" s="40">
        <v>65</v>
      </c>
      <c r="BQ26" s="39">
        <f t="shared" si="102"/>
        <v>87169000.000000015</v>
      </c>
      <c r="BR26" s="110">
        <v>0</v>
      </c>
      <c r="BS26" s="39">
        <f t="shared" si="103"/>
        <v>87169000.000000015</v>
      </c>
      <c r="BU26" s="13"/>
      <c r="BW26" s="48" t="e">
        <f t="shared" si="8"/>
        <v>#N/A</v>
      </c>
      <c r="BX26" s="12" t="e">
        <f t="shared" si="9"/>
        <v>#N/A</v>
      </c>
      <c r="BY26" s="15" t="e">
        <f t="shared" si="10"/>
        <v>#N/A</v>
      </c>
      <c r="BZ26" s="14" t="e">
        <f t="shared" si="11"/>
        <v>#N/A</v>
      </c>
      <c r="CE26" s="40"/>
      <c r="CF26" s="39"/>
      <c r="CJ26" s="13"/>
      <c r="CK26" s="13"/>
      <c r="CL26" s="48" t="e">
        <f t="shared" si="12"/>
        <v>#N/A</v>
      </c>
      <c r="CM26" s="12" t="e">
        <f t="shared" si="13"/>
        <v>#N/A</v>
      </c>
      <c r="CN26" s="49" t="e">
        <f t="shared" si="14"/>
        <v>#N/A</v>
      </c>
      <c r="CO26" s="49" t="e">
        <f t="shared" si="15"/>
        <v>#N/A</v>
      </c>
      <c r="CQ26" s="61">
        <f t="shared" si="100"/>
        <v>7.2314001171646103E-2</v>
      </c>
      <c r="CT26" s="40"/>
      <c r="CU26" s="39"/>
      <c r="CY26" s="13"/>
      <c r="DA26" s="48" t="e">
        <f t="shared" si="16"/>
        <v>#N/A</v>
      </c>
      <c r="DB26" s="12" t="e">
        <f t="shared" si="17"/>
        <v>#N/A</v>
      </c>
      <c r="DC26" s="15" t="e">
        <f t="shared" si="18"/>
        <v>#N/A</v>
      </c>
      <c r="DD26" s="14" t="e">
        <f t="shared" si="19"/>
        <v>#N/A</v>
      </c>
      <c r="DI26" s="40"/>
      <c r="DJ26" s="39"/>
      <c r="DN26" s="13"/>
      <c r="DO26" s="13"/>
      <c r="DP26" s="48" t="e">
        <f t="shared" si="20"/>
        <v>#N/A</v>
      </c>
      <c r="DQ26" s="12" t="e">
        <f t="shared" si="21"/>
        <v>#N/A</v>
      </c>
      <c r="DR26" s="15" t="e">
        <f t="shared" si="22"/>
        <v>#N/A</v>
      </c>
      <c r="DS26" s="14" t="e">
        <f t="shared" si="23"/>
        <v>#N/A</v>
      </c>
      <c r="DU26" s="61">
        <f t="shared" si="104"/>
        <v>0.28313802796334842</v>
      </c>
      <c r="DX26" s="40"/>
      <c r="DY26" s="39"/>
      <c r="EC26" s="13"/>
      <c r="ED26" s="13"/>
      <c r="EE26" s="40"/>
      <c r="EF26" s="39"/>
      <c r="EJ26" s="13"/>
      <c r="EK26" s="13"/>
      <c r="EL26" s="47" t="str">
        <f t="shared" si="25"/>
        <v>FY18-22</v>
      </c>
      <c r="EM26" s="16">
        <v>43069</v>
      </c>
      <c r="EN26" s="15">
        <v>13093111.238571674</v>
      </c>
      <c r="EO26" s="14">
        <f t="shared" si="26"/>
        <v>3000000</v>
      </c>
      <c r="EQ26" s="14">
        <v>30000000</v>
      </c>
      <c r="ER26" s="1">
        <f t="shared" si="101"/>
        <v>2</v>
      </c>
      <c r="ET26" s="40"/>
      <c r="EU26" s="39"/>
      <c r="EX26" s="13"/>
      <c r="EY26" s="13"/>
      <c r="EZ26" s="13"/>
      <c r="FA26" s="16" t="s">
        <v>33</v>
      </c>
      <c r="FB26" s="16">
        <v>43433</v>
      </c>
      <c r="FC26" s="15">
        <v>19569770.120788299</v>
      </c>
      <c r="FD26" s="14">
        <v>8000000</v>
      </c>
      <c r="FF26" s="1">
        <v>7</v>
      </c>
      <c r="FG26" s="1">
        <v>50</v>
      </c>
      <c r="FI26" s="40"/>
      <c r="FJ26" s="39"/>
      <c r="FN26" s="13"/>
      <c r="FO26" s="13"/>
      <c r="FP26" s="40"/>
      <c r="FQ26" s="39"/>
      <c r="FU26" s="13"/>
      <c r="FV26" s="13"/>
      <c r="FW26" s="16" t="s">
        <v>39</v>
      </c>
      <c r="FX26" s="16">
        <v>43797</v>
      </c>
      <c r="FY26" s="15">
        <v>15126397.920663407</v>
      </c>
      <c r="FZ26" s="14">
        <v>3000000</v>
      </c>
      <c r="GB26" s="1">
        <v>6</v>
      </c>
      <c r="GC26" s="1">
        <v>60</v>
      </c>
      <c r="GF26" s="40"/>
      <c r="GG26" s="39"/>
      <c r="GK26" s="13"/>
      <c r="GL26" s="13"/>
      <c r="GM26" s="40"/>
      <c r="GN26" s="39"/>
      <c r="GR26" s="13"/>
      <c r="GS26" s="13"/>
      <c r="GT26" s="16" t="s">
        <v>38</v>
      </c>
      <c r="GU26" s="16">
        <v>44161</v>
      </c>
      <c r="GV26" s="15">
        <v>40190379.81149286</v>
      </c>
      <c r="GW26" s="14">
        <v>20000000</v>
      </c>
      <c r="HB26" s="40"/>
      <c r="HC26" s="39"/>
      <c r="HG26" s="13"/>
      <c r="HH26" s="13"/>
      <c r="HI26" s="16" t="s">
        <v>35</v>
      </c>
      <c r="HJ26" s="16">
        <v>44525</v>
      </c>
      <c r="HK26" s="15">
        <v>81402100.334448159</v>
      </c>
      <c r="HL26" s="14">
        <v>60000000</v>
      </c>
      <c r="HN26" s="55" t="s">
        <v>91</v>
      </c>
      <c r="HO26" s="54"/>
      <c r="HQ26" s="40"/>
      <c r="HR26" s="39"/>
      <c r="HV26" s="13"/>
      <c r="HW26" s="13"/>
      <c r="HX26" s="40"/>
      <c r="HY26" s="39"/>
      <c r="IC26" s="13"/>
      <c r="ID26" s="13"/>
      <c r="IE26" s="16" t="s">
        <v>37</v>
      </c>
      <c r="IF26" s="16">
        <v>44896</v>
      </c>
      <c r="IG26" s="15">
        <v>25213057.950744905</v>
      </c>
      <c r="IH26" s="14">
        <v>8000000</v>
      </c>
      <c r="IM26" s="40"/>
      <c r="IN26" s="39"/>
      <c r="IR26" s="13"/>
      <c r="IS26" s="13"/>
      <c r="IT26" s="111">
        <v>100</v>
      </c>
      <c r="IU26" s="39">
        <f t="shared" si="87"/>
        <v>131033999.99999999</v>
      </c>
      <c r="IV26" s="40"/>
      <c r="IW26" s="39"/>
      <c r="IY26" s="13"/>
      <c r="IZ26" s="13"/>
      <c r="JA26" s="16" t="s">
        <v>115</v>
      </c>
      <c r="JB26" s="16">
        <v>45260</v>
      </c>
      <c r="JC26" s="15">
        <v>23402584.504740112</v>
      </c>
      <c r="JD26" s="14">
        <v>8000000</v>
      </c>
      <c r="JF26" s="1">
        <v>7</v>
      </c>
      <c r="JG26" s="1">
        <v>150</v>
      </c>
      <c r="JI26" s="40"/>
      <c r="JJ26" s="39"/>
      <c r="JN26" s="13"/>
      <c r="JO26" s="13"/>
      <c r="JP26" s="111">
        <v>100</v>
      </c>
      <c r="JQ26" s="39">
        <f t="shared" si="91"/>
        <v>121352999.99999999</v>
      </c>
      <c r="JR26" s="69"/>
      <c r="JS26" s="69"/>
      <c r="JU26" s="13"/>
      <c r="JV26" s="13"/>
      <c r="JW26" s="16" t="s">
        <v>83</v>
      </c>
      <c r="JX26" s="16">
        <v>43069</v>
      </c>
      <c r="JY26" s="15">
        <v>13050950</v>
      </c>
      <c r="JZ26" s="14">
        <v>3000000</v>
      </c>
      <c r="KE26" s="46" t="s">
        <v>82</v>
      </c>
      <c r="KF26" s="46">
        <v>43251</v>
      </c>
      <c r="KG26" s="45">
        <v>46268706</v>
      </c>
      <c r="KH26" s="44">
        <v>40000000</v>
      </c>
      <c r="KJ26" s="1">
        <v>6</v>
      </c>
      <c r="KK26" s="1">
        <v>40</v>
      </c>
      <c r="KM26" s="16" t="s">
        <v>81</v>
      </c>
      <c r="KN26" s="16">
        <v>43433</v>
      </c>
      <c r="KO26" s="15">
        <v>19567152</v>
      </c>
      <c r="KP26" s="14">
        <v>8000000</v>
      </c>
      <c r="KR26" s="1">
        <v>7</v>
      </c>
      <c r="KS26" s="1">
        <v>50</v>
      </c>
      <c r="KU26" s="16" t="s">
        <v>79</v>
      </c>
      <c r="KV26" s="16">
        <v>43615</v>
      </c>
      <c r="KW26" s="15">
        <v>16065258</v>
      </c>
      <c r="KX26" s="14">
        <v>8000000</v>
      </c>
      <c r="KZ26" s="1">
        <v>9</v>
      </c>
      <c r="LA26" s="1">
        <v>100</v>
      </c>
      <c r="LC26" s="16" t="s">
        <v>78</v>
      </c>
      <c r="LD26" s="16">
        <v>43797</v>
      </c>
      <c r="LE26" s="15">
        <v>14264382</v>
      </c>
      <c r="LF26" s="14">
        <v>3000000</v>
      </c>
      <c r="LH26" s="1">
        <v>5</v>
      </c>
      <c r="LI26" s="1">
        <v>40</v>
      </c>
      <c r="LK26" s="16" t="s">
        <v>77</v>
      </c>
      <c r="LL26" s="16">
        <v>43979</v>
      </c>
      <c r="LM26" s="15">
        <v>37307226</v>
      </c>
      <c r="LN26" s="14">
        <v>15000000</v>
      </c>
      <c r="LP26" s="1" t="s">
        <v>94</v>
      </c>
      <c r="LS26" s="16" t="s">
        <v>70</v>
      </c>
      <c r="LT26" s="16">
        <v>44161</v>
      </c>
      <c r="LU26" s="15">
        <v>39954420</v>
      </c>
      <c r="LV26" s="14">
        <v>20000000</v>
      </c>
      <c r="MA26" s="16" t="s">
        <v>86</v>
      </c>
      <c r="MB26" s="16">
        <v>44350</v>
      </c>
      <c r="MC26" s="15">
        <v>19342026</v>
      </c>
      <c r="MD26" s="14">
        <v>3000000</v>
      </c>
      <c r="MF26" s="1" t="s">
        <v>93</v>
      </c>
      <c r="MI26" s="16" t="s">
        <v>69</v>
      </c>
      <c r="MJ26" s="16">
        <v>44525</v>
      </c>
      <c r="MK26" s="15">
        <v>83608206</v>
      </c>
      <c r="ML26" s="14">
        <v>60000000</v>
      </c>
      <c r="MQ26" s="16" t="s">
        <v>76</v>
      </c>
      <c r="MR26" s="16">
        <v>44714</v>
      </c>
      <c r="MS26" s="15">
        <v>22110924</v>
      </c>
      <c r="MT26" s="14">
        <v>4000000</v>
      </c>
      <c r="MV26" s="52" t="s">
        <v>42</v>
      </c>
      <c r="MW26" s="52" t="s">
        <v>41</v>
      </c>
      <c r="MY26" s="16" t="s">
        <v>34</v>
      </c>
      <c r="MZ26" s="16">
        <v>42985</v>
      </c>
      <c r="NA26" s="15">
        <v>25652990</v>
      </c>
      <c r="NB26" s="14">
        <v>15000000</v>
      </c>
      <c r="ND26" s="2" t="s">
        <v>92</v>
      </c>
      <c r="NF26"/>
      <c r="NG26" s="40"/>
      <c r="NH26" s="39"/>
      <c r="NL26" s="13"/>
      <c r="NN26" s="16" t="s">
        <v>33</v>
      </c>
      <c r="NO26" s="16">
        <v>43356</v>
      </c>
      <c r="NP26" s="15">
        <v>28533780</v>
      </c>
      <c r="NQ26" s="14">
        <v>20000000</v>
      </c>
      <c r="NS26" s="1">
        <v>7</v>
      </c>
      <c r="NT26" s="1">
        <v>50</v>
      </c>
      <c r="NV26" s="40"/>
      <c r="NW26" s="39"/>
      <c r="OA26" s="13"/>
      <c r="OB26" s="1"/>
    </row>
    <row r="27" spans="2:392" x14ac:dyDescent="0.25">
      <c r="B27" s="5"/>
      <c r="C27" s="5"/>
      <c r="D27" s="5"/>
      <c r="F27" s="5" t="s">
        <v>86</v>
      </c>
      <c r="G27" s="51">
        <f t="shared" si="98"/>
        <v>44197</v>
      </c>
      <c r="H27" s="51">
        <f t="shared" si="96"/>
        <v>44377</v>
      </c>
      <c r="I27" s="50">
        <f t="shared" si="97"/>
        <v>25</v>
      </c>
      <c r="K27" s="7">
        <v>23</v>
      </c>
      <c r="M27" s="5" t="str" cm="1">
        <f t="array" ref="M27">LOOKUP(2,1/($G$19:$G$35&lt;=$V27)/($H$19:$H$35&gt;=$V27),$F$19:$F$35)</f>
        <v>2H17</v>
      </c>
      <c r="N27" s="5" t="str" cm="1">
        <f t="array" ref="N27">LOOKUP(2,1/($G$8:$G$16&lt;=$V27)/($H$8:$H$16&gt;=$V27),$F$8:$F$16)</f>
        <v>FY17</v>
      </c>
      <c r="O27" s="5" t="str">
        <f>IFERROR(N27&amp;"-"&amp;COUNTIF($N$5:N27,N27),NA())</f>
        <v>FY17-23</v>
      </c>
      <c r="P27" s="5">
        <f>COUNTIF(V$5:V27,"&gt;="&amp;MAX($V:$V)-183)</f>
        <v>0</v>
      </c>
      <c r="Q27" s="5">
        <f>COUNTIF(V$5:V27,"&gt;="&amp;MAX($V:$V)-365)</f>
        <v>0</v>
      </c>
      <c r="R27" s="5" cm="1">
        <f t="array" ref="R27">LOOKUP(2,1/($G$46:$G$50&lt;=$V27)/($H$46:$H$50&gt;=$V27),$F$46:$F$50)</f>
        <v>0</v>
      </c>
      <c r="S27" s="5" cm="1">
        <f t="array" ref="S27">LOOKUP(2,1/($G$53:$G$56&lt;=$V27)/($H$53:$H$56&gt;=$V27),$F$53:$F$56)</f>
        <v>0</v>
      </c>
      <c r="T27" s="5" t="e">
        <f>IFERROR(IF($R27&gt;0,$R27&amp;"-"&amp;COUNTIF($R$5:$R27,$R27),NA()),NA())</f>
        <v>#N/A</v>
      </c>
      <c r="U27" s="5" t="e">
        <f>IFERROR(IF($S27&gt;0,$S27&amp;"-"&amp;COUNTIF($S$5:$S27,$S27),NA()),NA())</f>
        <v>#N/A</v>
      </c>
      <c r="V27" s="10">
        <v>42894</v>
      </c>
      <c r="W27" s="9">
        <v>30369131.899258234</v>
      </c>
      <c r="X27" s="9">
        <v>28214441.99100586</v>
      </c>
      <c r="Y27" s="8">
        <v>15000000</v>
      </c>
      <c r="AA27" s="48">
        <f t="shared" si="46"/>
        <v>23</v>
      </c>
      <c r="AB27" s="12">
        <f t="shared" si="0"/>
        <v>45442</v>
      </c>
      <c r="AC27" s="15">
        <f t="shared" si="1"/>
        <v>21155360.575351421</v>
      </c>
      <c r="AD27" s="14">
        <f t="shared" si="2"/>
        <v>4000000</v>
      </c>
      <c r="AI27" s="60" t="s">
        <v>90</v>
      </c>
      <c r="AJ27" s="59">
        <v>5.1999999999999998E-3</v>
      </c>
      <c r="AK27" s="59">
        <v>0.9345</v>
      </c>
      <c r="AL27" s="59">
        <v>17.597000000000001</v>
      </c>
      <c r="AN27" s="13"/>
      <c r="AO27" s="13"/>
      <c r="AP27" s="60" t="s">
        <v>90</v>
      </c>
      <c r="AQ27" s="59">
        <v>-4.0000000000000001E-3</v>
      </c>
      <c r="AR27" s="59">
        <v>1.3055000000000001</v>
      </c>
      <c r="AS27" s="59">
        <v>15.814</v>
      </c>
      <c r="AU27" s="13"/>
      <c r="AW27" s="48">
        <f t="shared" si="47"/>
        <v>23</v>
      </c>
      <c r="AX27" s="12">
        <f t="shared" si="4"/>
        <v>45260</v>
      </c>
      <c r="AY27" s="15">
        <f t="shared" si="5"/>
        <v>23402584.504740112</v>
      </c>
      <c r="AZ27" s="14">
        <f t="shared" si="48"/>
        <v>8000000</v>
      </c>
      <c r="BB27" s="1">
        <v>7</v>
      </c>
      <c r="BC27" s="1">
        <v>120</v>
      </c>
      <c r="BI27" s="60" t="s">
        <v>90</v>
      </c>
      <c r="BJ27" s="59">
        <v>6.7000000000000002E-3</v>
      </c>
      <c r="BK27" s="59">
        <v>0.77229999999999999</v>
      </c>
      <c r="BL27" s="59">
        <v>18.866</v>
      </c>
      <c r="BN27" s="13"/>
      <c r="BO27" s="13"/>
      <c r="BP27" s="40">
        <v>100</v>
      </c>
      <c r="BQ27" s="39">
        <f t="shared" si="102"/>
        <v>125186000</v>
      </c>
      <c r="BR27" s="110">
        <v>0.25</v>
      </c>
      <c r="BS27" s="39">
        <f t="shared" ref="BS27:BS31" si="105">BQ27*(1+BR27)</f>
        <v>156482500</v>
      </c>
      <c r="BU27" s="13"/>
      <c r="BW27" s="48" t="e">
        <f t="shared" si="8"/>
        <v>#N/A</v>
      </c>
      <c r="BX27" s="12" t="e">
        <f t="shared" si="9"/>
        <v>#N/A</v>
      </c>
      <c r="BY27" s="15" t="e">
        <f t="shared" si="10"/>
        <v>#N/A</v>
      </c>
      <c r="BZ27" s="14" t="e">
        <f t="shared" si="11"/>
        <v>#N/A</v>
      </c>
      <c r="CE27" s="60" t="s">
        <v>90</v>
      </c>
      <c r="CF27" s="59">
        <v>-3.8999999999999998E-3</v>
      </c>
      <c r="CG27" s="59">
        <v>1.4182999999999999</v>
      </c>
      <c r="CH27" s="59">
        <v>14.324</v>
      </c>
      <c r="CJ27" s="13"/>
      <c r="CK27" s="13"/>
      <c r="CL27" s="48" t="e">
        <f t="shared" si="12"/>
        <v>#N/A</v>
      </c>
      <c r="CM27" s="12" t="e">
        <f t="shared" si="13"/>
        <v>#N/A</v>
      </c>
      <c r="CN27" s="49" t="e">
        <f t="shared" si="14"/>
        <v>#N/A</v>
      </c>
      <c r="CO27" s="49" t="e">
        <f t="shared" si="15"/>
        <v>#N/A</v>
      </c>
      <c r="CQ27" s="61">
        <f t="shared" si="100"/>
        <v>6.8962688786129656E-2</v>
      </c>
      <c r="CT27" s="60" t="s">
        <v>90</v>
      </c>
      <c r="CU27" s="59">
        <v>-3.8999999999999998E-3</v>
      </c>
      <c r="CV27" s="59">
        <v>1.4182999999999999</v>
      </c>
      <c r="CW27" s="59">
        <v>14.324</v>
      </c>
      <c r="CY27" s="13"/>
      <c r="DA27" s="48" t="e">
        <f t="shared" si="16"/>
        <v>#N/A</v>
      </c>
      <c r="DB27" s="12" t="e">
        <f t="shared" si="17"/>
        <v>#N/A</v>
      </c>
      <c r="DC27" s="15" t="e">
        <f t="shared" si="18"/>
        <v>#N/A</v>
      </c>
      <c r="DD27" s="14" t="e">
        <f t="shared" si="19"/>
        <v>#N/A</v>
      </c>
      <c r="DI27" s="60" t="s">
        <v>90</v>
      </c>
      <c r="DJ27" s="59">
        <v>-3.8999999999999998E-3</v>
      </c>
      <c r="DK27" s="59">
        <v>1.4182999999999999</v>
      </c>
      <c r="DL27" s="59">
        <v>14.324</v>
      </c>
      <c r="DN27" s="13"/>
      <c r="DO27" s="13"/>
      <c r="DP27" s="48" t="e">
        <f t="shared" si="20"/>
        <v>#N/A</v>
      </c>
      <c r="DQ27" s="12" t="e">
        <f t="shared" si="21"/>
        <v>#N/A</v>
      </c>
      <c r="DR27" s="15" t="e">
        <f t="shared" si="22"/>
        <v>#N/A</v>
      </c>
      <c r="DS27" s="14" t="e">
        <f t="shared" si="23"/>
        <v>#N/A</v>
      </c>
      <c r="DU27" s="61">
        <f t="shared" si="104"/>
        <v>0.28857593977767504</v>
      </c>
      <c r="DX27" s="60" t="s">
        <v>90</v>
      </c>
      <c r="DY27" s="59">
        <v>3.8999999999999998E-3</v>
      </c>
      <c r="DZ27" s="59">
        <v>1.1677999999999999</v>
      </c>
      <c r="EA27" s="59">
        <v>13.61</v>
      </c>
      <c r="EC27" s="13"/>
      <c r="ED27" s="13"/>
      <c r="EE27" s="60" t="s">
        <v>90</v>
      </c>
      <c r="EF27" s="59">
        <v>-2.2000000000000001E-3</v>
      </c>
      <c r="EG27" s="59">
        <v>1.2639</v>
      </c>
      <c r="EH27" s="59">
        <v>15.276999999999999</v>
      </c>
      <c r="EJ27" s="13"/>
      <c r="EK27" s="13"/>
      <c r="EL27" s="47" t="str">
        <f t="shared" si="25"/>
        <v>FY18-23</v>
      </c>
      <c r="EM27" s="16">
        <v>43076</v>
      </c>
      <c r="EN27" s="15">
        <v>17159375.04916336</v>
      </c>
      <c r="EO27" s="14">
        <f t="shared" si="26"/>
        <v>6000000</v>
      </c>
      <c r="EQ27" s="14">
        <v>35000000</v>
      </c>
      <c r="ER27" s="1">
        <f t="shared" si="101"/>
        <v>1</v>
      </c>
      <c r="ET27" s="60" t="s">
        <v>90</v>
      </c>
      <c r="EU27" s="59">
        <v>8.0999999999999996E-3</v>
      </c>
      <c r="EV27" s="59">
        <v>0.67589999999999995</v>
      </c>
      <c r="EW27" s="59">
        <v>11.96</v>
      </c>
      <c r="EX27" s="13"/>
      <c r="EY27" s="13"/>
      <c r="EZ27" s="13"/>
      <c r="FA27" s="16" t="s">
        <v>33</v>
      </c>
      <c r="FB27" s="16">
        <v>43440</v>
      </c>
      <c r="FC27" s="15">
        <v>24628368.722186904</v>
      </c>
      <c r="FD27" s="14">
        <v>12000000</v>
      </c>
      <c r="FF27" s="1">
        <v>8</v>
      </c>
      <c r="FG27" s="1">
        <v>80</v>
      </c>
      <c r="FI27" s="60" t="s">
        <v>90</v>
      </c>
      <c r="FJ27" s="59">
        <v>1.26E-2</v>
      </c>
      <c r="FK27" s="59">
        <v>0.20499999999999999</v>
      </c>
      <c r="FL27" s="59">
        <v>15.717000000000001</v>
      </c>
      <c r="FN27" s="13"/>
      <c r="FO27" s="13"/>
      <c r="FP27" s="60" t="s">
        <v>90</v>
      </c>
      <c r="FQ27" s="59">
        <v>6.8999999999999999E-3</v>
      </c>
      <c r="FR27" s="59">
        <v>0.52470000000000006</v>
      </c>
      <c r="FS27" s="59">
        <v>13.115</v>
      </c>
      <c r="FU27" s="13"/>
      <c r="FV27" s="13"/>
      <c r="FW27" s="16" t="s">
        <v>39</v>
      </c>
      <c r="FX27" s="16">
        <v>43804</v>
      </c>
      <c r="FY27" s="15">
        <v>20501358.252367102</v>
      </c>
      <c r="FZ27" s="14">
        <v>8000000</v>
      </c>
      <c r="GB27" s="1">
        <v>7</v>
      </c>
      <c r="GC27" s="1">
        <v>80</v>
      </c>
      <c r="GF27" s="60" t="s">
        <v>90</v>
      </c>
      <c r="GG27" s="59">
        <v>5.1999999999999998E-3</v>
      </c>
      <c r="GH27" s="59">
        <v>0.47610000000000002</v>
      </c>
      <c r="GI27" s="59">
        <v>17.542000000000002</v>
      </c>
      <c r="GK27" s="13"/>
      <c r="GL27" s="13"/>
      <c r="GM27" s="60" t="s">
        <v>90</v>
      </c>
      <c r="GN27" s="59">
        <v>-1.4E-3</v>
      </c>
      <c r="GO27" s="59">
        <v>0.89290000000000003</v>
      </c>
      <c r="GP27" s="59">
        <v>14.307</v>
      </c>
      <c r="GR27" s="13"/>
      <c r="GS27" s="13"/>
      <c r="GT27" s="16" t="s">
        <v>38</v>
      </c>
      <c r="GU27" s="16">
        <v>44168</v>
      </c>
      <c r="GV27" s="15">
        <v>17815226.512617815</v>
      </c>
      <c r="GW27" s="14">
        <v>3000000</v>
      </c>
      <c r="HB27" s="60" t="s">
        <v>90</v>
      </c>
      <c r="HC27" s="59">
        <v>2.3999999999999998E-3</v>
      </c>
      <c r="HD27" s="59">
        <v>0.97899999999999998</v>
      </c>
      <c r="HE27" s="59">
        <v>17.202999999999999</v>
      </c>
      <c r="HG27" s="13"/>
      <c r="HH27" s="13"/>
      <c r="HI27" s="16" t="s">
        <v>35</v>
      </c>
      <c r="HJ27" s="16">
        <v>44532</v>
      </c>
      <c r="HK27" s="15">
        <v>109814245.30252357</v>
      </c>
      <c r="HL27" s="14">
        <v>80000000</v>
      </c>
      <c r="HN27" s="52" t="s">
        <v>42</v>
      </c>
      <c r="HO27" s="52" t="s">
        <v>41</v>
      </c>
      <c r="HQ27" s="60" t="s">
        <v>90</v>
      </c>
      <c r="HR27" s="59">
        <v>1.1900000000000001E-2</v>
      </c>
      <c r="HS27" s="59">
        <v>0.3367</v>
      </c>
      <c r="HT27" s="59">
        <v>22.986999999999998</v>
      </c>
      <c r="HV27" s="13"/>
      <c r="HW27" s="13"/>
      <c r="HX27" s="60" t="s">
        <v>90</v>
      </c>
      <c r="HY27" s="59">
        <v>4.7999999999999996E-3</v>
      </c>
      <c r="HZ27" s="59">
        <v>0.7873</v>
      </c>
      <c r="IA27" s="59">
        <v>19.062999999999999</v>
      </c>
      <c r="IC27" s="13"/>
      <c r="ID27" s="13"/>
      <c r="IE27" s="16" t="s">
        <v>37</v>
      </c>
      <c r="IF27" s="16">
        <v>44903</v>
      </c>
      <c r="IG27" s="15">
        <v>38341626.147765279</v>
      </c>
      <c r="IH27" s="14">
        <v>20000000</v>
      </c>
      <c r="IJ27" s="55" t="s">
        <v>91</v>
      </c>
      <c r="IK27" s="54"/>
      <c r="IM27" s="60" t="s">
        <v>90</v>
      </c>
      <c r="IN27" s="59">
        <v>4.4000000000000003E-3</v>
      </c>
      <c r="IO27" s="59">
        <v>1.0777000000000001</v>
      </c>
      <c r="IP27" s="59">
        <v>15.94</v>
      </c>
      <c r="IR27" s="13"/>
      <c r="IS27" s="13"/>
      <c r="IT27" s="111">
        <v>120</v>
      </c>
      <c r="IU27" s="39">
        <f t="shared" si="87"/>
        <v>153945999.99999997</v>
      </c>
      <c r="IV27" s="40"/>
      <c r="IW27" s="39"/>
      <c r="IY27" s="13"/>
      <c r="IZ27" s="13"/>
      <c r="JA27" s="16" t="s">
        <v>115</v>
      </c>
      <c r="JB27" s="16">
        <v>45267</v>
      </c>
      <c r="JC27" s="15">
        <v>34302016.781083152</v>
      </c>
      <c r="JD27" s="14">
        <v>20000000</v>
      </c>
      <c r="JI27" s="60" t="s">
        <v>90</v>
      </c>
      <c r="JJ27" s="59">
        <v>6.4000000000000003E-3</v>
      </c>
      <c r="JK27" s="59">
        <v>0.72130000000000005</v>
      </c>
      <c r="JL27" s="59">
        <v>19.504999999999999</v>
      </c>
      <c r="JN27" s="13"/>
      <c r="JO27" s="13"/>
      <c r="JP27" s="111">
        <v>120</v>
      </c>
      <c r="JQ27" s="39">
        <f t="shared" si="91"/>
        <v>142259000</v>
      </c>
      <c r="JR27" s="69"/>
      <c r="JS27" s="69"/>
      <c r="JU27" s="13"/>
      <c r="JV27" s="13"/>
      <c r="JW27" s="16" t="s">
        <v>83</v>
      </c>
      <c r="JX27" s="16">
        <v>43076</v>
      </c>
      <c r="JY27" s="15">
        <v>17104120</v>
      </c>
      <c r="JZ27" s="14">
        <v>6000000</v>
      </c>
      <c r="KE27" s="46" t="s">
        <v>82</v>
      </c>
      <c r="KF27" s="46">
        <v>43258</v>
      </c>
      <c r="KG27" s="45">
        <v>56733600</v>
      </c>
      <c r="KH27" s="44">
        <v>50000000</v>
      </c>
      <c r="KM27" s="16" t="s">
        <v>81</v>
      </c>
      <c r="KN27" s="16">
        <v>43440</v>
      </c>
      <c r="KO27" s="15">
        <v>24038586</v>
      </c>
      <c r="KP27" s="14">
        <v>12000000</v>
      </c>
      <c r="KR27" s="1">
        <v>8</v>
      </c>
      <c r="KS27" s="1">
        <v>80</v>
      </c>
      <c r="KU27" s="16" t="s">
        <v>79</v>
      </c>
      <c r="KV27" s="16">
        <v>43622</v>
      </c>
      <c r="KW27" s="15">
        <v>19292856</v>
      </c>
      <c r="KX27" s="14">
        <v>12000000</v>
      </c>
      <c r="LC27" s="16" t="s">
        <v>78</v>
      </c>
      <c r="LD27" s="16">
        <v>43804</v>
      </c>
      <c r="LE27" s="15">
        <v>20094426</v>
      </c>
      <c r="LF27" s="14">
        <v>8000000</v>
      </c>
      <c r="LH27" s="1">
        <v>6</v>
      </c>
      <c r="LI27" s="1">
        <v>60</v>
      </c>
      <c r="LK27" s="16" t="s">
        <v>77</v>
      </c>
      <c r="LL27" s="16">
        <v>43986</v>
      </c>
      <c r="LM27" s="15">
        <v>19562862</v>
      </c>
      <c r="LN27" s="14">
        <v>3000000</v>
      </c>
      <c r="LS27" s="16" t="s">
        <v>70</v>
      </c>
      <c r="LT27" s="16">
        <v>44168</v>
      </c>
      <c r="LU27" s="15">
        <v>17778288</v>
      </c>
      <c r="LV27" s="14">
        <v>3000000</v>
      </c>
      <c r="MA27" s="16" t="s">
        <v>86</v>
      </c>
      <c r="MB27" s="16">
        <v>44357</v>
      </c>
      <c r="MC27" s="15">
        <v>22681560</v>
      </c>
      <c r="MD27" s="14">
        <v>8000000</v>
      </c>
      <c r="MI27" s="16" t="s">
        <v>69</v>
      </c>
      <c r="MJ27" s="16">
        <v>44532</v>
      </c>
      <c r="MK27" s="15">
        <v>112280586</v>
      </c>
      <c r="ML27" s="14">
        <v>80000000</v>
      </c>
      <c r="MQ27" s="16" t="s">
        <v>76</v>
      </c>
      <c r="MR27" s="16">
        <v>44721</v>
      </c>
      <c r="MS27" s="15">
        <v>27492102</v>
      </c>
      <c r="MT27" s="14">
        <v>8000000</v>
      </c>
      <c r="MV27" s="1">
        <v>1</v>
      </c>
      <c r="MW27" s="1">
        <v>4</v>
      </c>
      <c r="MY27" s="16" t="s">
        <v>34</v>
      </c>
      <c r="MZ27" s="16">
        <v>42992</v>
      </c>
      <c r="NA27" s="15">
        <v>42817610</v>
      </c>
      <c r="NB27" s="14">
        <v>30000000</v>
      </c>
      <c r="NF27"/>
      <c r="NG27" s="60" t="s">
        <v>90</v>
      </c>
      <c r="NH27" s="59">
        <v>5.9999999999999995E-4</v>
      </c>
      <c r="NI27" s="59">
        <v>1.1182000000000001</v>
      </c>
      <c r="NJ27" s="59">
        <v>10.284000000000001</v>
      </c>
      <c r="NL27" s="13"/>
      <c r="NN27" s="16" t="s">
        <v>33</v>
      </c>
      <c r="NO27" s="16">
        <v>43363</v>
      </c>
      <c r="NP27" s="15">
        <v>37562184</v>
      </c>
      <c r="NQ27" s="14">
        <v>30000000</v>
      </c>
      <c r="NS27" s="1">
        <v>8</v>
      </c>
      <c r="NT27" s="1">
        <v>80</v>
      </c>
      <c r="NV27" s="60" t="s">
        <v>90</v>
      </c>
      <c r="NW27" s="59">
        <v>1.17E-2</v>
      </c>
      <c r="NX27" s="59">
        <v>0.2359</v>
      </c>
      <c r="NY27" s="59">
        <v>15.266999999999999</v>
      </c>
      <c r="OA27" s="13"/>
      <c r="OB27" s="1"/>
    </row>
    <row r="28" spans="2:392" x14ac:dyDescent="0.25">
      <c r="B28" s="5"/>
      <c r="C28" s="5"/>
      <c r="D28" s="5"/>
      <c r="F28" s="5" t="s">
        <v>69</v>
      </c>
      <c r="G28" s="51">
        <f t="shared" si="98"/>
        <v>44378</v>
      </c>
      <c r="H28" s="51">
        <f t="shared" si="96"/>
        <v>44561</v>
      </c>
      <c r="I28" s="50">
        <f t="shared" si="97"/>
        <v>27</v>
      </c>
      <c r="K28" s="7">
        <v>24</v>
      </c>
      <c r="M28" s="5" t="str" cm="1">
        <f t="array" ref="M28">LOOKUP(2,1/($G$19:$G$35&lt;=$V28)/($H$19:$H$35&gt;=$V28),$F$19:$F$35)</f>
        <v>2H17</v>
      </c>
      <c r="N28" s="5" t="str" cm="1">
        <f t="array" ref="N28">LOOKUP(2,1/($G$8:$G$16&lt;=$V28)/($H$8:$H$16&gt;=$V28),$F$8:$F$16)</f>
        <v>FY17</v>
      </c>
      <c r="O28" s="5" t="str">
        <f>IFERROR(N28&amp;"-"&amp;COUNTIF($N$5:N28,N28),NA())</f>
        <v>FY17-24</v>
      </c>
      <c r="P28" s="5">
        <f>COUNTIF(V$5:V28,"&gt;="&amp;MAX($V:$V)-183)</f>
        <v>0</v>
      </c>
      <c r="Q28" s="5">
        <f>COUNTIF(V$5:V28,"&gt;="&amp;MAX($V:$V)-365)</f>
        <v>0</v>
      </c>
      <c r="R28" s="5" cm="1">
        <f t="array" ref="R28">LOOKUP(2,1/($G$46:$G$50&lt;=$V28)/($H$46:$H$50&gt;=$V28),$F$46:$F$50)</f>
        <v>0</v>
      </c>
      <c r="S28" s="5" cm="1">
        <f t="array" ref="S28">LOOKUP(2,1/($G$53:$G$56&lt;=$V28)/($H$53:$H$56&gt;=$V28),$F$53:$F$56)</f>
        <v>0</v>
      </c>
      <c r="T28" s="5" t="e">
        <f>IFERROR(IF($R28&gt;0,$R28&amp;"-"&amp;COUNTIF($R$5:$R28,$R28),NA()),NA())</f>
        <v>#N/A</v>
      </c>
      <c r="U28" s="5" t="e">
        <f>IFERROR(IF($S28&gt;0,$S28&amp;"-"&amp;COUNTIF($S$5:$S28,$S28),NA()),NA())</f>
        <v>#N/A</v>
      </c>
      <c r="V28" s="10">
        <v>42901</v>
      </c>
      <c r="W28" s="9">
        <v>43595442.052785918</v>
      </c>
      <c r="X28" s="9">
        <v>40502345.439140752</v>
      </c>
      <c r="Y28" s="8">
        <v>30000000</v>
      </c>
      <c r="AA28" s="48">
        <f t="shared" si="46"/>
        <v>24</v>
      </c>
      <c r="AB28" s="12">
        <f t="shared" si="0"/>
        <v>45449</v>
      </c>
      <c r="AC28" s="15">
        <f t="shared" si="1"/>
        <v>32649363.626457453</v>
      </c>
      <c r="AD28" s="14">
        <f t="shared" si="2"/>
        <v>12000000</v>
      </c>
      <c r="AF28" s="55" t="s">
        <v>15</v>
      </c>
      <c r="AG28" s="54"/>
      <c r="AN28" s="13"/>
      <c r="AO28" s="13"/>
      <c r="AU28" s="13"/>
      <c r="AW28" s="48">
        <f t="shared" si="47"/>
        <v>24</v>
      </c>
      <c r="AX28" s="12">
        <f t="shared" si="4"/>
        <v>45267</v>
      </c>
      <c r="AY28" s="15">
        <f t="shared" si="5"/>
        <v>34302016.781083152</v>
      </c>
      <c r="AZ28" s="14">
        <f t="shared" si="48"/>
        <v>20000000</v>
      </c>
      <c r="BN28" s="13"/>
      <c r="BO28" s="13"/>
      <c r="BP28" s="40">
        <v>160</v>
      </c>
      <c r="BQ28" s="39">
        <f t="shared" si="102"/>
        <v>190358000</v>
      </c>
      <c r="BR28" s="110">
        <v>0.25</v>
      </c>
      <c r="BS28" s="39">
        <f t="shared" si="105"/>
        <v>237947500</v>
      </c>
      <c r="BU28" s="13"/>
      <c r="BW28" s="48" t="e">
        <f t="shared" si="8"/>
        <v>#N/A</v>
      </c>
      <c r="BX28" s="12" t="e">
        <f t="shared" si="9"/>
        <v>#N/A</v>
      </c>
      <c r="BY28" s="15" t="e">
        <f t="shared" si="10"/>
        <v>#N/A</v>
      </c>
      <c r="BZ28" s="14" t="e">
        <f t="shared" si="11"/>
        <v>#N/A</v>
      </c>
      <c r="CJ28" s="13"/>
      <c r="CK28" s="13"/>
      <c r="CL28" s="48" t="e">
        <f t="shared" si="12"/>
        <v>#N/A</v>
      </c>
      <c r="CM28" s="12" t="e">
        <f t="shared" si="13"/>
        <v>#N/A</v>
      </c>
      <c r="CN28" s="49" t="e">
        <f t="shared" si="14"/>
        <v>#N/A</v>
      </c>
      <c r="CO28" s="49" t="e">
        <f t="shared" si="15"/>
        <v>#N/A</v>
      </c>
      <c r="CQ28" s="61">
        <f t="shared" si="100"/>
        <v>6.6355549073939146E-2</v>
      </c>
      <c r="CY28" s="13"/>
      <c r="DA28" s="48" t="e">
        <f t="shared" si="16"/>
        <v>#N/A</v>
      </c>
      <c r="DB28" s="12" t="e">
        <f t="shared" si="17"/>
        <v>#N/A</v>
      </c>
      <c r="DC28" s="15" t="e">
        <f t="shared" si="18"/>
        <v>#N/A</v>
      </c>
      <c r="DD28" s="14" t="e">
        <f t="shared" si="19"/>
        <v>#N/A</v>
      </c>
      <c r="DN28" s="13"/>
      <c r="DO28" s="13"/>
      <c r="DP28" s="48" t="e">
        <f t="shared" si="20"/>
        <v>#N/A</v>
      </c>
      <c r="DQ28" s="12" t="e">
        <f t="shared" si="21"/>
        <v>#N/A</v>
      </c>
      <c r="DR28" s="15" t="e">
        <f t="shared" si="22"/>
        <v>#N/A</v>
      </c>
      <c r="DS28" s="14" t="e">
        <f t="shared" si="23"/>
        <v>#N/A</v>
      </c>
      <c r="DU28" s="61">
        <f t="shared" si="104"/>
        <v>0.2927948340319475</v>
      </c>
      <c r="EC28" s="13"/>
      <c r="ED28" s="13"/>
      <c r="EJ28" s="13"/>
      <c r="EK28" s="13"/>
      <c r="EL28" s="47" t="str">
        <f t="shared" si="25"/>
        <v>FY18-24</v>
      </c>
      <c r="EM28" s="16">
        <v>43083</v>
      </c>
      <c r="EN28" s="15">
        <v>19518000.077626355</v>
      </c>
      <c r="EO28" s="14">
        <f t="shared" si="26"/>
        <v>10000000</v>
      </c>
      <c r="EQ28" s="14">
        <v>40000000</v>
      </c>
      <c r="ER28" s="1">
        <f t="shared" si="101"/>
        <v>1</v>
      </c>
      <c r="EX28" s="13"/>
      <c r="EY28" s="13"/>
      <c r="EZ28" s="13"/>
      <c r="FA28" s="16" t="s">
        <v>33</v>
      </c>
      <c r="FB28" s="16">
        <v>43447</v>
      </c>
      <c r="FC28" s="15">
        <v>30784708.455181174</v>
      </c>
      <c r="FD28" s="14">
        <v>20000000</v>
      </c>
      <c r="FF28" s="1">
        <v>9</v>
      </c>
      <c r="FG28" s="1">
        <v>100</v>
      </c>
      <c r="FN28" s="13"/>
      <c r="FO28" s="13"/>
      <c r="FU28" s="13"/>
      <c r="FV28" s="13"/>
      <c r="FW28" s="16" t="s">
        <v>39</v>
      </c>
      <c r="FX28" s="16">
        <v>43811</v>
      </c>
      <c r="FY28" s="15">
        <v>25306949.43994059</v>
      </c>
      <c r="FZ28" s="14">
        <v>12000000</v>
      </c>
      <c r="GB28" s="1">
        <v>8</v>
      </c>
      <c r="GC28" s="1">
        <v>100</v>
      </c>
      <c r="GK28" s="13"/>
      <c r="GL28" s="13"/>
      <c r="GR28" s="13"/>
      <c r="GS28" s="13"/>
      <c r="GT28" s="16" t="s">
        <v>38</v>
      </c>
      <c r="GU28" s="16">
        <v>44175</v>
      </c>
      <c r="GV28" s="15">
        <v>25066381.757373061</v>
      </c>
      <c r="GW28" s="14">
        <v>8000000</v>
      </c>
      <c r="GY28" s="55" t="s">
        <v>89</v>
      </c>
      <c r="GZ28" s="54"/>
      <c r="HG28" s="13"/>
      <c r="HH28" s="13"/>
      <c r="HI28" s="16" t="s">
        <v>35</v>
      </c>
      <c r="HJ28" s="16">
        <v>44539</v>
      </c>
      <c r="HK28" s="15">
        <v>18912447.065977499</v>
      </c>
      <c r="HL28" s="14">
        <v>3000000</v>
      </c>
      <c r="HN28" s="1">
        <v>1</v>
      </c>
      <c r="HO28" s="1">
        <v>4</v>
      </c>
      <c r="HV28" s="13"/>
      <c r="HW28" s="13"/>
      <c r="IC28" s="13"/>
      <c r="ID28" s="13"/>
      <c r="IE28" s="16" t="s">
        <v>37</v>
      </c>
      <c r="IF28" s="16">
        <v>44910</v>
      </c>
      <c r="IG28" s="15">
        <v>50094358.163575552</v>
      </c>
      <c r="IH28" s="14">
        <v>30000000</v>
      </c>
      <c r="IJ28" s="52" t="s">
        <v>42</v>
      </c>
      <c r="IK28" s="52" t="s">
        <v>41</v>
      </c>
      <c r="IR28" s="13"/>
      <c r="IS28" s="13"/>
      <c r="IT28" s="111">
        <v>150</v>
      </c>
      <c r="IU28" s="39">
        <f t="shared" si="87"/>
        <v>188314000</v>
      </c>
      <c r="IV28" s="40"/>
      <c r="IW28" s="39"/>
      <c r="IY28" s="13"/>
      <c r="IZ28" s="13"/>
      <c r="JA28" s="16" t="s">
        <v>115</v>
      </c>
      <c r="JB28" s="16">
        <v>45274</v>
      </c>
      <c r="JC28" s="15">
        <v>41358095.020159096</v>
      </c>
      <c r="JD28" s="14">
        <v>30000000</v>
      </c>
      <c r="JF28" s="55" t="s">
        <v>175</v>
      </c>
      <c r="JG28" s="54"/>
      <c r="JN28" s="13"/>
      <c r="JO28" s="13"/>
      <c r="JP28" s="111">
        <v>150</v>
      </c>
      <c r="JQ28" s="39">
        <f t="shared" si="91"/>
        <v>173618000</v>
      </c>
      <c r="JR28" s="69"/>
      <c r="JS28" s="69"/>
      <c r="JU28" s="13"/>
      <c r="JV28" s="13"/>
      <c r="JW28" s="16" t="s">
        <v>83</v>
      </c>
      <c r="JX28" s="16">
        <v>43083</v>
      </c>
      <c r="JY28" s="15">
        <v>19455150</v>
      </c>
      <c r="JZ28" s="14">
        <v>10000000</v>
      </c>
      <c r="KE28" s="46" t="s">
        <v>82</v>
      </c>
      <c r="KF28" s="46">
        <v>43265</v>
      </c>
      <c r="KG28" s="45">
        <v>11832018</v>
      </c>
      <c r="KH28" s="44">
        <v>3000000</v>
      </c>
      <c r="KJ28" s="55" t="s">
        <v>88</v>
      </c>
      <c r="KK28" s="54"/>
      <c r="KM28" s="16" t="s">
        <v>81</v>
      </c>
      <c r="KN28" s="16">
        <v>43447</v>
      </c>
      <c r="KO28" s="15">
        <v>31849290</v>
      </c>
      <c r="KP28" s="14">
        <v>20000000</v>
      </c>
      <c r="KR28" s="1">
        <v>9</v>
      </c>
      <c r="KS28" s="1">
        <v>100</v>
      </c>
      <c r="KU28" s="16" t="s">
        <v>79</v>
      </c>
      <c r="KV28" s="16">
        <v>43629</v>
      </c>
      <c r="KW28" s="15">
        <v>23176362</v>
      </c>
      <c r="KX28" s="14">
        <v>20000000</v>
      </c>
      <c r="LC28" s="16" t="s">
        <v>78</v>
      </c>
      <c r="LD28" s="16">
        <v>43811</v>
      </c>
      <c r="LE28" s="15">
        <v>26284302</v>
      </c>
      <c r="LF28" s="14">
        <v>12000000</v>
      </c>
      <c r="LH28" s="1">
        <v>7</v>
      </c>
      <c r="LI28" s="1">
        <v>80</v>
      </c>
      <c r="LK28" s="16" t="s">
        <v>77</v>
      </c>
      <c r="LL28" s="16">
        <v>43993</v>
      </c>
      <c r="LM28" s="15">
        <v>25377264</v>
      </c>
      <c r="LN28" s="14">
        <v>8000000</v>
      </c>
      <c r="LS28" s="16" t="s">
        <v>70</v>
      </c>
      <c r="LT28" s="16">
        <v>44175</v>
      </c>
      <c r="LU28" s="15">
        <v>26998686</v>
      </c>
      <c r="LV28" s="14">
        <v>8000000</v>
      </c>
      <c r="MA28" s="16" t="s">
        <v>86</v>
      </c>
      <c r="MB28" s="16">
        <v>44364</v>
      </c>
      <c r="MC28" s="15">
        <v>35461602</v>
      </c>
      <c r="MD28" s="14">
        <v>20000000</v>
      </c>
      <c r="MF28" s="55" t="s">
        <v>86</v>
      </c>
      <c r="MG28" s="54"/>
      <c r="MI28" s="16" t="s">
        <v>69</v>
      </c>
      <c r="MJ28" s="16">
        <v>44539</v>
      </c>
      <c r="MK28" s="15">
        <v>18858048</v>
      </c>
      <c r="ML28" s="14">
        <v>3000000</v>
      </c>
      <c r="MQ28" s="16" t="s">
        <v>76</v>
      </c>
      <c r="MR28" s="16">
        <v>44728</v>
      </c>
      <c r="MS28" s="15">
        <v>42222114</v>
      </c>
      <c r="MT28" s="14">
        <v>20000000</v>
      </c>
      <c r="MV28" s="1">
        <v>2</v>
      </c>
      <c r="MW28" s="1">
        <v>8</v>
      </c>
      <c r="MY28" s="16" t="s">
        <v>34</v>
      </c>
      <c r="MZ28" s="16">
        <v>42999</v>
      </c>
      <c r="NA28" s="15">
        <v>69624500</v>
      </c>
      <c r="NB28" s="14">
        <v>50000000</v>
      </c>
      <c r="ND28" s="55" t="s">
        <v>87</v>
      </c>
      <c r="NE28" s="54"/>
      <c r="NF28"/>
      <c r="NL28" s="13"/>
      <c r="NN28" s="16" t="s">
        <v>33</v>
      </c>
      <c r="NO28" s="16">
        <v>43370</v>
      </c>
      <c r="NP28" s="15">
        <v>12930786</v>
      </c>
      <c r="NQ28" s="14">
        <v>3000000</v>
      </c>
      <c r="NS28" s="1">
        <v>9</v>
      </c>
      <c r="NT28" s="1">
        <v>100</v>
      </c>
      <c r="OA28" s="13"/>
      <c r="OB28" s="1"/>
    </row>
    <row r="29" spans="2:392" x14ac:dyDescent="0.25">
      <c r="B29" s="5"/>
      <c r="C29" s="5"/>
      <c r="D29" s="5"/>
      <c r="F29" s="5" t="s">
        <v>76</v>
      </c>
      <c r="G29" s="51">
        <f t="shared" si="98"/>
        <v>44562</v>
      </c>
      <c r="H29" s="51">
        <f t="shared" si="96"/>
        <v>44742</v>
      </c>
      <c r="I29" s="50">
        <f t="shared" si="97"/>
        <v>26</v>
      </c>
      <c r="K29" s="7">
        <v>25</v>
      </c>
      <c r="M29" s="5" t="str" cm="1">
        <f t="array" ref="M29">LOOKUP(2,1/($G$19:$G$35&lt;=$V29)/($H$19:$H$35&gt;=$V29),$F$19:$F$35)</f>
        <v>2H17</v>
      </c>
      <c r="N29" s="5" t="str" cm="1">
        <f t="array" ref="N29">LOOKUP(2,1/($G$8:$G$16&lt;=$V29)/($H$8:$H$16&gt;=$V29),$F$8:$F$16)</f>
        <v>FY17</v>
      </c>
      <c r="O29" s="5" t="str">
        <f>IFERROR(N29&amp;"-"&amp;COUNTIF($N$5:N29,N29),NA())</f>
        <v>FY17-25</v>
      </c>
      <c r="P29" s="5">
        <f>COUNTIF(V$5:V29,"&gt;="&amp;MAX($V:$V)-183)</f>
        <v>0</v>
      </c>
      <c r="Q29" s="5">
        <f>COUNTIF(V$5:V29,"&gt;="&amp;MAX($V:$V)-365)</f>
        <v>0</v>
      </c>
      <c r="R29" s="5" cm="1">
        <f t="array" ref="R29">LOOKUP(2,1/($G$46:$G$50&lt;=$V29)/($H$46:$H$50&gt;=$V29),$F$46:$F$50)</f>
        <v>0</v>
      </c>
      <c r="S29" s="5" cm="1">
        <f t="array" ref="S29">LOOKUP(2,1/($G$53:$G$56&lt;=$V29)/($H$53:$H$56&gt;=$V29),$F$53:$F$56)</f>
        <v>0</v>
      </c>
      <c r="T29" s="5" t="e">
        <f>IFERROR(IF($R29&gt;0,$R29&amp;"-"&amp;COUNTIF($R$5:$R29,$R29),NA()),NA())</f>
        <v>#N/A</v>
      </c>
      <c r="U29" s="5" t="e">
        <f>IFERROR(IF($S29&gt;0,$S29&amp;"-"&amp;COUNTIF($S$5:$S29,$S29),NA()),NA())</f>
        <v>#N/A</v>
      </c>
      <c r="V29" s="10">
        <v>42908</v>
      </c>
      <c r="W29" s="9">
        <v>12838852.497843711</v>
      </c>
      <c r="X29" s="9">
        <v>11927935.913121698</v>
      </c>
      <c r="Y29" s="8">
        <v>3000000</v>
      </c>
      <c r="AA29" s="48">
        <f t="shared" si="46"/>
        <v>25</v>
      </c>
      <c r="AB29" s="12">
        <f t="shared" si="0"/>
        <v>45456</v>
      </c>
      <c r="AC29" s="15">
        <f t="shared" si="1"/>
        <v>41109275.79819113</v>
      </c>
      <c r="AD29" s="14">
        <f t="shared" si="2"/>
        <v>20000000</v>
      </c>
      <c r="AF29" s="52" t="s">
        <v>42</v>
      </c>
      <c r="AG29" s="52" t="s">
        <v>41</v>
      </c>
      <c r="AI29" s="2" t="s">
        <v>41</v>
      </c>
      <c r="AJ29" s="2" t="s">
        <v>25</v>
      </c>
      <c r="AN29" s="13"/>
      <c r="AO29" s="13"/>
      <c r="AP29" s="2" t="s">
        <v>41</v>
      </c>
      <c r="AQ29" s="2" t="s">
        <v>25</v>
      </c>
      <c r="AU29" s="13"/>
      <c r="AW29" s="48">
        <f t="shared" si="47"/>
        <v>25</v>
      </c>
      <c r="AX29" s="12">
        <f t="shared" si="4"/>
        <v>45274</v>
      </c>
      <c r="AY29" s="15">
        <f t="shared" si="5"/>
        <v>41358095.020159096</v>
      </c>
      <c r="AZ29" s="14">
        <f t="shared" si="48"/>
        <v>30000000</v>
      </c>
      <c r="BI29" s="2" t="s">
        <v>41</v>
      </c>
      <c r="BJ29" s="2" t="s">
        <v>25</v>
      </c>
      <c r="BN29" s="13"/>
      <c r="BO29" s="13"/>
      <c r="BP29" s="40">
        <v>240</v>
      </c>
      <c r="BQ29" s="39">
        <f t="shared" si="102"/>
        <v>277253999.99999994</v>
      </c>
      <c r="BR29" s="110">
        <v>0.25</v>
      </c>
      <c r="BS29" s="39">
        <f t="shared" si="105"/>
        <v>346567499.99999994</v>
      </c>
      <c r="BU29" s="13"/>
      <c r="BW29" s="48" t="e">
        <f t="shared" si="8"/>
        <v>#N/A</v>
      </c>
      <c r="BX29" s="12" t="e">
        <f t="shared" si="9"/>
        <v>#N/A</v>
      </c>
      <c r="BY29" s="15" t="e">
        <f t="shared" si="10"/>
        <v>#N/A</v>
      </c>
      <c r="BZ29" s="14" t="e">
        <f t="shared" si="11"/>
        <v>#N/A</v>
      </c>
      <c r="CE29" s="2" t="s">
        <v>41</v>
      </c>
      <c r="CF29" s="2" t="s">
        <v>25</v>
      </c>
      <c r="CJ29" s="13"/>
      <c r="CK29" s="13"/>
      <c r="CL29" s="48" t="e">
        <f t="shared" si="12"/>
        <v>#N/A</v>
      </c>
      <c r="CM29" s="12" t="e">
        <f t="shared" si="13"/>
        <v>#N/A</v>
      </c>
      <c r="CN29" s="49" t="e">
        <f t="shared" si="14"/>
        <v>#N/A</v>
      </c>
      <c r="CO29" s="49" t="e">
        <f t="shared" si="15"/>
        <v>#N/A</v>
      </c>
      <c r="CQ29" s="61">
        <f t="shared" si="100"/>
        <v>6.4269482250826737E-2</v>
      </c>
      <c r="CT29" s="2" t="s">
        <v>41</v>
      </c>
      <c r="CU29" s="2" t="s">
        <v>25</v>
      </c>
      <c r="CY29" s="13"/>
      <c r="DA29" s="48" t="e">
        <f t="shared" si="16"/>
        <v>#N/A</v>
      </c>
      <c r="DB29" s="12" t="e">
        <f t="shared" si="17"/>
        <v>#N/A</v>
      </c>
      <c r="DC29" s="15" t="e">
        <f t="shared" si="18"/>
        <v>#N/A</v>
      </c>
      <c r="DD29" s="14" t="e">
        <f t="shared" si="19"/>
        <v>#N/A</v>
      </c>
      <c r="DI29" s="2" t="s">
        <v>41</v>
      </c>
      <c r="DJ29" s="2" t="s">
        <v>25</v>
      </c>
      <c r="DN29" s="13"/>
      <c r="DO29" s="13"/>
      <c r="DP29" s="48" t="e">
        <f t="shared" si="20"/>
        <v>#N/A</v>
      </c>
      <c r="DQ29" s="12" t="e">
        <f t="shared" si="21"/>
        <v>#N/A</v>
      </c>
      <c r="DR29" s="15" t="e">
        <f t="shared" si="22"/>
        <v>#N/A</v>
      </c>
      <c r="DS29" s="14" t="e">
        <f t="shared" si="23"/>
        <v>#N/A</v>
      </c>
      <c r="DU29" s="61">
        <f t="shared" si="104"/>
        <v>0.29616329856999157</v>
      </c>
      <c r="DX29" s="2" t="s">
        <v>41</v>
      </c>
      <c r="DY29" s="2" t="s">
        <v>25</v>
      </c>
      <c r="EC29" s="13"/>
      <c r="ED29" s="13"/>
      <c r="EE29" s="2" t="s">
        <v>41</v>
      </c>
      <c r="EF29" s="2" t="s">
        <v>25</v>
      </c>
      <c r="EJ29" s="13"/>
      <c r="EK29" s="13"/>
      <c r="EL29" s="47" t="str">
        <f t="shared" si="25"/>
        <v>FY18-25</v>
      </c>
      <c r="EM29" s="16">
        <v>43090</v>
      </c>
      <c r="EN29" s="15">
        <v>23423034.712782472</v>
      </c>
      <c r="EO29" s="14">
        <f t="shared" si="26"/>
        <v>15000000</v>
      </c>
      <c r="EQ29" s="14">
        <v>50000000</v>
      </c>
      <c r="ER29" s="1">
        <f t="shared" si="101"/>
        <v>1</v>
      </c>
      <c r="ET29" s="2" t="s">
        <v>41</v>
      </c>
      <c r="EU29" s="2" t="s">
        <v>25</v>
      </c>
      <c r="EX29" s="13"/>
      <c r="EY29" s="13"/>
      <c r="EZ29" s="13"/>
      <c r="FA29" s="16" t="s">
        <v>33</v>
      </c>
      <c r="FB29" s="16">
        <v>43454</v>
      </c>
      <c r="FC29" s="15">
        <v>32972327.018436104</v>
      </c>
      <c r="FD29" s="14">
        <v>25000000</v>
      </c>
      <c r="FI29" s="2" t="s">
        <v>41</v>
      </c>
      <c r="FJ29" s="2" t="s">
        <v>25</v>
      </c>
      <c r="FN29" s="13"/>
      <c r="FO29" s="13"/>
      <c r="FP29" s="2" t="s">
        <v>41</v>
      </c>
      <c r="FQ29" s="2" t="s">
        <v>25</v>
      </c>
      <c r="FU29" s="13"/>
      <c r="FV29" s="13"/>
      <c r="FW29" s="16" t="s">
        <v>39</v>
      </c>
      <c r="FX29" s="16">
        <v>43818</v>
      </c>
      <c r="FY29" s="15">
        <v>25742781.855312832</v>
      </c>
      <c r="FZ29" s="14">
        <v>15000000</v>
      </c>
      <c r="GB29" s="1">
        <v>9</v>
      </c>
      <c r="GC29" s="1">
        <v>150</v>
      </c>
      <c r="GF29" s="2" t="s">
        <v>41</v>
      </c>
      <c r="GG29" s="2" t="s">
        <v>25</v>
      </c>
      <c r="GK29" s="13"/>
      <c r="GL29" s="13"/>
      <c r="GM29" s="2" t="s">
        <v>41</v>
      </c>
      <c r="GN29" s="2" t="s">
        <v>25</v>
      </c>
      <c r="GR29" s="13"/>
      <c r="GS29" s="13"/>
      <c r="GT29" s="16" t="s">
        <v>38</v>
      </c>
      <c r="GU29" s="16">
        <v>44182</v>
      </c>
      <c r="GV29" s="15">
        <v>40397165.825478874</v>
      </c>
      <c r="GW29" s="14">
        <v>20000000</v>
      </c>
      <c r="GY29" s="52" t="s">
        <v>42</v>
      </c>
      <c r="GZ29" s="52" t="s">
        <v>41</v>
      </c>
      <c r="HB29" s="2" t="s">
        <v>41</v>
      </c>
      <c r="HC29" s="2" t="s">
        <v>25</v>
      </c>
      <c r="HG29" s="13"/>
      <c r="HH29" s="13"/>
      <c r="HI29" s="16" t="s">
        <v>35</v>
      </c>
      <c r="HJ29" s="16">
        <v>44546</v>
      </c>
      <c r="HK29" s="15">
        <v>26709691.456369717</v>
      </c>
      <c r="HL29" s="14">
        <v>8000000</v>
      </c>
      <c r="HN29" s="1">
        <v>2</v>
      </c>
      <c r="HO29" s="1">
        <v>8</v>
      </c>
      <c r="HQ29" s="2" t="s">
        <v>41</v>
      </c>
      <c r="HR29" s="2" t="s">
        <v>25</v>
      </c>
      <c r="HV29" s="13"/>
      <c r="HW29" s="13"/>
      <c r="HX29" s="2" t="s">
        <v>41</v>
      </c>
      <c r="HY29" s="2" t="s">
        <v>25</v>
      </c>
      <c r="IC29" s="13"/>
      <c r="ID29" s="13"/>
      <c r="IE29" s="16" t="s">
        <v>37</v>
      </c>
      <c r="IF29" s="16">
        <v>44917</v>
      </c>
      <c r="IG29" s="15">
        <v>75733957.798723027</v>
      </c>
      <c r="IH29" s="14">
        <v>50000000</v>
      </c>
      <c r="IJ29" s="1">
        <v>1</v>
      </c>
      <c r="IK29" s="1">
        <v>4</v>
      </c>
      <c r="IM29" s="2" t="s">
        <v>41</v>
      </c>
      <c r="IN29" s="2" t="s">
        <v>25</v>
      </c>
      <c r="IR29" s="13"/>
      <c r="IS29" s="13"/>
      <c r="IT29" s="111">
        <v>160</v>
      </c>
      <c r="IU29" s="39">
        <f t="shared" si="87"/>
        <v>199769999.99999997</v>
      </c>
      <c r="IV29" s="40"/>
      <c r="IW29" s="39"/>
      <c r="IY29" s="13"/>
      <c r="IZ29" s="13"/>
      <c r="JA29" s="16" t="s">
        <v>115</v>
      </c>
      <c r="JB29" s="16">
        <v>45281</v>
      </c>
      <c r="JC29" s="15">
        <v>23530717.990628749</v>
      </c>
      <c r="JD29" s="14">
        <v>8000000</v>
      </c>
      <c r="JF29" s="52" t="s">
        <v>42</v>
      </c>
      <c r="JG29" s="52" t="s">
        <v>41</v>
      </c>
      <c r="JI29" s="100" t="s">
        <v>41</v>
      </c>
      <c r="JJ29" s="2" t="s">
        <v>25</v>
      </c>
      <c r="JN29" s="13"/>
      <c r="JO29" s="13"/>
      <c r="JP29" s="111">
        <v>160</v>
      </c>
      <c r="JQ29" s="39">
        <f t="shared" si="91"/>
        <v>184071000</v>
      </c>
      <c r="JR29" s="69"/>
      <c r="JS29" s="69"/>
      <c r="JU29" s="13"/>
      <c r="JV29" s="13"/>
      <c r="JW29" s="16" t="s">
        <v>83</v>
      </c>
      <c r="JX29" s="16">
        <v>43090</v>
      </c>
      <c r="JY29" s="15">
        <v>23347610</v>
      </c>
      <c r="JZ29" s="14">
        <v>15000000</v>
      </c>
      <c r="KE29" s="46" t="s">
        <v>82</v>
      </c>
      <c r="KF29" s="46">
        <v>43272</v>
      </c>
      <c r="KG29" s="45">
        <v>11013750</v>
      </c>
      <c r="KH29" s="44">
        <v>3000000</v>
      </c>
      <c r="KJ29" s="52" t="s">
        <v>42</v>
      </c>
      <c r="KK29" s="52" t="s">
        <v>41</v>
      </c>
      <c r="KM29" s="16" t="s">
        <v>81</v>
      </c>
      <c r="KN29" s="16">
        <v>43454</v>
      </c>
      <c r="KO29" s="15">
        <v>32226612</v>
      </c>
      <c r="KP29" s="14">
        <v>25000000</v>
      </c>
      <c r="KU29" s="16" t="s">
        <v>79</v>
      </c>
      <c r="KV29" s="16">
        <v>43636</v>
      </c>
      <c r="KW29" s="15">
        <v>29148900</v>
      </c>
      <c r="KX29" s="14">
        <v>30000000</v>
      </c>
      <c r="LC29" s="16" t="s">
        <v>78</v>
      </c>
      <c r="LD29" s="16">
        <v>43818</v>
      </c>
      <c r="LE29" s="15">
        <v>25968888</v>
      </c>
      <c r="LF29" s="14">
        <v>15000000</v>
      </c>
      <c r="LH29" s="1">
        <v>8</v>
      </c>
      <c r="LI29" s="1">
        <v>100</v>
      </c>
      <c r="LK29" s="16" t="s">
        <v>77</v>
      </c>
      <c r="LL29" s="16">
        <v>44000</v>
      </c>
      <c r="LM29" s="15">
        <v>30338154</v>
      </c>
      <c r="LN29" s="14">
        <v>15000000</v>
      </c>
      <c r="LS29" s="16" t="s">
        <v>70</v>
      </c>
      <c r="LT29" s="16">
        <v>44182</v>
      </c>
      <c r="LU29" s="15">
        <v>42468030</v>
      </c>
      <c r="LV29" s="14">
        <v>20000000</v>
      </c>
      <c r="MA29" s="16" t="s">
        <v>86</v>
      </c>
      <c r="MB29" s="16">
        <v>44371</v>
      </c>
      <c r="MC29" s="15">
        <v>54940182</v>
      </c>
      <c r="MD29" s="14">
        <v>40000000</v>
      </c>
      <c r="MF29" s="52" t="s">
        <v>42</v>
      </c>
      <c r="MG29" s="52" t="s">
        <v>41</v>
      </c>
      <c r="MI29" s="16" t="s">
        <v>69</v>
      </c>
      <c r="MJ29" s="16">
        <v>44546</v>
      </c>
      <c r="MK29" s="15">
        <v>25826988</v>
      </c>
      <c r="ML29" s="14">
        <v>8000000</v>
      </c>
      <c r="MQ29" s="16" t="s">
        <v>76</v>
      </c>
      <c r="MR29" s="16">
        <v>44735</v>
      </c>
      <c r="MS29" s="15">
        <v>59448576</v>
      </c>
      <c r="MT29" s="14">
        <v>40000000</v>
      </c>
      <c r="MV29" s="1">
        <v>3</v>
      </c>
      <c r="MW29" s="1">
        <v>20</v>
      </c>
      <c r="MY29" s="16" t="s">
        <v>34</v>
      </c>
      <c r="MZ29" s="16">
        <v>43006</v>
      </c>
      <c r="NA29" s="15">
        <v>14266890</v>
      </c>
      <c r="NB29" s="14">
        <v>3000000</v>
      </c>
      <c r="ND29" s="52" t="s">
        <v>42</v>
      </c>
      <c r="NE29" s="52" t="s">
        <v>41</v>
      </c>
      <c r="NF29"/>
      <c r="NG29" s="2" t="s">
        <v>41</v>
      </c>
      <c r="NH29" s="2" t="s">
        <v>25</v>
      </c>
      <c r="NL29" s="13"/>
      <c r="NN29" s="16" t="s">
        <v>33</v>
      </c>
      <c r="NO29" s="16">
        <v>43377</v>
      </c>
      <c r="NP29" s="15">
        <v>18459936</v>
      </c>
      <c r="NQ29" s="14">
        <v>8000000</v>
      </c>
      <c r="NV29" s="2" t="s">
        <v>41</v>
      </c>
      <c r="NW29" s="2" t="s">
        <v>25</v>
      </c>
      <c r="OA29" s="13"/>
      <c r="OB29" s="1"/>
    </row>
    <row r="30" spans="2:392" x14ac:dyDescent="0.2">
      <c r="B30" s="5"/>
      <c r="C30" s="5"/>
      <c r="D30" s="5"/>
      <c r="F30" s="5" t="s">
        <v>85</v>
      </c>
      <c r="G30" s="51">
        <f t="shared" si="98"/>
        <v>44743</v>
      </c>
      <c r="H30" s="51">
        <f t="shared" si="96"/>
        <v>44926</v>
      </c>
      <c r="I30" s="50">
        <f t="shared" si="97"/>
        <v>26</v>
      </c>
      <c r="K30" s="7">
        <v>26</v>
      </c>
      <c r="M30" s="5" t="str" cm="1">
        <f t="array" ref="M30">LOOKUP(2,1/($G$19:$G$35&lt;=$V30)/($H$19:$H$35&gt;=$V30),$F$19:$F$35)</f>
        <v>2H17</v>
      </c>
      <c r="N30" s="5" t="str" cm="1">
        <f t="array" ref="N30">LOOKUP(2,1/($G$8:$G$16&lt;=$V30)/($H$8:$H$16&gt;=$V30),$F$8:$F$16)</f>
        <v>FY17</v>
      </c>
      <c r="O30" s="5" t="str">
        <f>IFERROR(N30&amp;"-"&amp;COUNTIF($N$5:N30,N30),NA())</f>
        <v>FY17-26</v>
      </c>
      <c r="P30" s="5">
        <f>COUNTIF(V$5:V30,"&gt;="&amp;MAX($V:$V)-183)</f>
        <v>0</v>
      </c>
      <c r="Q30" s="5">
        <f>COUNTIF(V$5:V30,"&gt;="&amp;MAX($V:$V)-365)</f>
        <v>0</v>
      </c>
      <c r="R30" s="5" cm="1">
        <f t="array" ref="R30">LOOKUP(2,1/($G$46:$G$50&lt;=$V30)/($H$46:$H$50&gt;=$V30),$F$46:$F$50)</f>
        <v>0</v>
      </c>
      <c r="S30" s="5" cm="1">
        <f t="array" ref="S30">LOOKUP(2,1/($G$53:$G$56&lt;=$V30)/($H$53:$H$56&gt;=$V30),$F$53:$F$56)</f>
        <v>0</v>
      </c>
      <c r="T30" s="5" t="e">
        <f>IFERROR(IF($R30&gt;0,$R30&amp;"-"&amp;COUNTIF($R$5:$R30,$R30),NA()),NA())</f>
        <v>#N/A</v>
      </c>
      <c r="U30" s="5" t="e">
        <f>IFERROR(IF($S30&gt;0,$S30&amp;"-"&amp;COUNTIF($S$5:$S30,$S30),NA()),NA())</f>
        <v>#N/A</v>
      </c>
      <c r="V30" s="10">
        <v>42915</v>
      </c>
      <c r="W30" s="9">
        <v>17732450.414007243</v>
      </c>
      <c r="X30" s="9">
        <v>16474333.057133427</v>
      </c>
      <c r="Y30" s="8">
        <v>6000000</v>
      </c>
      <c r="AA30" s="48">
        <f t="shared" si="46"/>
        <v>26</v>
      </c>
      <c r="AB30" s="12">
        <f t="shared" si="0"/>
        <v>45463</v>
      </c>
      <c r="AC30" s="15">
        <f t="shared" si="1"/>
        <v>55077120.627656102</v>
      </c>
      <c r="AD30" s="14">
        <f t="shared" si="2"/>
        <v>40000000</v>
      </c>
      <c r="AF30" s="1">
        <v>1</v>
      </c>
      <c r="AG30" s="1">
        <v>8</v>
      </c>
      <c r="AI30" s="40">
        <v>60</v>
      </c>
      <c r="AJ30" s="39">
        <f t="shared" ref="AJ30:AJ44" si="106">($AJ$27*AI30^2+$AK$27*AI30+$AL$27)*1000000</f>
        <v>92387000</v>
      </c>
      <c r="AK30" s="40">
        <v>210</v>
      </c>
      <c r="AL30" s="39">
        <f t="shared" ref="AL30:AL44" si="107">($AJ$27*AK30^2+$AK$27*AK30+$AL$27)*1000000</f>
        <v>443162000</v>
      </c>
      <c r="AN30" s="13"/>
      <c r="AO30" s="13"/>
      <c r="AP30" s="40">
        <v>60</v>
      </c>
      <c r="AQ30" s="39">
        <f t="shared" ref="AQ30:AQ44" si="108">($AQ$27*AP30^2+$AR$27*AP30+$AS$27)*1000000</f>
        <v>79744000.000000015</v>
      </c>
      <c r="AR30" s="40">
        <v>210</v>
      </c>
      <c r="AS30" s="39">
        <f t="shared" ref="AS30:AS44" si="109">($AQ$27*AR30^2+$AR$27*AR30+$AS$27)*1000000</f>
        <v>113569000.00000001</v>
      </c>
      <c r="AU30" s="13"/>
      <c r="AW30" s="48">
        <f t="shared" si="47"/>
        <v>26</v>
      </c>
      <c r="AX30" s="12">
        <f t="shared" si="4"/>
        <v>45281</v>
      </c>
      <c r="AY30" s="15">
        <f t="shared" si="5"/>
        <v>23530717.990628749</v>
      </c>
      <c r="AZ30" s="14">
        <f t="shared" si="48"/>
        <v>8000000</v>
      </c>
      <c r="BB30" s="55" t="s">
        <v>15</v>
      </c>
      <c r="BC30" s="54"/>
      <c r="BD30" s="54"/>
      <c r="BE30" s="54"/>
      <c r="BF30" s="54"/>
      <c r="BG30" s="54"/>
      <c r="BI30" s="40">
        <v>60</v>
      </c>
      <c r="BJ30" s="39">
        <f t="shared" ref="BJ30:BJ44" si="110">($BJ$27*BI30^2+$BK$27*BI30+$BL$27)*1000000</f>
        <v>89324000</v>
      </c>
      <c r="BK30" s="40">
        <v>210</v>
      </c>
      <c r="BL30" s="39">
        <f t="shared" ref="BL30:BL44" si="111">($BJ$27*BK30^2+$BK$27*BK30+$BL$27)*1000000</f>
        <v>476519000</v>
      </c>
      <c r="BN30" s="13"/>
      <c r="BO30" s="13"/>
      <c r="BP30" s="40">
        <v>350</v>
      </c>
      <c r="BQ30" s="39">
        <f t="shared" si="102"/>
        <v>396736000</v>
      </c>
      <c r="BR30" s="110">
        <v>0.25</v>
      </c>
      <c r="BS30" s="39">
        <f t="shared" si="105"/>
        <v>495920000</v>
      </c>
      <c r="BU30" s="13"/>
      <c r="BW30" s="48" t="e">
        <f t="shared" si="8"/>
        <v>#N/A</v>
      </c>
      <c r="BX30" s="12" t="e">
        <f t="shared" si="9"/>
        <v>#N/A</v>
      </c>
      <c r="BY30" s="15" t="e">
        <f t="shared" si="10"/>
        <v>#N/A</v>
      </c>
      <c r="BZ30" s="14" t="e">
        <f t="shared" si="11"/>
        <v>#N/A</v>
      </c>
      <c r="CE30" s="40">
        <v>60</v>
      </c>
      <c r="CF30" s="39">
        <f t="shared" ref="CF30:CF44" si="112">($CF$27*CE30^2+$CG$27*CE30+$CH$27)*1000000</f>
        <v>85381999.999999985</v>
      </c>
      <c r="CG30" s="40">
        <v>210</v>
      </c>
      <c r="CH30" s="39">
        <f t="shared" ref="CH30:CH44" si="113">($CF$27*CG30^2+$CG$27*CG30+$CH$27)*1000000</f>
        <v>140177000</v>
      </c>
      <c r="CJ30" s="13"/>
      <c r="CK30" s="13"/>
      <c r="CL30" s="48" t="e">
        <f t="shared" si="12"/>
        <v>#N/A</v>
      </c>
      <c r="CM30" s="12" t="e">
        <f t="shared" si="13"/>
        <v>#N/A</v>
      </c>
      <c r="CN30" s="49" t="e">
        <f t="shared" si="14"/>
        <v>#N/A</v>
      </c>
      <c r="CO30" s="49" t="e">
        <f t="shared" si="15"/>
        <v>#N/A</v>
      </c>
      <c r="CQ30" s="61">
        <f t="shared" si="100"/>
        <v>6.2562465504124587E-2</v>
      </c>
      <c r="CT30" s="40">
        <v>60</v>
      </c>
      <c r="CU30" s="39">
        <f t="shared" ref="CU30:CU44" si="114">($CU$27*CT30^2+$CV$27*CT30+$CW$27)*1000000</f>
        <v>85381999.999999985</v>
      </c>
      <c r="CV30" s="40">
        <v>210</v>
      </c>
      <c r="CW30" s="39">
        <f t="shared" ref="CW30:CW44" si="115">($CU$27*CV30^2+$CV$27*CV30+$CW$27)*1000000</f>
        <v>140177000</v>
      </c>
      <c r="CY30" s="13"/>
      <c r="DA30" s="48" t="e">
        <f t="shared" si="16"/>
        <v>#N/A</v>
      </c>
      <c r="DB30" s="12" t="e">
        <f t="shared" si="17"/>
        <v>#N/A</v>
      </c>
      <c r="DC30" s="15" t="e">
        <f t="shared" si="18"/>
        <v>#N/A</v>
      </c>
      <c r="DD30" s="14" t="e">
        <f t="shared" si="19"/>
        <v>#N/A</v>
      </c>
      <c r="DI30" s="40">
        <v>60</v>
      </c>
      <c r="DJ30" s="39">
        <f t="shared" ref="DJ30:DJ44" si="116">($DJ$27*DI30^2+$DK$27*DI30+$DL$27)*1000000</f>
        <v>85381999.999999985</v>
      </c>
      <c r="DK30" s="40">
        <v>210</v>
      </c>
      <c r="DL30" s="39">
        <f t="shared" ref="DL30:DL44" si="117">($DJ$27*DK30^2+$DK$27*DK30+$DL$27)*1000000</f>
        <v>140177000</v>
      </c>
      <c r="DN30" s="13"/>
      <c r="DO30" s="13"/>
      <c r="DP30" s="48" t="e">
        <f t="shared" si="20"/>
        <v>#N/A</v>
      </c>
      <c r="DQ30" s="12" t="e">
        <f t="shared" si="21"/>
        <v>#N/A</v>
      </c>
      <c r="DR30" s="15" t="e">
        <f t="shared" si="22"/>
        <v>#N/A</v>
      </c>
      <c r="DS30" s="14" t="e">
        <f t="shared" si="23"/>
        <v>#N/A</v>
      </c>
      <c r="DU30" s="61">
        <f t="shared" si="104"/>
        <v>0.29891492955139642</v>
      </c>
      <c r="DX30" s="40">
        <v>60</v>
      </c>
      <c r="DY30" s="39">
        <f t="shared" ref="DY30:DY44" si="118">($CU$27*DX30^2+$CV$27*DX30+$CW$27)*1000000</f>
        <v>85381999.999999985</v>
      </c>
      <c r="DZ30" s="40">
        <v>210</v>
      </c>
      <c r="EA30" s="39">
        <f t="shared" ref="EA30:EA44" si="119">($CU$27*DZ30^2+$CV$27*DZ30+$CW$27)*1000000</f>
        <v>140177000</v>
      </c>
      <c r="EC30" s="13"/>
      <c r="ED30" s="13"/>
      <c r="EE30" s="40">
        <v>60</v>
      </c>
      <c r="EF30" s="39">
        <f t="shared" ref="EF30:EF44" si="120">($GN$27*EE30^2+$GO$27*EE30+$GP$27)*1000000</f>
        <v>62841000</v>
      </c>
      <c r="EG30" s="40">
        <v>210</v>
      </c>
      <c r="EH30" s="39">
        <f t="shared" ref="EH30:EH44" si="121">($GN$27*EG30^2+$GO$27*EG30+$GP$27)*1000000</f>
        <v>140076000</v>
      </c>
      <c r="EJ30" s="13"/>
      <c r="EK30" s="13"/>
      <c r="EL30" s="47" t="str">
        <f t="shared" si="25"/>
        <v>FY18-26</v>
      </c>
      <c r="EM30" s="16">
        <v>43097</v>
      </c>
      <c r="EN30" s="15">
        <v>27652624.450577881</v>
      </c>
      <c r="EO30" s="14">
        <f t="shared" si="26"/>
        <v>25000000</v>
      </c>
      <c r="EQ30" s="14">
        <v>55000000</v>
      </c>
      <c r="ER30" s="1">
        <f t="shared" si="101"/>
        <v>1</v>
      </c>
      <c r="ET30" s="40">
        <v>60</v>
      </c>
      <c r="EU30" s="39">
        <f t="shared" ref="EU30:EU44" si="122">($EU$27*ET30^2+$EV$27*ET30+$EW$27)*1000000</f>
        <v>81674000</v>
      </c>
      <c r="EV30" s="40">
        <v>210</v>
      </c>
      <c r="EW30" s="39">
        <f t="shared" ref="EW30:EW44" si="123">($EU$27*EV30^2+$EV$27*EV30+$EW$27)*1000000</f>
        <v>511109000</v>
      </c>
      <c r="EX30" s="13"/>
      <c r="EY30" s="13"/>
      <c r="EZ30" s="13"/>
      <c r="FA30" s="16" t="s">
        <v>33</v>
      </c>
      <c r="FB30" s="16">
        <v>43461</v>
      </c>
      <c r="FC30" s="15">
        <v>36354827.972027965</v>
      </c>
      <c r="FD30" s="14">
        <v>30000000</v>
      </c>
      <c r="FF30" s="1" t="s">
        <v>84</v>
      </c>
      <c r="FI30" s="40">
        <v>60</v>
      </c>
      <c r="FJ30" s="39">
        <f t="shared" ref="FJ30:FJ44" si="124">($FJ$27*FI30^2+$FK$27*FI30+$FL$27)*1000000</f>
        <v>73377000</v>
      </c>
      <c r="FK30" s="40">
        <v>210</v>
      </c>
      <c r="FL30" s="39">
        <f t="shared" ref="FL30:FL44" si="125">($FJ$27*FK30^2+$FK$27*FK30+$FL$27)*1000000</f>
        <v>614426999.99999988</v>
      </c>
      <c r="FN30" s="13"/>
      <c r="FO30" s="13"/>
      <c r="FP30" s="40">
        <v>60</v>
      </c>
      <c r="FQ30" s="39">
        <f t="shared" ref="FQ30:FQ44" si="126">($FQ$27*FP30^2+$FR$27*FP30+$FS$27)*1000000</f>
        <v>69437000</v>
      </c>
      <c r="FR30" s="40">
        <v>210</v>
      </c>
      <c r="FS30" s="39">
        <f t="shared" ref="FS30:FS44" si="127">($FQ$27*FR30^2+$FR$27*FR30+$FS$27)*1000000</f>
        <v>427592000.00000006</v>
      </c>
      <c r="FU30" s="13"/>
      <c r="FV30" s="13"/>
      <c r="FW30" s="16" t="s">
        <v>39</v>
      </c>
      <c r="FX30" s="16">
        <v>43825</v>
      </c>
      <c r="FY30" s="15">
        <v>25073378.303112816</v>
      </c>
      <c r="FZ30" s="14">
        <v>20000000</v>
      </c>
      <c r="GF30" s="40">
        <v>60</v>
      </c>
      <c r="GG30" s="39">
        <f t="shared" ref="GG30:GG44" si="128">($GG$27*GF30^2+$GH$27*GF30+$GI$27)*1000000</f>
        <v>64828000</v>
      </c>
      <c r="GH30" s="40">
        <v>210</v>
      </c>
      <c r="GI30" s="39">
        <f t="shared" ref="GI30:GI44" si="129">($GG$27*GH30^2+$GH$27*GH30+$GI$27)*1000000</f>
        <v>346842999.99999994</v>
      </c>
      <c r="GK30" s="13"/>
      <c r="GL30" s="13"/>
      <c r="GM30" s="40">
        <v>60</v>
      </c>
      <c r="GN30" s="39">
        <f t="shared" ref="GN30:GN44" si="130">($GN$27*GM30^2+$GO$27*GM30+$GP$27)*1000000</f>
        <v>62841000</v>
      </c>
      <c r="GO30" s="40">
        <v>210</v>
      </c>
      <c r="GP30" s="39">
        <f t="shared" ref="GP30:GP44" si="131">($GN$27*GO30^2+$GO$27*GO30+$GP$27)*1000000</f>
        <v>140076000</v>
      </c>
      <c r="GR30" s="13"/>
      <c r="GS30" s="13"/>
      <c r="GT30" s="16" t="s">
        <v>38</v>
      </c>
      <c r="GU30" s="16">
        <v>44189</v>
      </c>
      <c r="GV30" s="15">
        <v>19022130.495591365</v>
      </c>
      <c r="GW30" s="14">
        <v>3000000</v>
      </c>
      <c r="GY30" s="1">
        <v>1</v>
      </c>
      <c r="GZ30" s="1">
        <v>8</v>
      </c>
      <c r="HB30" s="40">
        <v>60</v>
      </c>
      <c r="HC30" s="39">
        <f t="shared" ref="HC30:HC44" si="132">($HC$27*HB30^2+$HD$27*HB30+$HE$27)*1000000</f>
        <v>84583000</v>
      </c>
      <c r="HD30" s="40">
        <v>210</v>
      </c>
      <c r="HE30" s="39">
        <f t="shared" ref="HE30:HE44" si="133">($HC$27*HD30^2+$HD$27*HD30+$HE$27)*1000000</f>
        <v>328633000</v>
      </c>
      <c r="HG30" s="13"/>
      <c r="HH30" s="13"/>
      <c r="HI30" s="16" t="s">
        <v>35</v>
      </c>
      <c r="HJ30" s="16">
        <v>44553</v>
      </c>
      <c r="HK30" s="15">
        <v>40654796.959562175</v>
      </c>
      <c r="HL30" s="14">
        <v>20000000</v>
      </c>
      <c r="HN30" s="1">
        <v>3</v>
      </c>
      <c r="HO30" s="1">
        <v>20</v>
      </c>
      <c r="HQ30" s="40">
        <v>60</v>
      </c>
      <c r="HR30" s="39">
        <f t="shared" ref="HR30:HR44" si="134">($HR$27*HQ30^2+$HS$27*HQ30+$HT$27)*1000000</f>
        <v>86029000</v>
      </c>
      <c r="HS30" s="40">
        <v>210</v>
      </c>
      <c r="HT30" s="39">
        <f t="shared" ref="HT30:HT44" si="135">($HR$27*HS30^2+$HS$27*HS30+$HT$27)*1000000</f>
        <v>618484000</v>
      </c>
      <c r="HV30" s="13"/>
      <c r="HW30" s="13"/>
      <c r="HX30" s="40">
        <v>60</v>
      </c>
      <c r="HY30" s="39">
        <f t="shared" ref="HY30:HY44" si="136">($HY$27*HX30^2+$HZ$27*HX30+$IA$27)*1000000</f>
        <v>83581000</v>
      </c>
      <c r="HZ30" s="40">
        <v>210</v>
      </c>
      <c r="IA30" s="39">
        <f t="shared" ref="IA30:IA44" si="137">($HY$27*HZ30^2+$HZ$27*HZ30+$IA$27)*1000000</f>
        <v>396075999.99999994</v>
      </c>
      <c r="IC30" s="13"/>
      <c r="ID30" s="13"/>
      <c r="IE30" s="16" t="s">
        <v>37</v>
      </c>
      <c r="IF30" s="16">
        <v>44924</v>
      </c>
      <c r="IG30" s="15">
        <v>137554844.39039224</v>
      </c>
      <c r="IH30" s="14">
        <v>100000000</v>
      </c>
      <c r="IJ30" s="1">
        <v>2</v>
      </c>
      <c r="IK30" s="1">
        <v>8</v>
      </c>
      <c r="IM30" s="40">
        <v>60</v>
      </c>
      <c r="IN30" s="39">
        <f t="shared" ref="IN30:IN44" si="138">($IN$27*IM30^2+$IO$27*IM30+$IP$27)*1000000</f>
        <v>96442000</v>
      </c>
      <c r="IO30" s="40">
        <v>210</v>
      </c>
      <c r="IP30" s="39">
        <f t="shared" ref="IP30:IP44" si="139">($IN$27*IO30^2+$IO$27*IO30+$IP$27)*1000000</f>
        <v>436297000</v>
      </c>
      <c r="IR30" s="13"/>
      <c r="IS30" s="13"/>
      <c r="IT30" s="111">
        <v>200</v>
      </c>
      <c r="IU30" s="39">
        <f t="shared" si="87"/>
        <v>245594000</v>
      </c>
      <c r="IV30" s="40"/>
      <c r="IW30" s="39"/>
      <c r="IY30" s="13"/>
      <c r="IZ30" s="13"/>
      <c r="JA30" s="16" t="s">
        <v>115</v>
      </c>
      <c r="JB30" s="16">
        <v>45288</v>
      </c>
      <c r="JC30" s="15">
        <v>34197531.001416586</v>
      </c>
      <c r="JD30" s="14">
        <v>20000000</v>
      </c>
      <c r="JF30" s="1">
        <v>1</v>
      </c>
      <c r="JG30" s="1">
        <v>8</v>
      </c>
      <c r="JI30" s="40">
        <v>60</v>
      </c>
      <c r="JJ30" s="39">
        <f t="shared" ref="JJ30:JJ44" si="140">($IN$27*JI30^2+$IO$27*JI30+$IP$27)*1000000</f>
        <v>96442000</v>
      </c>
      <c r="JK30" s="40">
        <v>210</v>
      </c>
      <c r="JL30" s="39">
        <f t="shared" ref="JL30:JL44" si="141">($IN$27*JK30^2+$IO$27*JK30+$IP$27)*1000000</f>
        <v>436297000</v>
      </c>
      <c r="JN30" s="13"/>
      <c r="JO30" s="13"/>
      <c r="JP30" s="111">
        <v>200</v>
      </c>
      <c r="JQ30" s="39">
        <f t="shared" si="91"/>
        <v>225882999.99999997</v>
      </c>
      <c r="JR30" s="69"/>
      <c r="JS30" s="69"/>
      <c r="JU30" s="13"/>
      <c r="JV30" s="13"/>
      <c r="JW30" s="16" t="s">
        <v>83</v>
      </c>
      <c r="JX30" s="16">
        <v>43097</v>
      </c>
      <c r="JY30" s="15">
        <v>27563580</v>
      </c>
      <c r="JZ30" s="14">
        <v>25000000</v>
      </c>
      <c r="KE30" s="46" t="s">
        <v>82</v>
      </c>
      <c r="KF30" s="46">
        <v>43279</v>
      </c>
      <c r="KG30" s="45">
        <v>16538214</v>
      </c>
      <c r="KH30" s="44">
        <v>8000000</v>
      </c>
      <c r="KJ30" s="1">
        <v>1</v>
      </c>
      <c r="KK30" s="1">
        <v>3</v>
      </c>
      <c r="KM30" s="16" t="s">
        <v>81</v>
      </c>
      <c r="KN30" s="16">
        <v>43461</v>
      </c>
      <c r="KO30" s="15">
        <v>36357684</v>
      </c>
      <c r="KP30" s="14">
        <v>30000000</v>
      </c>
      <c r="KR30" s="1" t="s">
        <v>80</v>
      </c>
      <c r="KU30" s="16" t="s">
        <v>79</v>
      </c>
      <c r="KV30" s="16">
        <v>43643</v>
      </c>
      <c r="KW30" s="15">
        <v>40007352</v>
      </c>
      <c r="KX30" s="14">
        <v>40000000</v>
      </c>
      <c r="LC30" s="16" t="s">
        <v>78</v>
      </c>
      <c r="LD30" s="16">
        <v>43825</v>
      </c>
      <c r="LE30" s="15">
        <v>24814614</v>
      </c>
      <c r="LF30" s="14">
        <v>25000000</v>
      </c>
      <c r="LH30" s="1">
        <v>9</v>
      </c>
      <c r="LI30" s="1">
        <v>150</v>
      </c>
      <c r="LK30" s="16" t="s">
        <v>77</v>
      </c>
      <c r="LL30" s="16">
        <v>44007</v>
      </c>
      <c r="LM30" s="15">
        <v>48107400</v>
      </c>
      <c r="LN30" s="14">
        <v>30000000</v>
      </c>
      <c r="LS30" s="16" t="s">
        <v>70</v>
      </c>
      <c r="LT30" s="16">
        <v>44189</v>
      </c>
      <c r="LU30" s="15">
        <v>18732384</v>
      </c>
      <c r="LV30" s="14">
        <v>3000000</v>
      </c>
      <c r="MA30" s="16"/>
      <c r="MB30" s="16"/>
      <c r="MC30" s="15"/>
      <c r="MD30" s="14"/>
      <c r="MF30" s="1">
        <v>1</v>
      </c>
      <c r="MG30" s="1">
        <v>3</v>
      </c>
      <c r="MI30" s="16" t="s">
        <v>69</v>
      </c>
      <c r="MJ30" s="16">
        <v>44553</v>
      </c>
      <c r="MK30" s="15">
        <v>41911518</v>
      </c>
      <c r="ML30" s="14">
        <v>20000000</v>
      </c>
      <c r="MQ30" s="16" t="s">
        <v>76</v>
      </c>
      <c r="MR30" s="16">
        <v>44742</v>
      </c>
      <c r="MS30" s="15">
        <v>77983752</v>
      </c>
      <c r="MT30" s="14">
        <v>60000000</v>
      </c>
      <c r="MV30" s="1">
        <v>4</v>
      </c>
      <c r="MW30" s="1">
        <v>40</v>
      </c>
      <c r="MY30" s="16" t="s">
        <v>34</v>
      </c>
      <c r="MZ30" s="16">
        <v>43013</v>
      </c>
      <c r="NA30" s="15">
        <v>17496270</v>
      </c>
      <c r="NB30" s="14">
        <v>6000000</v>
      </c>
      <c r="ND30" s="1">
        <v>1</v>
      </c>
      <c r="NE30" s="1">
        <v>3</v>
      </c>
      <c r="NG30" s="40">
        <v>60</v>
      </c>
      <c r="NH30" s="39">
        <f t="shared" ref="NH30:NH44" si="142">($NH$27*NG30^2+$NI$27*NG30+$NJ$27)*1000000</f>
        <v>79536000</v>
      </c>
      <c r="NI30" s="40">
        <v>210</v>
      </c>
      <c r="NJ30" s="39">
        <f t="shared" ref="NJ30:NJ44" si="143">($NH$27*NI30^2+$NI$27*NI30+$NJ$27)*1000000</f>
        <v>271566000.00000006</v>
      </c>
      <c r="NL30" s="13"/>
      <c r="NN30" s="16" t="s">
        <v>33</v>
      </c>
      <c r="NO30" s="16">
        <v>43384</v>
      </c>
      <c r="NP30" s="15">
        <v>24480720</v>
      </c>
      <c r="NQ30" s="14">
        <v>12000000</v>
      </c>
      <c r="NS30" s="1" t="s">
        <v>75</v>
      </c>
      <c r="NV30" s="40">
        <v>60</v>
      </c>
      <c r="NW30" s="39">
        <f t="shared" ref="NW30:NW44" si="144">($NW$27*NV30^2+$NX$27*NV30+$NY$27)*1000000</f>
        <v>71541000</v>
      </c>
      <c r="NX30" s="40">
        <v>210</v>
      </c>
      <c r="NY30" s="39">
        <f t="shared" ref="NY30:NY44" si="145">($NW$27*NX30^2+$NX$27*NX30+$NY$27)*1000000</f>
        <v>580776000.00000012</v>
      </c>
      <c r="OA30" s="13"/>
      <c r="OB30" s="1"/>
    </row>
    <row r="31" spans="2:392" x14ac:dyDescent="0.2">
      <c r="B31" s="5"/>
      <c r="C31" s="5"/>
      <c r="D31" s="5"/>
      <c r="F31" s="5" t="s">
        <v>74</v>
      </c>
      <c r="G31" s="51">
        <f t="shared" si="98"/>
        <v>44927</v>
      </c>
      <c r="H31" s="51">
        <f t="shared" si="96"/>
        <v>45107</v>
      </c>
      <c r="I31" s="50">
        <f t="shared" si="97"/>
        <v>26</v>
      </c>
      <c r="K31" s="7">
        <v>27</v>
      </c>
      <c r="M31" s="5" t="str" cm="1">
        <f t="array" ref="M31">LOOKUP(2,1/($G$19:$G$35&lt;=$V31)/($H$19:$H$35&gt;=$V31),$F$19:$F$35)</f>
        <v>1H18</v>
      </c>
      <c r="N31" s="5" t="str" cm="1">
        <f t="array" ref="N31">LOOKUP(2,1/($G$8:$G$16&lt;=$V31)/($H$8:$H$16&gt;=$V31),$F$8:$F$16)</f>
        <v>FY18</v>
      </c>
      <c r="O31" s="5" t="str">
        <f>IFERROR(N31&amp;"-"&amp;COUNTIF($N$5:N31,N31),NA())</f>
        <v>FY18-1</v>
      </c>
      <c r="P31" s="5">
        <f>COUNTIF(V$5:V31,"&gt;="&amp;MAX($V:$V)-183)</f>
        <v>0</v>
      </c>
      <c r="Q31" s="5">
        <f>COUNTIF(V$5:V31,"&gt;="&amp;MAX($V:$V)-365)</f>
        <v>0</v>
      </c>
      <c r="R31" s="5" cm="1">
        <f t="array" ref="R31">LOOKUP(2,1/($G$46:$G$50&lt;=$V31)/($H$46:$H$50&gt;=$V31),$F$46:$F$50)</f>
        <v>0</v>
      </c>
      <c r="S31" s="5" cm="1">
        <f t="array" ref="S31">LOOKUP(2,1/($G$53:$G$56&lt;=$V31)/($H$53:$H$56&gt;=$V31),$F$53:$F$56)</f>
        <v>0</v>
      </c>
      <c r="T31" s="5" t="e">
        <f>IFERROR(IF($R31&gt;0,$R31&amp;"-"&amp;COUNTIF($R$5:$R31,$R31),NA()),NA())</f>
        <v>#N/A</v>
      </c>
      <c r="U31" s="5" t="e">
        <f>IFERROR(IF($S31&gt;0,$S31&amp;"-"&amp;COUNTIF($S$5:$S31,$S31),NA()),NA())</f>
        <v>#N/A</v>
      </c>
      <c r="V31" s="10">
        <v>42922</v>
      </c>
      <c r="W31" s="9">
        <v>14311103.305157838</v>
      </c>
      <c r="X31" s="9">
        <v>13295730.525656888</v>
      </c>
      <c r="Y31" s="8">
        <v>3000000</v>
      </c>
      <c r="AA31" s="48">
        <f t="shared" si="46"/>
        <v>27</v>
      </c>
      <c r="AB31" s="12">
        <f t="shared" si="0"/>
        <v>45470</v>
      </c>
      <c r="AC31" s="15">
        <f t="shared" si="1"/>
        <v>19509070.393374741</v>
      </c>
      <c r="AD31" s="14">
        <f t="shared" si="2"/>
        <v>4000000</v>
      </c>
      <c r="AF31" s="1">
        <v>2</v>
      </c>
      <c r="AG31" s="1">
        <v>20</v>
      </c>
      <c r="AI31" s="40">
        <v>70</v>
      </c>
      <c r="AJ31" s="39">
        <f t="shared" si="106"/>
        <v>108492000.00000001</v>
      </c>
      <c r="AK31" s="40">
        <v>220</v>
      </c>
      <c r="AL31" s="39">
        <f t="shared" si="107"/>
        <v>474866999.99999994</v>
      </c>
      <c r="AN31" s="13"/>
      <c r="AO31" s="13"/>
      <c r="AP31" s="40">
        <v>70</v>
      </c>
      <c r="AQ31" s="39">
        <f t="shared" si="108"/>
        <v>87598999.999999985</v>
      </c>
      <c r="AR31" s="40">
        <v>220</v>
      </c>
      <c r="AS31" s="39">
        <f t="shared" si="109"/>
        <v>109424000.00000003</v>
      </c>
      <c r="AU31" s="13"/>
      <c r="AW31" s="48">
        <f t="shared" si="47"/>
        <v>27</v>
      </c>
      <c r="AX31" s="12">
        <f t="shared" si="4"/>
        <v>45288</v>
      </c>
      <c r="AY31" s="15">
        <f t="shared" si="5"/>
        <v>34197531.001416586</v>
      </c>
      <c r="AZ31" s="14">
        <f t="shared" si="48"/>
        <v>20000000</v>
      </c>
      <c r="BB31" s="52" t="s">
        <v>42</v>
      </c>
      <c r="BC31" s="52" t="s">
        <v>41</v>
      </c>
      <c r="BD31" s="64"/>
      <c r="BE31" s="64"/>
      <c r="BF31" s="64"/>
      <c r="BG31" s="64"/>
      <c r="BI31" s="40">
        <v>70</v>
      </c>
      <c r="BJ31" s="39">
        <f t="shared" si="110"/>
        <v>105756999.99999999</v>
      </c>
      <c r="BK31" s="40">
        <v>220</v>
      </c>
      <c r="BL31" s="39">
        <f t="shared" si="111"/>
        <v>513052000</v>
      </c>
      <c r="BN31" s="13"/>
      <c r="BO31" s="13"/>
      <c r="BP31" s="40">
        <v>480</v>
      </c>
      <c r="BQ31" s="39">
        <f t="shared" si="102"/>
        <v>537942000</v>
      </c>
      <c r="BR31" s="110">
        <v>0.25</v>
      </c>
      <c r="BS31" s="39">
        <f t="shared" si="105"/>
        <v>672427500</v>
      </c>
      <c r="BU31" s="13"/>
      <c r="BW31" s="48" t="e">
        <f t="shared" si="8"/>
        <v>#N/A</v>
      </c>
      <c r="BX31" s="12" t="e">
        <f t="shared" si="9"/>
        <v>#N/A</v>
      </c>
      <c r="BY31" s="15" t="e">
        <f t="shared" si="10"/>
        <v>#N/A</v>
      </c>
      <c r="BZ31" s="14" t="e">
        <f t="shared" si="11"/>
        <v>#N/A</v>
      </c>
      <c r="CE31" s="40">
        <v>70</v>
      </c>
      <c r="CF31" s="39">
        <f t="shared" si="112"/>
        <v>94494999.999999985</v>
      </c>
      <c r="CG31" s="40">
        <v>220</v>
      </c>
      <c r="CH31" s="39">
        <f t="shared" si="113"/>
        <v>137589999.99999997</v>
      </c>
      <c r="CJ31" s="13"/>
      <c r="CK31" s="13"/>
      <c r="CL31" s="48" t="e">
        <f t="shared" si="12"/>
        <v>#N/A</v>
      </c>
      <c r="CM31" s="12" t="e">
        <f t="shared" si="13"/>
        <v>#N/A</v>
      </c>
      <c r="CN31" s="49" t="e">
        <f t="shared" si="14"/>
        <v>#N/A</v>
      </c>
      <c r="CO31" s="49" t="e">
        <f t="shared" si="15"/>
        <v>#N/A</v>
      </c>
      <c r="CQ31" s="61">
        <f t="shared" si="100"/>
        <v>6.1139790092646473E-2</v>
      </c>
      <c r="CT31" s="40">
        <v>70</v>
      </c>
      <c r="CU31" s="39">
        <f t="shared" si="114"/>
        <v>94494999.999999985</v>
      </c>
      <c r="CV31" s="40">
        <v>220</v>
      </c>
      <c r="CW31" s="39">
        <f t="shared" si="115"/>
        <v>137589999.99999997</v>
      </c>
      <c r="CY31" s="13"/>
      <c r="DA31" s="48" t="e">
        <f t="shared" si="16"/>
        <v>#N/A</v>
      </c>
      <c r="DB31" s="12" t="e">
        <f t="shared" si="17"/>
        <v>#N/A</v>
      </c>
      <c r="DC31" s="15" t="e">
        <f t="shared" si="18"/>
        <v>#N/A</v>
      </c>
      <c r="DD31" s="14" t="e">
        <f t="shared" si="19"/>
        <v>#N/A</v>
      </c>
      <c r="DI31" s="40">
        <v>70</v>
      </c>
      <c r="DJ31" s="39">
        <f t="shared" si="116"/>
        <v>94494999.999999985</v>
      </c>
      <c r="DK31" s="40">
        <v>220</v>
      </c>
      <c r="DL31" s="39">
        <f t="shared" si="117"/>
        <v>137589999.99999997</v>
      </c>
      <c r="DN31" s="13"/>
      <c r="DO31" s="13"/>
      <c r="DP31" s="48" t="e">
        <f t="shared" si="20"/>
        <v>#N/A</v>
      </c>
      <c r="DQ31" s="12" t="e">
        <f t="shared" si="21"/>
        <v>#N/A</v>
      </c>
      <c r="DR31" s="15" t="e">
        <f t="shared" si="22"/>
        <v>#N/A</v>
      </c>
      <c r="DS31" s="14" t="e">
        <f t="shared" si="23"/>
        <v>#N/A</v>
      </c>
      <c r="DU31" s="61">
        <f t="shared" si="104"/>
        <v>0.30120494695901945</v>
      </c>
      <c r="DX31" s="40">
        <v>70</v>
      </c>
      <c r="DY31" s="39">
        <f t="shared" si="118"/>
        <v>94494999.999999985</v>
      </c>
      <c r="DZ31" s="40">
        <v>220</v>
      </c>
      <c r="EA31" s="39">
        <f t="shared" si="119"/>
        <v>137589999.99999997</v>
      </c>
      <c r="EC31" s="13"/>
      <c r="ED31" s="13"/>
      <c r="EE31" s="40">
        <v>70</v>
      </c>
      <c r="EF31" s="39">
        <f t="shared" si="120"/>
        <v>69950000</v>
      </c>
      <c r="EG31" s="40">
        <v>220</v>
      </c>
      <c r="EH31" s="39">
        <f t="shared" si="121"/>
        <v>142985000</v>
      </c>
      <c r="EJ31" s="13"/>
      <c r="EK31" s="13"/>
      <c r="EL31" s="47" t="str">
        <f t="shared" si="25"/>
        <v>FY18-27</v>
      </c>
      <c r="EM31" s="16">
        <v>43104</v>
      </c>
      <c r="EN31" s="15">
        <v>46986662.149387613</v>
      </c>
      <c r="EO31" s="14">
        <f t="shared" si="26"/>
        <v>35000000</v>
      </c>
      <c r="EQ31" s="14"/>
      <c r="ET31" s="40">
        <v>70</v>
      </c>
      <c r="EU31" s="39">
        <f t="shared" si="122"/>
        <v>98963000</v>
      </c>
      <c r="EV31" s="40">
        <v>220</v>
      </c>
      <c r="EW31" s="39">
        <f t="shared" si="123"/>
        <v>552698000</v>
      </c>
      <c r="EX31" s="13"/>
      <c r="EY31" s="13"/>
      <c r="EZ31" s="13"/>
      <c r="FA31" s="16" t="s">
        <v>33</v>
      </c>
      <c r="FB31" s="16">
        <v>43468</v>
      </c>
      <c r="FC31" s="15">
        <v>63766761.602034323</v>
      </c>
      <c r="FD31" s="14">
        <v>50000000</v>
      </c>
      <c r="FF31" s="1" t="s">
        <v>73</v>
      </c>
      <c r="FI31" s="40">
        <v>70</v>
      </c>
      <c r="FJ31" s="39">
        <f t="shared" si="124"/>
        <v>91807000</v>
      </c>
      <c r="FK31" s="40">
        <v>220</v>
      </c>
      <c r="FL31" s="39">
        <f t="shared" si="125"/>
        <v>670657000</v>
      </c>
      <c r="FN31" s="13"/>
      <c r="FO31" s="13"/>
      <c r="FP31" s="40">
        <v>70</v>
      </c>
      <c r="FQ31" s="39">
        <f t="shared" si="126"/>
        <v>83654000.000000015</v>
      </c>
      <c r="FR31" s="40">
        <v>220</v>
      </c>
      <c r="FS31" s="39">
        <f t="shared" si="127"/>
        <v>462509000</v>
      </c>
      <c r="FU31" s="13"/>
      <c r="FV31" s="13"/>
      <c r="FW31" s="16" t="s">
        <v>39</v>
      </c>
      <c r="FX31" s="16">
        <v>43832</v>
      </c>
      <c r="FY31" s="15">
        <v>14302579.986385295</v>
      </c>
      <c r="FZ31" s="14">
        <v>3000000</v>
      </c>
      <c r="GB31" s="1" t="s">
        <v>72</v>
      </c>
      <c r="GF31" s="40">
        <v>70</v>
      </c>
      <c r="GG31" s="39">
        <f t="shared" si="128"/>
        <v>76349000</v>
      </c>
      <c r="GH31" s="40">
        <v>220</v>
      </c>
      <c r="GI31" s="39">
        <f t="shared" si="129"/>
        <v>373963999.99999994</v>
      </c>
      <c r="GK31" s="13"/>
      <c r="GL31" s="13"/>
      <c r="GM31" s="40">
        <v>70</v>
      </c>
      <c r="GN31" s="39">
        <f t="shared" si="130"/>
        <v>69950000</v>
      </c>
      <c r="GO31" s="40">
        <v>220</v>
      </c>
      <c r="GP31" s="39">
        <f t="shared" si="131"/>
        <v>142985000</v>
      </c>
      <c r="GR31" s="13"/>
      <c r="GS31" s="13"/>
      <c r="GT31" s="16" t="s">
        <v>38</v>
      </c>
      <c r="GU31" s="16">
        <v>44196</v>
      </c>
      <c r="GV31" s="15">
        <v>25387217.756156884</v>
      </c>
      <c r="GW31" s="14">
        <v>8000000</v>
      </c>
      <c r="GY31" s="1">
        <v>2</v>
      </c>
      <c r="GZ31" s="1">
        <v>20</v>
      </c>
      <c r="HB31" s="40">
        <v>70</v>
      </c>
      <c r="HC31" s="39">
        <f t="shared" si="132"/>
        <v>97493000.000000015</v>
      </c>
      <c r="HD31" s="40">
        <v>220</v>
      </c>
      <c r="HE31" s="39">
        <f t="shared" si="133"/>
        <v>348742999.99999994</v>
      </c>
      <c r="HG31" s="13"/>
      <c r="HH31" s="13"/>
      <c r="HI31" s="16" t="s">
        <v>35</v>
      </c>
      <c r="HJ31" s="16">
        <v>44560</v>
      </c>
      <c r="HK31" s="15">
        <v>45526023.472179994</v>
      </c>
      <c r="HL31" s="14">
        <v>30000000</v>
      </c>
      <c r="HN31" s="1">
        <v>4</v>
      </c>
      <c r="HO31" s="1">
        <v>40</v>
      </c>
      <c r="HQ31" s="40">
        <v>70</v>
      </c>
      <c r="HR31" s="39">
        <f t="shared" si="134"/>
        <v>104866000</v>
      </c>
      <c r="HS31" s="40">
        <v>220</v>
      </c>
      <c r="HT31" s="39">
        <f t="shared" si="135"/>
        <v>673021000</v>
      </c>
      <c r="HV31" s="13"/>
      <c r="HW31" s="13"/>
      <c r="HX31" s="40">
        <v>70</v>
      </c>
      <c r="HY31" s="39">
        <f t="shared" si="136"/>
        <v>97694000</v>
      </c>
      <c r="HZ31" s="40">
        <v>220</v>
      </c>
      <c r="IA31" s="39">
        <f t="shared" si="137"/>
        <v>424588999.99999994</v>
      </c>
      <c r="IC31" s="13"/>
      <c r="ID31" s="13"/>
      <c r="IE31" s="16" t="s">
        <v>37</v>
      </c>
      <c r="IF31" s="16">
        <v>44931</v>
      </c>
      <c r="IG31" s="15">
        <v>20659761.872909699</v>
      </c>
      <c r="IH31" s="14">
        <v>4000000</v>
      </c>
      <c r="IJ31" s="1">
        <v>3</v>
      </c>
      <c r="IK31" s="1">
        <v>20</v>
      </c>
      <c r="IM31" s="40">
        <v>70</v>
      </c>
      <c r="IN31" s="39">
        <f t="shared" si="138"/>
        <v>112939000</v>
      </c>
      <c r="IO31" s="40">
        <v>220</v>
      </c>
      <c r="IP31" s="39">
        <f t="shared" si="139"/>
        <v>465994000</v>
      </c>
      <c r="IR31" s="13"/>
      <c r="IS31" s="13"/>
      <c r="IT31" s="111">
        <v>220</v>
      </c>
      <c r="IU31" s="39">
        <f t="shared" si="87"/>
        <v>268506000</v>
      </c>
      <c r="IV31" s="40"/>
      <c r="IW31" s="39"/>
      <c r="IY31" s="13"/>
      <c r="IZ31" s="13"/>
      <c r="JA31" s="16" t="s">
        <v>115</v>
      </c>
      <c r="JB31" s="16">
        <v>45295</v>
      </c>
      <c r="JC31" s="15">
        <v>45025587.337910004</v>
      </c>
      <c r="JD31" s="14">
        <v>30000000</v>
      </c>
      <c r="JF31" s="1">
        <v>2</v>
      </c>
      <c r="JG31" s="1">
        <v>20</v>
      </c>
      <c r="JI31" s="40">
        <v>70</v>
      </c>
      <c r="JJ31" s="39">
        <f t="shared" si="140"/>
        <v>112939000</v>
      </c>
      <c r="JK31" s="40">
        <v>220</v>
      </c>
      <c r="JL31" s="39">
        <f t="shared" si="141"/>
        <v>465994000</v>
      </c>
      <c r="JN31" s="13"/>
      <c r="JO31" s="13"/>
      <c r="JP31" s="111">
        <v>220</v>
      </c>
      <c r="JQ31" s="39">
        <f t="shared" si="91"/>
        <v>246789000</v>
      </c>
      <c r="JR31" s="69"/>
      <c r="JS31" s="69"/>
      <c r="JU31" s="13"/>
      <c r="JV31" s="13"/>
      <c r="KJ31" s="1">
        <v>2</v>
      </c>
      <c r="KK31" s="1">
        <v>8</v>
      </c>
      <c r="KR31" s="1" t="s">
        <v>71</v>
      </c>
      <c r="LS31" s="16" t="s">
        <v>70</v>
      </c>
      <c r="LT31" s="16">
        <v>44196</v>
      </c>
      <c r="LU31" s="15">
        <v>27852000</v>
      </c>
      <c r="LV31" s="14">
        <v>8000000</v>
      </c>
      <c r="MA31" s="16"/>
      <c r="MB31" s="16"/>
      <c r="MC31" s="15"/>
      <c r="MD31" s="14"/>
      <c r="MF31" s="1">
        <v>2</v>
      </c>
      <c r="MG31" s="1">
        <v>8</v>
      </c>
      <c r="MI31" s="16" t="s">
        <v>69</v>
      </c>
      <c r="MJ31" s="16">
        <v>44560</v>
      </c>
      <c r="MK31" s="15">
        <v>45418494</v>
      </c>
      <c r="ML31" s="14">
        <v>30000000</v>
      </c>
      <c r="MQ31" s="16"/>
      <c r="MR31" s="16"/>
      <c r="MS31" s="15"/>
      <c r="MT31" s="14"/>
      <c r="MV31" s="1">
        <v>5</v>
      </c>
      <c r="MW31" s="1">
        <v>60</v>
      </c>
      <c r="MY31" s="16" t="s">
        <v>34</v>
      </c>
      <c r="MZ31" s="16">
        <v>43020</v>
      </c>
      <c r="NA31" s="15">
        <v>25258200</v>
      </c>
      <c r="NB31" s="14">
        <v>10000000</v>
      </c>
      <c r="ND31" s="1">
        <v>2</v>
      </c>
      <c r="NE31" s="1">
        <v>6</v>
      </c>
      <c r="NG31" s="40">
        <v>70</v>
      </c>
      <c r="NH31" s="39">
        <f t="shared" si="142"/>
        <v>91498000</v>
      </c>
      <c r="NI31" s="40">
        <v>220</v>
      </c>
      <c r="NJ31" s="39">
        <f t="shared" si="143"/>
        <v>285328000.00000006</v>
      </c>
      <c r="NL31" s="13"/>
      <c r="NN31" s="16" t="s">
        <v>33</v>
      </c>
      <c r="NO31" s="16">
        <v>43391</v>
      </c>
      <c r="NP31" s="15">
        <v>29189556</v>
      </c>
      <c r="NQ31" s="14">
        <v>20000000</v>
      </c>
      <c r="NS31" s="1" t="s">
        <v>68</v>
      </c>
      <c r="NV31" s="40">
        <v>70</v>
      </c>
      <c r="NW31" s="39">
        <f t="shared" si="144"/>
        <v>89109999.999999985</v>
      </c>
      <c r="NX31" s="40">
        <v>220</v>
      </c>
      <c r="NY31" s="39">
        <f t="shared" si="145"/>
        <v>633445000</v>
      </c>
      <c r="OA31" s="13"/>
      <c r="OB31" s="1"/>
    </row>
    <row r="32" spans="2:392" x14ac:dyDescent="0.2">
      <c r="B32" s="5"/>
      <c r="C32" s="5"/>
      <c r="D32" s="5"/>
      <c r="F32" s="5" t="s">
        <v>67</v>
      </c>
      <c r="G32" s="51">
        <f t="shared" si="98"/>
        <v>45108</v>
      </c>
      <c r="H32" s="51">
        <f t="shared" si="96"/>
        <v>45291</v>
      </c>
      <c r="I32" s="50">
        <f t="shared" si="97"/>
        <v>26</v>
      </c>
      <c r="K32" s="7">
        <v>28</v>
      </c>
      <c r="M32" s="5" t="str" cm="1">
        <f t="array" ref="M32">LOOKUP(2,1/($G$19:$G$35&lt;=$V32)/($H$19:$H$35&gt;=$V32),$F$19:$F$35)</f>
        <v>1H18</v>
      </c>
      <c r="N32" s="5" t="str" cm="1">
        <f t="array" ref="N32">LOOKUP(2,1/($G$8:$G$16&lt;=$V32)/($H$8:$H$16&gt;=$V32),$F$8:$F$16)</f>
        <v>FY18</v>
      </c>
      <c r="O32" s="5" t="str">
        <f>IFERROR(N32&amp;"-"&amp;COUNTIF($N$5:N32,N32),NA())</f>
        <v>FY18-2</v>
      </c>
      <c r="P32" s="5">
        <f>COUNTIF(V$5:V32,"&gt;="&amp;MAX($V:$V)-183)</f>
        <v>0</v>
      </c>
      <c r="Q32" s="5">
        <f>COUNTIF(V$5:V32,"&gt;="&amp;MAX($V:$V)-365)</f>
        <v>0</v>
      </c>
      <c r="R32" s="5" cm="1">
        <f t="array" ref="R32">LOOKUP(2,1/($G$46:$G$50&lt;=$V32)/($H$46:$H$50&gt;=$V32),$F$46:$F$50)</f>
        <v>0</v>
      </c>
      <c r="S32" s="5" cm="1">
        <f t="array" ref="S32">LOOKUP(2,1/($G$53:$G$56&lt;=$V32)/($H$53:$H$56&gt;=$V32),$F$53:$F$56)</f>
        <v>0</v>
      </c>
      <c r="T32" s="5" t="e">
        <f>IFERROR(IF($R32&gt;0,$R32&amp;"-"&amp;COUNTIF($R$5:$R32,$R32),NA()),NA())</f>
        <v>#N/A</v>
      </c>
      <c r="U32" s="5" t="e">
        <f>IFERROR(IF($S32&gt;0,$S32&amp;"-"&amp;COUNTIF($S$5:$S32,$S32),NA()),NA())</f>
        <v>#N/A</v>
      </c>
      <c r="V32" s="10">
        <v>42929</v>
      </c>
      <c r="W32" s="9">
        <v>15800128.126617214</v>
      </c>
      <c r="X32" s="9">
        <v>14679109.036033722</v>
      </c>
      <c r="Y32" s="8">
        <v>6000000</v>
      </c>
      <c r="AA32" s="48" t="e">
        <f t="shared" si="46"/>
        <v>#N/A</v>
      </c>
      <c r="AB32" s="12" t="e">
        <f t="shared" si="0"/>
        <v>#N/A</v>
      </c>
      <c r="AC32" s="15" t="e">
        <f t="shared" si="1"/>
        <v>#N/A</v>
      </c>
      <c r="AD32" s="14" t="e">
        <f t="shared" si="2"/>
        <v>#N/A</v>
      </c>
      <c r="AF32" s="1">
        <v>3</v>
      </c>
      <c r="AG32" s="1">
        <v>30</v>
      </c>
      <c r="AI32" s="40">
        <v>80</v>
      </c>
      <c r="AJ32" s="39">
        <f t="shared" si="106"/>
        <v>125637000</v>
      </c>
      <c r="AK32" s="40">
        <v>230</v>
      </c>
      <c r="AL32" s="39">
        <f t="shared" si="107"/>
        <v>507611999.99999994</v>
      </c>
      <c r="AN32" s="13"/>
      <c r="AO32" s="13"/>
      <c r="AP32" s="40">
        <v>80</v>
      </c>
      <c r="AQ32" s="39">
        <f t="shared" si="108"/>
        <v>94654000</v>
      </c>
      <c r="AR32" s="40">
        <v>230</v>
      </c>
      <c r="AS32" s="39">
        <f t="shared" si="109"/>
        <v>104479000.00000004</v>
      </c>
      <c r="AU32" s="13"/>
      <c r="AW32" s="48">
        <f t="shared" si="47"/>
        <v>28</v>
      </c>
      <c r="AX32" s="12">
        <f t="shared" si="4"/>
        <v>45295</v>
      </c>
      <c r="AY32" s="15">
        <f t="shared" si="5"/>
        <v>45025587.337910004</v>
      </c>
      <c r="AZ32" s="14">
        <f t="shared" si="48"/>
        <v>30000000</v>
      </c>
      <c r="BB32" s="1">
        <v>1</v>
      </c>
      <c r="BC32" s="1">
        <v>8</v>
      </c>
      <c r="BI32" s="40">
        <v>80</v>
      </c>
      <c r="BJ32" s="39">
        <f t="shared" si="110"/>
        <v>123530000</v>
      </c>
      <c r="BK32" s="40">
        <v>230</v>
      </c>
      <c r="BL32" s="39">
        <f t="shared" si="111"/>
        <v>550925000</v>
      </c>
      <c r="BN32" s="13"/>
      <c r="BO32" s="13"/>
      <c r="BP32" s="40"/>
      <c r="BQ32" s="39"/>
      <c r="BR32" s="40"/>
      <c r="BS32" s="39"/>
      <c r="BU32" s="13"/>
      <c r="BW32" s="48" t="e">
        <f t="shared" si="8"/>
        <v>#N/A</v>
      </c>
      <c r="BX32" s="12" t="e">
        <f t="shared" si="9"/>
        <v>#N/A</v>
      </c>
      <c r="BY32" s="15" t="e">
        <f t="shared" si="10"/>
        <v>#N/A</v>
      </c>
      <c r="BZ32" s="14" t="e">
        <f t="shared" si="11"/>
        <v>#N/A</v>
      </c>
      <c r="CE32" s="40">
        <v>80</v>
      </c>
      <c r="CF32" s="39">
        <f t="shared" si="112"/>
        <v>102828000</v>
      </c>
      <c r="CG32" s="40">
        <v>230</v>
      </c>
      <c r="CH32" s="39">
        <f t="shared" si="113"/>
        <v>134223000</v>
      </c>
      <c r="CJ32" s="13"/>
      <c r="CK32" s="13"/>
      <c r="CL32" s="48" t="e">
        <f t="shared" si="12"/>
        <v>#N/A</v>
      </c>
      <c r="CM32" s="12" t="e">
        <f t="shared" si="13"/>
        <v>#N/A</v>
      </c>
      <c r="CN32" s="49" t="e">
        <f t="shared" si="14"/>
        <v>#N/A</v>
      </c>
      <c r="CO32" s="49" t="e">
        <f t="shared" si="15"/>
        <v>#N/A</v>
      </c>
      <c r="CQ32" s="61">
        <f t="shared" si="100"/>
        <v>5.9935873160140485E-2</v>
      </c>
      <c r="CT32" s="40">
        <v>80</v>
      </c>
      <c r="CU32" s="39">
        <f t="shared" si="114"/>
        <v>102828000</v>
      </c>
      <c r="CV32" s="40">
        <v>230</v>
      </c>
      <c r="CW32" s="39">
        <f t="shared" si="115"/>
        <v>134223000</v>
      </c>
      <c r="CY32" s="13"/>
      <c r="DA32" s="48" t="e">
        <f t="shared" si="16"/>
        <v>#N/A</v>
      </c>
      <c r="DB32" s="12" t="e">
        <f t="shared" si="17"/>
        <v>#N/A</v>
      </c>
      <c r="DC32" s="15" t="e">
        <f t="shared" si="18"/>
        <v>#N/A</v>
      </c>
      <c r="DD32" s="14" t="e">
        <f t="shared" si="19"/>
        <v>#N/A</v>
      </c>
      <c r="DI32" s="40">
        <v>80</v>
      </c>
      <c r="DJ32" s="39">
        <f t="shared" si="116"/>
        <v>102828000</v>
      </c>
      <c r="DK32" s="40">
        <v>230</v>
      </c>
      <c r="DL32" s="39">
        <f t="shared" si="117"/>
        <v>134223000</v>
      </c>
      <c r="DN32" s="13"/>
      <c r="DO32" s="13"/>
      <c r="DP32" s="48" t="e">
        <f t="shared" si="20"/>
        <v>#N/A</v>
      </c>
      <c r="DQ32" s="12" t="e">
        <f t="shared" si="21"/>
        <v>#N/A</v>
      </c>
      <c r="DR32" s="15" t="e">
        <f t="shared" si="22"/>
        <v>#N/A</v>
      </c>
      <c r="DS32" s="14" t="e">
        <f t="shared" si="23"/>
        <v>#N/A</v>
      </c>
      <c r="DU32" s="61">
        <f t="shared" si="104"/>
        <v>0.30314052172552697</v>
      </c>
      <c r="DX32" s="40">
        <v>80</v>
      </c>
      <c r="DY32" s="39">
        <f t="shared" si="118"/>
        <v>102828000</v>
      </c>
      <c r="DZ32" s="40">
        <v>230</v>
      </c>
      <c r="EA32" s="39">
        <f t="shared" si="119"/>
        <v>134223000</v>
      </c>
      <c r="EC32" s="13"/>
      <c r="ED32" s="13"/>
      <c r="EE32" s="40">
        <v>80</v>
      </c>
      <c r="EF32" s="39">
        <f t="shared" si="120"/>
        <v>76779000</v>
      </c>
      <c r="EG32" s="40">
        <v>230</v>
      </c>
      <c r="EH32" s="39">
        <f t="shared" si="121"/>
        <v>145614000</v>
      </c>
      <c r="EJ32" s="13"/>
      <c r="EK32" s="13"/>
      <c r="EL32" s="47" t="str">
        <f t="shared" si="25"/>
        <v>FY18-28</v>
      </c>
      <c r="EM32" s="16">
        <v>43111</v>
      </c>
      <c r="EN32" s="15">
        <v>80521889.218561321</v>
      </c>
      <c r="EO32" s="14">
        <f t="shared" si="26"/>
        <v>55000000</v>
      </c>
      <c r="EQ32" s="63" t="s">
        <v>66</v>
      </c>
      <c r="ER32" s="62"/>
      <c r="ET32" s="40">
        <v>80</v>
      </c>
      <c r="EU32" s="39">
        <f t="shared" si="122"/>
        <v>117871999.99999999</v>
      </c>
      <c r="EV32" s="40">
        <v>230</v>
      </c>
      <c r="EW32" s="39">
        <f t="shared" si="123"/>
        <v>595906999.99999988</v>
      </c>
      <c r="EX32" s="13"/>
      <c r="EY32" s="13"/>
      <c r="EZ32" s="13"/>
      <c r="FA32" s="16" t="s">
        <v>33</v>
      </c>
      <c r="FB32" s="16">
        <v>43475</v>
      </c>
      <c r="FC32" s="15">
        <v>112313238.6522568</v>
      </c>
      <c r="FD32" s="14">
        <v>80000000</v>
      </c>
      <c r="FI32" s="40">
        <v>80</v>
      </c>
      <c r="FJ32" s="39">
        <f t="shared" si="124"/>
        <v>112756999.99999999</v>
      </c>
      <c r="FK32" s="40">
        <v>230</v>
      </c>
      <c r="FL32" s="39">
        <f t="shared" si="125"/>
        <v>729406999.99999988</v>
      </c>
      <c r="FN32" s="13"/>
      <c r="FO32" s="13"/>
      <c r="FP32" s="40">
        <v>80</v>
      </c>
      <c r="FQ32" s="39">
        <f t="shared" si="126"/>
        <v>99250999.999999985</v>
      </c>
      <c r="FR32" s="40">
        <v>230</v>
      </c>
      <c r="FS32" s="39">
        <f t="shared" si="127"/>
        <v>498806000.00000006</v>
      </c>
      <c r="FU32" s="13"/>
      <c r="FV32" s="13"/>
      <c r="FW32" s="16" t="s">
        <v>39</v>
      </c>
      <c r="FX32" s="16">
        <v>43839</v>
      </c>
      <c r="FY32" s="15">
        <v>20379060.090352122</v>
      </c>
      <c r="FZ32" s="14">
        <v>8000000</v>
      </c>
      <c r="GB32" s="1" t="s">
        <v>65</v>
      </c>
      <c r="GF32" s="40">
        <v>80</v>
      </c>
      <c r="GG32" s="39">
        <f t="shared" si="128"/>
        <v>88910000</v>
      </c>
      <c r="GH32" s="40">
        <v>230</v>
      </c>
      <c r="GI32" s="39">
        <f t="shared" si="129"/>
        <v>402125000</v>
      </c>
      <c r="GK32" s="13"/>
      <c r="GL32" s="13"/>
      <c r="GM32" s="40">
        <v>80</v>
      </c>
      <c r="GN32" s="39">
        <f t="shared" si="130"/>
        <v>76779000</v>
      </c>
      <c r="GO32" s="40">
        <v>230</v>
      </c>
      <c r="GP32" s="39">
        <f t="shared" si="131"/>
        <v>145614000</v>
      </c>
      <c r="GR32" s="13"/>
      <c r="GS32" s="13"/>
      <c r="GT32" s="16" t="s">
        <v>38</v>
      </c>
      <c r="GU32" s="16">
        <v>44203</v>
      </c>
      <c r="GV32" s="15">
        <v>17082868.713894803</v>
      </c>
      <c r="GW32" s="14">
        <v>3000000</v>
      </c>
      <c r="GY32" s="1">
        <v>3</v>
      </c>
      <c r="GZ32" s="1">
        <v>30</v>
      </c>
      <c r="HB32" s="40">
        <v>80</v>
      </c>
      <c r="HC32" s="39">
        <f t="shared" si="132"/>
        <v>110883000</v>
      </c>
      <c r="HD32" s="40">
        <v>230</v>
      </c>
      <c r="HE32" s="39">
        <f t="shared" si="133"/>
        <v>369332999.99999994</v>
      </c>
      <c r="HG32" s="13"/>
      <c r="HH32" s="13"/>
      <c r="HI32" s="16" t="s">
        <v>35</v>
      </c>
      <c r="HJ32" s="16">
        <v>44567</v>
      </c>
      <c r="HK32" s="15">
        <v>76041502.462754637</v>
      </c>
      <c r="HL32" s="14">
        <v>60000000</v>
      </c>
      <c r="HN32" s="1">
        <v>5</v>
      </c>
      <c r="HO32" s="1">
        <v>60</v>
      </c>
      <c r="HQ32" s="40">
        <v>80</v>
      </c>
      <c r="HR32" s="39">
        <f t="shared" si="134"/>
        <v>126083000</v>
      </c>
      <c r="HS32" s="40">
        <v>230</v>
      </c>
      <c r="HT32" s="39">
        <f t="shared" si="135"/>
        <v>729938000</v>
      </c>
      <c r="HV32" s="13"/>
      <c r="HW32" s="13"/>
      <c r="HX32" s="40">
        <v>80</v>
      </c>
      <c r="HY32" s="39">
        <f t="shared" si="136"/>
        <v>112767000.00000001</v>
      </c>
      <c r="HZ32" s="40">
        <v>230</v>
      </c>
      <c r="IA32" s="39">
        <f t="shared" si="137"/>
        <v>454062000</v>
      </c>
      <c r="IC32" s="13"/>
      <c r="ID32" s="13"/>
      <c r="IE32" s="16" t="s">
        <v>37</v>
      </c>
      <c r="IF32" s="16">
        <v>44938</v>
      </c>
      <c r="IG32" s="15">
        <v>22177022.316813622</v>
      </c>
      <c r="IH32" s="14">
        <v>4000000</v>
      </c>
      <c r="IJ32" s="1">
        <v>4</v>
      </c>
      <c r="IK32" s="1">
        <v>40</v>
      </c>
      <c r="IM32" s="40">
        <v>80</v>
      </c>
      <c r="IN32" s="39">
        <f t="shared" si="138"/>
        <v>130316000</v>
      </c>
      <c r="IO32" s="40">
        <v>230</v>
      </c>
      <c r="IP32" s="39">
        <f t="shared" si="139"/>
        <v>496571000.00000006</v>
      </c>
      <c r="IR32" s="13"/>
      <c r="IS32" s="13"/>
      <c r="IT32" s="111">
        <v>240</v>
      </c>
      <c r="IU32" s="39">
        <f t="shared" si="87"/>
        <v>291417999.99999994</v>
      </c>
      <c r="IV32" s="40"/>
      <c r="IW32" s="39"/>
      <c r="IY32" s="13"/>
      <c r="IZ32" s="13"/>
      <c r="JA32" s="16" t="s">
        <v>115</v>
      </c>
      <c r="JB32" s="16">
        <v>45302</v>
      </c>
      <c r="JC32" s="15">
        <v>67199002.942137957</v>
      </c>
      <c r="JD32" s="14">
        <v>50000000</v>
      </c>
      <c r="JF32" s="1">
        <v>3</v>
      </c>
      <c r="JG32" s="1">
        <v>30</v>
      </c>
      <c r="JI32" s="40">
        <v>80</v>
      </c>
      <c r="JJ32" s="39">
        <f t="shared" si="140"/>
        <v>130316000</v>
      </c>
      <c r="JK32" s="40">
        <v>230</v>
      </c>
      <c r="JL32" s="39">
        <f t="shared" si="141"/>
        <v>496571000.00000006</v>
      </c>
      <c r="JN32" s="13"/>
      <c r="JO32" s="13"/>
      <c r="JP32" s="111">
        <v>240</v>
      </c>
      <c r="JQ32" s="39">
        <f t="shared" si="91"/>
        <v>267695000</v>
      </c>
      <c r="JR32" s="69"/>
      <c r="JS32" s="69"/>
      <c r="JU32" s="13"/>
      <c r="JV32" s="13"/>
      <c r="KJ32" s="1">
        <v>3</v>
      </c>
      <c r="KK32" s="1">
        <v>12</v>
      </c>
      <c r="LH32" s="55" t="s">
        <v>64</v>
      </c>
      <c r="LI32" s="54"/>
      <c r="MF32" s="1">
        <v>3</v>
      </c>
      <c r="MG32" s="1">
        <v>20</v>
      </c>
      <c r="MV32" s="1">
        <v>6</v>
      </c>
      <c r="MW32" s="1">
        <v>80</v>
      </c>
      <c r="MY32" s="16" t="s">
        <v>34</v>
      </c>
      <c r="MZ32" s="16">
        <v>43027</v>
      </c>
      <c r="NA32" s="15">
        <v>28366800</v>
      </c>
      <c r="NB32" s="14">
        <v>15000000</v>
      </c>
      <c r="ND32" s="1">
        <v>3</v>
      </c>
      <c r="NE32" s="1">
        <v>10</v>
      </c>
      <c r="NG32" s="40">
        <v>80</v>
      </c>
      <c r="NH32" s="39">
        <f t="shared" si="142"/>
        <v>103580000.00000001</v>
      </c>
      <c r="NI32" s="40">
        <v>230</v>
      </c>
      <c r="NJ32" s="39">
        <f t="shared" si="143"/>
        <v>299210000.00000006</v>
      </c>
      <c r="NL32" s="13"/>
      <c r="NN32" s="16" t="s">
        <v>33</v>
      </c>
      <c r="NO32" s="16">
        <v>43398</v>
      </c>
      <c r="NP32" s="15">
        <v>34647558</v>
      </c>
      <c r="NQ32" s="14">
        <v>30000000</v>
      </c>
      <c r="NV32" s="40">
        <v>80</v>
      </c>
      <c r="NW32" s="39">
        <f t="shared" si="144"/>
        <v>109018999.99999999</v>
      </c>
      <c r="NX32" s="40">
        <v>230</v>
      </c>
      <c r="NY32" s="39">
        <f t="shared" si="145"/>
        <v>688454000.00000012</v>
      </c>
      <c r="OA32" s="13"/>
      <c r="OB32" s="1"/>
    </row>
    <row r="33" spans="2:392" x14ac:dyDescent="0.2">
      <c r="B33" s="5"/>
      <c r="C33" s="5"/>
      <c r="D33" s="5"/>
      <c r="F33" s="5" t="s">
        <v>63</v>
      </c>
      <c r="G33" s="51">
        <f t="shared" si="98"/>
        <v>45292</v>
      </c>
      <c r="H33" s="51">
        <f t="shared" si="96"/>
        <v>45473</v>
      </c>
      <c r="I33" s="50">
        <f t="shared" si="97"/>
        <v>26</v>
      </c>
      <c r="K33" s="7">
        <v>29</v>
      </c>
      <c r="M33" s="5" t="str" cm="1">
        <f t="array" ref="M33">LOOKUP(2,1/($G$19:$G$35&lt;=$V33)/($H$19:$H$35&gt;=$V33),$F$19:$F$35)</f>
        <v>1H18</v>
      </c>
      <c r="N33" s="5" t="str" cm="1">
        <f t="array" ref="N33">LOOKUP(2,1/($G$8:$G$16&lt;=$V33)/($H$8:$H$16&gt;=$V33),$F$8:$F$16)</f>
        <v>FY18</v>
      </c>
      <c r="O33" s="5" t="str">
        <f>IFERROR(N33&amp;"-"&amp;COUNTIF($N$5:N33,N33),NA())</f>
        <v>FY18-3</v>
      </c>
      <c r="P33" s="5">
        <f>COUNTIF(V$5:V33,"&gt;="&amp;MAX($V:$V)-183)</f>
        <v>0</v>
      </c>
      <c r="Q33" s="5">
        <f>COUNTIF(V$5:V33,"&gt;="&amp;MAX($V:$V)-365)</f>
        <v>0</v>
      </c>
      <c r="R33" s="5" cm="1">
        <f t="array" ref="R33">LOOKUP(2,1/($G$46:$G$50&lt;=$V33)/($H$46:$H$50&gt;=$V33),$F$46:$F$50)</f>
        <v>0</v>
      </c>
      <c r="S33" s="5" cm="1">
        <f t="array" ref="S33">LOOKUP(2,1/($G$53:$G$56&lt;=$V33)/($H$53:$H$56&gt;=$V33),$F$53:$F$56)</f>
        <v>0</v>
      </c>
      <c r="T33" s="5" t="e">
        <f>IFERROR(IF($R33&gt;0,$R33&amp;"-"&amp;COUNTIF($R$5:$R33,$R33),NA()),NA())</f>
        <v>#N/A</v>
      </c>
      <c r="U33" s="5" t="e">
        <f>IFERROR(IF($S33&gt;0,$S33&amp;"-"&amp;COUNTIF($S$5:$S33,$S33),NA()),NA())</f>
        <v>#N/A</v>
      </c>
      <c r="V33" s="10">
        <v>42936</v>
      </c>
      <c r="W33" s="9">
        <v>13695982.549594617</v>
      </c>
      <c r="X33" s="9">
        <v>12724252.587700877</v>
      </c>
      <c r="Y33" s="8">
        <v>3000000</v>
      </c>
      <c r="AA33" s="48" t="e">
        <f t="shared" si="46"/>
        <v>#N/A</v>
      </c>
      <c r="AB33" s="12" t="e">
        <f t="shared" si="0"/>
        <v>#N/A</v>
      </c>
      <c r="AC33" s="15" t="e">
        <f t="shared" si="1"/>
        <v>#N/A</v>
      </c>
      <c r="AD33" s="14" t="e">
        <f t="shared" si="2"/>
        <v>#N/A</v>
      </c>
      <c r="AF33" s="1">
        <v>4</v>
      </c>
      <c r="AG33" s="1">
        <v>50</v>
      </c>
      <c r="AI33" s="40">
        <v>90</v>
      </c>
      <c r="AJ33" s="39">
        <f t="shared" si="106"/>
        <v>143822000</v>
      </c>
      <c r="AK33" s="40">
        <v>240</v>
      </c>
      <c r="AL33" s="39">
        <f t="shared" si="107"/>
        <v>541396999.99999988</v>
      </c>
      <c r="AN33" s="13"/>
      <c r="AO33" s="13"/>
      <c r="AP33" s="40">
        <v>90</v>
      </c>
      <c r="AQ33" s="39">
        <f t="shared" si="108"/>
        <v>100908999.99999999</v>
      </c>
      <c r="AR33" s="40">
        <v>240</v>
      </c>
      <c r="AS33" s="39">
        <f t="shared" si="109"/>
        <v>98734000.000000045</v>
      </c>
      <c r="AU33" s="13"/>
      <c r="AW33" s="48">
        <f t="shared" si="47"/>
        <v>29</v>
      </c>
      <c r="AX33" s="12">
        <f t="shared" si="4"/>
        <v>45302</v>
      </c>
      <c r="AY33" s="15">
        <f t="shared" si="5"/>
        <v>67199002.942137957</v>
      </c>
      <c r="AZ33" s="14">
        <f t="shared" si="48"/>
        <v>50000000</v>
      </c>
      <c r="BB33" s="1">
        <v>2</v>
      </c>
      <c r="BC33" s="1">
        <v>20</v>
      </c>
      <c r="BI33" s="40">
        <v>90</v>
      </c>
      <c r="BJ33" s="39">
        <f t="shared" si="110"/>
        <v>142643000.00000003</v>
      </c>
      <c r="BK33" s="40">
        <v>240</v>
      </c>
      <c r="BL33" s="39">
        <f t="shared" si="111"/>
        <v>590138000</v>
      </c>
      <c r="BN33" s="13"/>
      <c r="BO33" s="13"/>
      <c r="BP33" s="40">
        <v>6</v>
      </c>
      <c r="BQ33" s="39">
        <f t="shared" ref="BQ33:BQ42" si="146">($BQ$8*BP33^2+$BR$8*BP33+$BS$8)*1000000</f>
        <v>23083199.999999996</v>
      </c>
      <c r="BR33" s="110">
        <v>0</v>
      </c>
      <c r="BS33" s="39">
        <f t="shared" ref="BS33:BS36" si="147">BQ33*(1+BR33)</f>
        <v>23083199.999999996</v>
      </c>
      <c r="BU33" s="13"/>
      <c r="BW33" s="48" t="e">
        <f t="shared" si="8"/>
        <v>#N/A</v>
      </c>
      <c r="BX33" s="12" t="e">
        <f t="shared" si="9"/>
        <v>#N/A</v>
      </c>
      <c r="BY33" s="15" t="e">
        <f t="shared" si="10"/>
        <v>#N/A</v>
      </c>
      <c r="BZ33" s="14" t="e">
        <f t="shared" si="11"/>
        <v>#N/A</v>
      </c>
      <c r="CE33" s="40">
        <v>90</v>
      </c>
      <c r="CF33" s="39">
        <f t="shared" si="112"/>
        <v>110380999.99999999</v>
      </c>
      <c r="CG33" s="40">
        <v>240</v>
      </c>
      <c r="CH33" s="39">
        <f t="shared" si="113"/>
        <v>130076000.00000001</v>
      </c>
      <c r="CJ33" s="13"/>
      <c r="CK33" s="13"/>
      <c r="CL33" s="48" t="e">
        <f t="shared" si="12"/>
        <v>#N/A</v>
      </c>
      <c r="CM33" s="12" t="e">
        <f t="shared" si="13"/>
        <v>#N/A</v>
      </c>
      <c r="CN33" s="49" t="e">
        <f t="shared" si="14"/>
        <v>#N/A</v>
      </c>
      <c r="CO33" s="49" t="e">
        <f t="shared" si="15"/>
        <v>#N/A</v>
      </c>
      <c r="CQ33" s="61">
        <f t="shared" si="100"/>
        <v>5.8903860693834575E-2</v>
      </c>
      <c r="CT33" s="40">
        <v>90</v>
      </c>
      <c r="CU33" s="39">
        <f t="shared" si="114"/>
        <v>110380999.99999999</v>
      </c>
      <c r="CV33" s="40">
        <v>240</v>
      </c>
      <c r="CW33" s="39">
        <f t="shared" si="115"/>
        <v>130076000.00000001</v>
      </c>
      <c r="CY33" s="13"/>
      <c r="DA33" s="48" t="e">
        <f t="shared" si="16"/>
        <v>#N/A</v>
      </c>
      <c r="DB33" s="12" t="e">
        <f t="shared" si="17"/>
        <v>#N/A</v>
      </c>
      <c r="DC33" s="15" t="e">
        <f t="shared" si="18"/>
        <v>#N/A</v>
      </c>
      <c r="DD33" s="14" t="e">
        <f t="shared" si="19"/>
        <v>#N/A</v>
      </c>
      <c r="DI33" s="40">
        <v>90</v>
      </c>
      <c r="DJ33" s="39">
        <f t="shared" si="116"/>
        <v>110380999.99999999</v>
      </c>
      <c r="DK33" s="40">
        <v>240</v>
      </c>
      <c r="DL33" s="39">
        <f t="shared" si="117"/>
        <v>130076000.00000001</v>
      </c>
      <c r="DN33" s="13"/>
      <c r="DO33" s="13"/>
      <c r="DP33" s="48" t="e">
        <f t="shared" si="20"/>
        <v>#N/A</v>
      </c>
      <c r="DQ33" s="12" t="e">
        <f t="shared" si="21"/>
        <v>#N/A</v>
      </c>
      <c r="DR33" s="15" t="e">
        <f t="shared" si="22"/>
        <v>#N/A</v>
      </c>
      <c r="DS33" s="14" t="e">
        <f t="shared" si="23"/>
        <v>#N/A</v>
      </c>
      <c r="DU33" s="61">
        <f t="shared" si="104"/>
        <v>0.3047980325071924</v>
      </c>
      <c r="DX33" s="40">
        <v>90</v>
      </c>
      <c r="DY33" s="39">
        <f t="shared" si="118"/>
        <v>110380999.99999999</v>
      </c>
      <c r="DZ33" s="40">
        <v>240</v>
      </c>
      <c r="EA33" s="39">
        <f t="shared" si="119"/>
        <v>130076000.00000001</v>
      </c>
      <c r="EC33" s="13"/>
      <c r="ED33" s="13"/>
      <c r="EE33" s="40">
        <v>90</v>
      </c>
      <c r="EF33" s="39">
        <f t="shared" si="120"/>
        <v>83328000</v>
      </c>
      <c r="EG33" s="40">
        <v>240</v>
      </c>
      <c r="EH33" s="39">
        <f t="shared" si="121"/>
        <v>147963000</v>
      </c>
      <c r="EJ33" s="13"/>
      <c r="EK33" s="13"/>
      <c r="EL33" s="47" t="str">
        <f t="shared" si="25"/>
        <v>FY18-29</v>
      </c>
      <c r="EM33" s="16">
        <v>43118</v>
      </c>
      <c r="EN33" s="15">
        <v>14500914.517854061</v>
      </c>
      <c r="EO33" s="14">
        <f t="shared" si="26"/>
        <v>3000000</v>
      </c>
      <c r="EQ33" s="14">
        <v>3000000</v>
      </c>
      <c r="ER33" s="1">
        <f t="shared" ref="ER33:ER39" si="148">COUNTIF($EO$45:$EO$56,EQ33)</f>
        <v>4</v>
      </c>
      <c r="ET33" s="40">
        <v>90</v>
      </c>
      <c r="EU33" s="39">
        <f t="shared" si="122"/>
        <v>138401000</v>
      </c>
      <c r="EV33" s="40">
        <v>240</v>
      </c>
      <c r="EW33" s="39">
        <f t="shared" si="123"/>
        <v>640736000</v>
      </c>
      <c r="EX33" s="13"/>
      <c r="EY33" s="13"/>
      <c r="EZ33" s="13"/>
      <c r="FA33" s="16" t="s">
        <v>33</v>
      </c>
      <c r="FB33" s="16">
        <v>43482</v>
      </c>
      <c r="FC33" s="15">
        <v>174145591.86268273</v>
      </c>
      <c r="FD33" s="14">
        <v>100000000</v>
      </c>
      <c r="FI33" s="40">
        <v>90</v>
      </c>
      <c r="FJ33" s="39">
        <f t="shared" si="124"/>
        <v>136227000</v>
      </c>
      <c r="FK33" s="40">
        <v>240</v>
      </c>
      <c r="FL33" s="39">
        <f t="shared" si="125"/>
        <v>790677000</v>
      </c>
      <c r="FN33" s="13"/>
      <c r="FO33" s="13"/>
      <c r="FP33" s="40">
        <v>90</v>
      </c>
      <c r="FQ33" s="39">
        <f t="shared" si="126"/>
        <v>116228000</v>
      </c>
      <c r="FR33" s="40">
        <v>240</v>
      </c>
      <c r="FS33" s="39">
        <f t="shared" si="127"/>
        <v>536483000.00000006</v>
      </c>
      <c r="FU33" s="13"/>
      <c r="FV33" s="13"/>
      <c r="FW33" s="16" t="s">
        <v>39</v>
      </c>
      <c r="FX33" s="16">
        <v>43846</v>
      </c>
      <c r="FY33" s="15">
        <v>25817218.392227244</v>
      </c>
      <c r="FZ33" s="14">
        <v>12000000</v>
      </c>
      <c r="GB33" s="1" t="s">
        <v>62</v>
      </c>
      <c r="GF33" s="40">
        <v>90</v>
      </c>
      <c r="GG33" s="39">
        <f t="shared" si="128"/>
        <v>102511000</v>
      </c>
      <c r="GH33" s="40">
        <v>240</v>
      </c>
      <c r="GI33" s="39">
        <f t="shared" si="129"/>
        <v>431326000</v>
      </c>
      <c r="GK33" s="13"/>
      <c r="GL33" s="13"/>
      <c r="GM33" s="40">
        <v>90</v>
      </c>
      <c r="GN33" s="39">
        <f t="shared" si="130"/>
        <v>83328000</v>
      </c>
      <c r="GO33" s="40">
        <v>240</v>
      </c>
      <c r="GP33" s="39">
        <f t="shared" si="131"/>
        <v>147963000</v>
      </c>
      <c r="GR33" s="13"/>
      <c r="GS33" s="13"/>
      <c r="GT33" s="16" t="s">
        <v>38</v>
      </c>
      <c r="GU33" s="16">
        <v>44210</v>
      </c>
      <c r="GV33" s="15">
        <v>24054723.502584364</v>
      </c>
      <c r="GW33" s="14">
        <v>8000000</v>
      </c>
      <c r="GY33" s="1">
        <v>4</v>
      </c>
      <c r="GZ33" s="1">
        <v>50</v>
      </c>
      <c r="HB33" s="40">
        <v>90</v>
      </c>
      <c r="HC33" s="39">
        <f t="shared" si="132"/>
        <v>124753000</v>
      </c>
      <c r="HD33" s="40">
        <v>240</v>
      </c>
      <c r="HE33" s="39">
        <f t="shared" si="133"/>
        <v>390402999.99999994</v>
      </c>
      <c r="HG33" s="13"/>
      <c r="HH33" s="13"/>
      <c r="HI33" s="16" t="s">
        <v>35</v>
      </c>
      <c r="HJ33" s="16">
        <v>44574</v>
      </c>
      <c r="HK33" s="15">
        <v>18115088.35512314</v>
      </c>
      <c r="HL33" s="14">
        <v>3000000</v>
      </c>
      <c r="HN33" s="1">
        <v>6</v>
      </c>
      <c r="HO33" s="1">
        <v>80</v>
      </c>
      <c r="HQ33" s="40">
        <v>90</v>
      </c>
      <c r="HR33" s="39">
        <f t="shared" si="134"/>
        <v>149680000</v>
      </c>
      <c r="HS33" s="40">
        <v>240</v>
      </c>
      <c r="HT33" s="39">
        <f t="shared" si="135"/>
        <v>789235000</v>
      </c>
      <c r="HV33" s="13"/>
      <c r="HW33" s="13"/>
      <c r="HX33" s="40">
        <v>90</v>
      </c>
      <c r="HY33" s="39">
        <f t="shared" si="136"/>
        <v>128799999.99999999</v>
      </c>
      <c r="HZ33" s="40">
        <v>240</v>
      </c>
      <c r="IA33" s="39">
        <f t="shared" si="137"/>
        <v>484494999.99999994</v>
      </c>
      <c r="IC33" s="13"/>
      <c r="ID33" s="13"/>
      <c r="IE33" s="16" t="s">
        <v>37</v>
      </c>
      <c r="IF33" s="16">
        <v>44945</v>
      </c>
      <c r="IG33" s="15">
        <v>28696273.517786555</v>
      </c>
      <c r="IH33" s="14">
        <v>8000000</v>
      </c>
      <c r="IJ33" s="1">
        <v>5</v>
      </c>
      <c r="IK33" s="1">
        <v>60</v>
      </c>
      <c r="IM33" s="40">
        <v>90</v>
      </c>
      <c r="IN33" s="39">
        <f t="shared" si="138"/>
        <v>148573000</v>
      </c>
      <c r="IO33" s="40">
        <v>240</v>
      </c>
      <c r="IP33" s="39">
        <f t="shared" si="139"/>
        <v>528028000.00000012</v>
      </c>
      <c r="IR33" s="13"/>
      <c r="IS33" s="13"/>
      <c r="IT33" s="111">
        <v>250</v>
      </c>
      <c r="IU33" s="39">
        <f t="shared" si="87"/>
        <v>302873999.99999994</v>
      </c>
      <c r="IV33" s="40"/>
      <c r="IW33" s="39"/>
      <c r="IY33" s="13"/>
      <c r="IZ33" s="13"/>
      <c r="JA33" s="16" t="s">
        <v>115</v>
      </c>
      <c r="JB33" s="16">
        <v>45309</v>
      </c>
      <c r="JC33" s="15">
        <v>155083141.44055796</v>
      </c>
      <c r="JD33" s="14">
        <v>100000000</v>
      </c>
      <c r="JF33" s="1">
        <v>4</v>
      </c>
      <c r="JG33" s="1">
        <v>50</v>
      </c>
      <c r="JI33" s="40">
        <v>90</v>
      </c>
      <c r="JJ33" s="39">
        <f t="shared" si="140"/>
        <v>148573000</v>
      </c>
      <c r="JK33" s="40">
        <v>240</v>
      </c>
      <c r="JL33" s="39">
        <f t="shared" si="141"/>
        <v>528028000.00000012</v>
      </c>
      <c r="JN33" s="13"/>
      <c r="JO33" s="13"/>
      <c r="JP33" s="111">
        <v>250</v>
      </c>
      <c r="JQ33" s="39">
        <f t="shared" si="91"/>
        <v>278147999.99999994</v>
      </c>
      <c r="JR33" s="69"/>
      <c r="JS33" s="69"/>
      <c r="JU33" s="13"/>
      <c r="JV33" s="13"/>
      <c r="KJ33" s="1">
        <v>4</v>
      </c>
      <c r="KK33" s="1">
        <v>20</v>
      </c>
      <c r="LH33" s="52" t="s">
        <v>42</v>
      </c>
      <c r="LI33" s="52" t="s">
        <v>41</v>
      </c>
      <c r="MF33" s="1">
        <v>4</v>
      </c>
      <c r="MG33" s="1">
        <v>40</v>
      </c>
      <c r="MV33" s="1">
        <v>7</v>
      </c>
      <c r="MW33" s="1">
        <v>120</v>
      </c>
      <c r="MY33" s="16" t="s">
        <v>34</v>
      </c>
      <c r="MZ33" s="16">
        <v>43034</v>
      </c>
      <c r="NA33" s="15">
        <v>12711600</v>
      </c>
      <c r="NB33" s="14">
        <v>3000000</v>
      </c>
      <c r="ND33" s="1">
        <v>4</v>
      </c>
      <c r="NE33" s="1">
        <v>15</v>
      </c>
      <c r="NG33" s="40">
        <v>90</v>
      </c>
      <c r="NH33" s="39">
        <f t="shared" si="142"/>
        <v>115782000.00000001</v>
      </c>
      <c r="NI33" s="40">
        <v>240</v>
      </c>
      <c r="NJ33" s="39">
        <f t="shared" si="143"/>
        <v>313212000</v>
      </c>
      <c r="NL33" s="13"/>
      <c r="NN33" s="16" t="s">
        <v>33</v>
      </c>
      <c r="NO33" s="16">
        <v>43405</v>
      </c>
      <c r="NP33" s="15">
        <v>42118956</v>
      </c>
      <c r="NQ33" s="14">
        <v>40000000</v>
      </c>
      <c r="NV33" s="40">
        <v>90</v>
      </c>
      <c r="NW33" s="39">
        <f t="shared" si="144"/>
        <v>131268000</v>
      </c>
      <c r="NX33" s="40">
        <v>240</v>
      </c>
      <c r="NY33" s="39">
        <f t="shared" si="145"/>
        <v>745803000.00000012</v>
      </c>
      <c r="OA33" s="13"/>
      <c r="OB33" s="1"/>
    </row>
    <row r="34" spans="2:392" x14ac:dyDescent="0.2">
      <c r="B34" s="5"/>
      <c r="C34" s="5"/>
      <c r="D34" s="5"/>
      <c r="F34" s="5" t="s">
        <v>61</v>
      </c>
      <c r="G34" s="51">
        <f t="shared" si="98"/>
        <v>45474</v>
      </c>
      <c r="H34" s="51">
        <f t="shared" si="96"/>
        <v>45657</v>
      </c>
      <c r="I34" s="50">
        <f t="shared" si="97"/>
        <v>26</v>
      </c>
      <c r="K34" s="7">
        <v>30</v>
      </c>
      <c r="M34" s="5" t="str" cm="1">
        <f t="array" ref="M34">LOOKUP(2,1/($G$19:$G$35&lt;=$V34)/($H$19:$H$35&gt;=$V34),$F$19:$F$35)</f>
        <v>1H18</v>
      </c>
      <c r="N34" s="5" t="str" cm="1">
        <f t="array" ref="N34">LOOKUP(2,1/($G$8:$G$16&lt;=$V34)/($H$8:$H$16&gt;=$V34),$F$8:$F$16)</f>
        <v>FY18</v>
      </c>
      <c r="O34" s="5" t="str">
        <f>IFERROR(N34&amp;"-"&amp;COUNTIF($N$5:N34,N34),NA())</f>
        <v>FY18-4</v>
      </c>
      <c r="P34" s="5">
        <f>COUNTIF(V$5:V34,"&gt;="&amp;MAX($V:$V)-183)</f>
        <v>0</v>
      </c>
      <c r="Q34" s="5">
        <f>COUNTIF(V$5:V34,"&gt;="&amp;MAX($V:$V)-365)</f>
        <v>0</v>
      </c>
      <c r="R34" s="5" cm="1">
        <f t="array" ref="R34">LOOKUP(2,1/($G$46:$G$50&lt;=$V34)/($H$46:$H$50&gt;=$V34),$F$46:$F$50)</f>
        <v>0</v>
      </c>
      <c r="S34" s="5" cm="1">
        <f t="array" ref="S34">LOOKUP(2,1/($G$53:$G$56&lt;=$V34)/($H$53:$H$56&gt;=$V34),$F$53:$F$56)</f>
        <v>0</v>
      </c>
      <c r="T34" s="5" t="e">
        <f>IFERROR(IF($R34&gt;0,$R34&amp;"-"&amp;COUNTIF($R$5:$R34,$R34),NA()),NA())</f>
        <v>#N/A</v>
      </c>
      <c r="U34" s="5" t="e">
        <f>IFERROR(IF($S34&gt;0,$S34&amp;"-"&amp;COUNTIF($S$5:$S34,$S34),NA()),NA())</f>
        <v>#N/A</v>
      </c>
      <c r="V34" s="10">
        <v>42943</v>
      </c>
      <c r="W34" s="9">
        <v>12329121.10746938</v>
      </c>
      <c r="X34" s="9">
        <v>11454369.964894427</v>
      </c>
      <c r="Y34" s="8">
        <v>3000000</v>
      </c>
      <c r="AA34" s="48" t="e">
        <f t="shared" si="46"/>
        <v>#N/A</v>
      </c>
      <c r="AB34" s="12" t="e">
        <f t="shared" si="0"/>
        <v>#N/A</v>
      </c>
      <c r="AC34" s="15" t="e">
        <f t="shared" si="1"/>
        <v>#N/A</v>
      </c>
      <c r="AD34" s="14" t="e">
        <f t="shared" si="2"/>
        <v>#N/A</v>
      </c>
      <c r="AF34" s="1">
        <v>5</v>
      </c>
      <c r="AG34" s="1">
        <v>100</v>
      </c>
      <c r="AI34" s="40">
        <v>100</v>
      </c>
      <c r="AJ34" s="39">
        <f t="shared" si="106"/>
        <v>163047000</v>
      </c>
      <c r="AK34" s="40">
        <v>250</v>
      </c>
      <c r="AL34" s="39">
        <f t="shared" si="107"/>
        <v>576222000</v>
      </c>
      <c r="AN34" s="13"/>
      <c r="AO34" s="13"/>
      <c r="AP34" s="40">
        <v>100</v>
      </c>
      <c r="AQ34" s="39">
        <f t="shared" si="108"/>
        <v>106364000</v>
      </c>
      <c r="AR34" s="40">
        <v>250</v>
      </c>
      <c r="AS34" s="39">
        <f t="shared" si="109"/>
        <v>92189000</v>
      </c>
      <c r="AU34" s="13"/>
      <c r="AW34" s="48">
        <f t="shared" si="47"/>
        <v>30</v>
      </c>
      <c r="AX34" s="12">
        <f t="shared" si="4"/>
        <v>45309</v>
      </c>
      <c r="AY34" s="15">
        <f t="shared" si="5"/>
        <v>155083141.44055796</v>
      </c>
      <c r="AZ34" s="14">
        <f t="shared" si="48"/>
        <v>100000000</v>
      </c>
      <c r="BB34" s="1">
        <v>3</v>
      </c>
      <c r="BC34" s="1">
        <v>30</v>
      </c>
      <c r="BI34" s="40">
        <v>100</v>
      </c>
      <c r="BJ34" s="39">
        <f t="shared" si="110"/>
        <v>163096000</v>
      </c>
      <c r="BK34" s="40">
        <v>250</v>
      </c>
      <c r="BL34" s="39">
        <f t="shared" si="111"/>
        <v>630691000</v>
      </c>
      <c r="BN34" s="13"/>
      <c r="BO34" s="13"/>
      <c r="BP34" s="40">
        <v>15</v>
      </c>
      <c r="BQ34" s="39">
        <f t="shared" si="146"/>
        <v>32858999.999999996</v>
      </c>
      <c r="BR34" s="110">
        <v>0</v>
      </c>
      <c r="BS34" s="39">
        <f t="shared" si="147"/>
        <v>32858999.999999996</v>
      </c>
      <c r="BU34" s="13"/>
      <c r="BW34" s="48" t="e">
        <f t="shared" si="8"/>
        <v>#N/A</v>
      </c>
      <c r="BX34" s="12" t="e">
        <f t="shared" si="9"/>
        <v>#N/A</v>
      </c>
      <c r="BY34" s="15" t="e">
        <f t="shared" si="10"/>
        <v>#N/A</v>
      </c>
      <c r="BZ34" s="14" t="e">
        <f t="shared" si="11"/>
        <v>#N/A</v>
      </c>
      <c r="CE34" s="40">
        <v>100</v>
      </c>
      <c r="CF34" s="39">
        <f t="shared" si="112"/>
        <v>117153999.99999999</v>
      </c>
      <c r="CG34" s="40">
        <v>250</v>
      </c>
      <c r="CH34" s="39">
        <f t="shared" si="113"/>
        <v>125148999.99999999</v>
      </c>
      <c r="CJ34" s="13"/>
      <c r="CK34" s="13"/>
      <c r="CL34" s="48" t="e">
        <f t="shared" si="12"/>
        <v>#N/A</v>
      </c>
      <c r="CM34" s="12" t="e">
        <f t="shared" si="13"/>
        <v>#N/A</v>
      </c>
      <c r="CN34" s="49" t="e">
        <f t="shared" si="14"/>
        <v>#N/A</v>
      </c>
      <c r="CO34" s="49" t="e">
        <f t="shared" si="15"/>
        <v>#N/A</v>
      </c>
      <c r="CQ34" s="61">
        <f t="shared" si="100"/>
        <v>5.8009387411241065E-2</v>
      </c>
      <c r="CT34" s="40">
        <v>100</v>
      </c>
      <c r="CU34" s="39">
        <f t="shared" si="114"/>
        <v>117153999.99999999</v>
      </c>
      <c r="CV34" s="40">
        <v>250</v>
      </c>
      <c r="CW34" s="39">
        <f t="shared" si="115"/>
        <v>125148999.99999999</v>
      </c>
      <c r="CY34" s="13"/>
      <c r="DA34" s="48" t="e">
        <f t="shared" si="16"/>
        <v>#N/A</v>
      </c>
      <c r="DB34" s="12" t="e">
        <f t="shared" si="17"/>
        <v>#N/A</v>
      </c>
      <c r="DC34" s="15" t="e">
        <f t="shared" si="18"/>
        <v>#N/A</v>
      </c>
      <c r="DD34" s="14" t="e">
        <f t="shared" si="19"/>
        <v>#N/A</v>
      </c>
      <c r="DI34" s="40">
        <v>100</v>
      </c>
      <c r="DJ34" s="39">
        <f t="shared" si="116"/>
        <v>117153999.99999999</v>
      </c>
      <c r="DK34" s="40">
        <v>250</v>
      </c>
      <c r="DL34" s="39">
        <f t="shared" si="117"/>
        <v>125148999.99999999</v>
      </c>
      <c r="DN34" s="13"/>
      <c r="DO34" s="13"/>
      <c r="DP34" s="48" t="e">
        <f t="shared" si="20"/>
        <v>#N/A</v>
      </c>
      <c r="DQ34" s="12" t="e">
        <f t="shared" si="21"/>
        <v>#N/A</v>
      </c>
      <c r="DR34" s="15" t="e">
        <f t="shared" si="22"/>
        <v>#N/A</v>
      </c>
      <c r="DS34" s="14" t="e">
        <f t="shared" si="23"/>
        <v>#N/A</v>
      </c>
      <c r="DU34" s="61">
        <f t="shared" si="104"/>
        <v>0.30623338357069074</v>
      </c>
      <c r="DX34" s="40">
        <v>100</v>
      </c>
      <c r="DY34" s="39">
        <f t="shared" si="118"/>
        <v>117153999.99999999</v>
      </c>
      <c r="DZ34" s="40">
        <v>250</v>
      </c>
      <c r="EA34" s="39">
        <f t="shared" si="119"/>
        <v>125148999.99999999</v>
      </c>
      <c r="EC34" s="13"/>
      <c r="ED34" s="13"/>
      <c r="EE34" s="40">
        <v>100</v>
      </c>
      <c r="EF34" s="39">
        <f t="shared" si="120"/>
        <v>89597000.000000015</v>
      </c>
      <c r="EG34" s="40">
        <v>250</v>
      </c>
      <c r="EH34" s="39">
        <f t="shared" si="121"/>
        <v>150031999.99999997</v>
      </c>
      <c r="EJ34" s="13"/>
      <c r="EK34" s="13"/>
      <c r="EL34" s="47" t="str">
        <f t="shared" si="25"/>
        <v>FY18-30</v>
      </c>
      <c r="EM34" s="16">
        <v>43125</v>
      </c>
      <c r="EN34" s="15">
        <v>16030550.11040193</v>
      </c>
      <c r="EO34" s="14">
        <f t="shared" si="26"/>
        <v>3000000</v>
      </c>
      <c r="EQ34" s="14">
        <v>8000000</v>
      </c>
      <c r="ER34" s="1">
        <f t="shared" si="148"/>
        <v>3</v>
      </c>
      <c r="ET34" s="40">
        <v>100</v>
      </c>
      <c r="EU34" s="39">
        <f t="shared" si="122"/>
        <v>160549999.99999997</v>
      </c>
      <c r="EV34" s="40">
        <v>250</v>
      </c>
      <c r="EW34" s="39">
        <f t="shared" si="123"/>
        <v>687185000</v>
      </c>
      <c r="EX34" s="13"/>
      <c r="EY34" s="13"/>
      <c r="EZ34" s="13"/>
      <c r="FA34" s="16" t="s">
        <v>33</v>
      </c>
      <c r="FB34" s="16">
        <v>43489</v>
      </c>
      <c r="FC34" s="15">
        <v>13937889.72089857</v>
      </c>
      <c r="FD34" s="14">
        <v>3000000</v>
      </c>
      <c r="FI34" s="40">
        <v>100</v>
      </c>
      <c r="FJ34" s="39">
        <f t="shared" si="124"/>
        <v>162217000</v>
      </c>
      <c r="FK34" s="40">
        <v>250</v>
      </c>
      <c r="FL34" s="39">
        <f t="shared" si="125"/>
        <v>854467000</v>
      </c>
      <c r="FN34" s="13"/>
      <c r="FO34" s="13"/>
      <c r="FP34" s="40">
        <v>100</v>
      </c>
      <c r="FQ34" s="39">
        <f t="shared" si="126"/>
        <v>134585000</v>
      </c>
      <c r="FR34" s="40">
        <v>250</v>
      </c>
      <c r="FS34" s="39">
        <f t="shared" si="127"/>
        <v>575540000</v>
      </c>
      <c r="FU34" s="13"/>
      <c r="FV34" s="13"/>
      <c r="FW34" s="16" t="s">
        <v>39</v>
      </c>
      <c r="FX34" s="16">
        <v>43853</v>
      </c>
      <c r="FY34" s="15">
        <v>34282351.135590076</v>
      </c>
      <c r="FZ34" s="14">
        <v>20000000</v>
      </c>
      <c r="GF34" s="40">
        <v>100</v>
      </c>
      <c r="GG34" s="39">
        <f t="shared" si="128"/>
        <v>117152000</v>
      </c>
      <c r="GH34" s="40">
        <v>250</v>
      </c>
      <c r="GI34" s="39">
        <f t="shared" si="129"/>
        <v>461567000</v>
      </c>
      <c r="GK34" s="13"/>
      <c r="GL34" s="13"/>
      <c r="GM34" s="40">
        <v>100</v>
      </c>
      <c r="GN34" s="39">
        <f t="shared" si="130"/>
        <v>89597000.000000015</v>
      </c>
      <c r="GO34" s="40">
        <v>250</v>
      </c>
      <c r="GP34" s="39">
        <f t="shared" si="131"/>
        <v>150031999.99999997</v>
      </c>
      <c r="GR34" s="13"/>
      <c r="GS34" s="13"/>
      <c r="GT34" s="16" t="s">
        <v>38</v>
      </c>
      <c r="GU34" s="16">
        <v>44217</v>
      </c>
      <c r="GV34" s="15">
        <v>39055239.160839155</v>
      </c>
      <c r="GW34" s="14">
        <v>20000000</v>
      </c>
      <c r="GY34" s="1">
        <v>5</v>
      </c>
      <c r="GZ34" s="1">
        <v>80</v>
      </c>
      <c r="HB34" s="40">
        <v>100</v>
      </c>
      <c r="HC34" s="39">
        <f t="shared" si="132"/>
        <v>139102999.99999997</v>
      </c>
      <c r="HD34" s="40">
        <v>250</v>
      </c>
      <c r="HE34" s="39">
        <f t="shared" si="133"/>
        <v>411953000</v>
      </c>
      <c r="HG34" s="13"/>
      <c r="HH34" s="13"/>
      <c r="HI34" s="16" t="s">
        <v>35</v>
      </c>
      <c r="HJ34" s="16">
        <v>44581</v>
      </c>
      <c r="HK34" s="15">
        <v>23312285.071450286</v>
      </c>
      <c r="HL34" s="14">
        <v>8000000</v>
      </c>
      <c r="HN34" s="1">
        <v>7</v>
      </c>
      <c r="HO34" s="1">
        <v>120</v>
      </c>
      <c r="HQ34" s="40">
        <v>100</v>
      </c>
      <c r="HR34" s="39">
        <f t="shared" si="134"/>
        <v>175657000</v>
      </c>
      <c r="HS34" s="40">
        <v>250</v>
      </c>
      <c r="HT34" s="39">
        <f t="shared" si="135"/>
        <v>850911999.99999988</v>
      </c>
      <c r="HV34" s="13"/>
      <c r="HW34" s="13"/>
      <c r="HX34" s="40">
        <v>100</v>
      </c>
      <c r="HY34" s="39">
        <f t="shared" si="136"/>
        <v>145792999.99999997</v>
      </c>
      <c r="HZ34" s="40">
        <v>250</v>
      </c>
      <c r="IA34" s="39">
        <f t="shared" si="137"/>
        <v>515888000.00000006</v>
      </c>
      <c r="IC34" s="13"/>
      <c r="ID34" s="13"/>
      <c r="IE34" s="16" t="s">
        <v>37</v>
      </c>
      <c r="IF34" s="16">
        <v>44952</v>
      </c>
      <c r="IG34" s="15">
        <v>41976722.529644273</v>
      </c>
      <c r="IH34" s="14">
        <v>20000000</v>
      </c>
      <c r="IJ34" s="1">
        <v>6</v>
      </c>
      <c r="IK34" s="1">
        <v>80</v>
      </c>
      <c r="IM34" s="40">
        <v>100</v>
      </c>
      <c r="IN34" s="39">
        <f t="shared" si="138"/>
        <v>167710000</v>
      </c>
      <c r="IO34" s="40">
        <v>250</v>
      </c>
      <c r="IP34" s="39">
        <f t="shared" si="139"/>
        <v>560365000</v>
      </c>
      <c r="IR34" s="13"/>
      <c r="IS34" s="13"/>
      <c r="IT34" s="111">
        <v>300</v>
      </c>
      <c r="IU34" s="39">
        <f t="shared" si="87"/>
        <v>360154000</v>
      </c>
      <c r="IV34" s="40"/>
      <c r="IW34" s="39"/>
      <c r="IY34" s="13"/>
      <c r="IZ34" s="13"/>
      <c r="JA34" s="16" t="s">
        <v>115</v>
      </c>
      <c r="JB34" s="16">
        <v>45316</v>
      </c>
      <c r="JC34" s="15">
        <v>224519188.18786097</v>
      </c>
      <c r="JD34" s="14">
        <v>150000000</v>
      </c>
      <c r="JF34" s="1">
        <v>5</v>
      </c>
      <c r="JG34" s="1">
        <v>100</v>
      </c>
      <c r="JI34" s="40">
        <v>100</v>
      </c>
      <c r="JJ34" s="39">
        <f t="shared" si="140"/>
        <v>167710000</v>
      </c>
      <c r="JK34" s="40">
        <v>250</v>
      </c>
      <c r="JL34" s="39">
        <f t="shared" si="141"/>
        <v>560365000</v>
      </c>
      <c r="JN34" s="13"/>
      <c r="JO34" s="13"/>
      <c r="JP34" s="111">
        <v>300</v>
      </c>
      <c r="JQ34" s="39">
        <f t="shared" si="91"/>
        <v>330412999.99999994</v>
      </c>
      <c r="JR34" s="69"/>
      <c r="JS34" s="69"/>
      <c r="JU34" s="13"/>
      <c r="JV34" s="13"/>
      <c r="KJ34" s="1">
        <v>5</v>
      </c>
      <c r="KK34" s="1">
        <v>30</v>
      </c>
      <c r="LH34" s="1">
        <v>1</v>
      </c>
      <c r="LI34" s="1">
        <v>3</v>
      </c>
      <c r="MF34" s="1">
        <v>5</v>
      </c>
      <c r="MG34" s="1">
        <v>60</v>
      </c>
      <c r="MY34" s="16" t="s">
        <v>34</v>
      </c>
      <c r="MZ34" s="16">
        <v>43041</v>
      </c>
      <c r="NA34" s="15">
        <v>16118190</v>
      </c>
      <c r="NB34" s="14">
        <v>6000000</v>
      </c>
      <c r="ND34" s="1">
        <v>5</v>
      </c>
      <c r="NE34" s="1">
        <v>25</v>
      </c>
      <c r="NG34" s="40">
        <v>100</v>
      </c>
      <c r="NH34" s="39">
        <f t="shared" si="142"/>
        <v>128104000.00000001</v>
      </c>
      <c r="NI34" s="40">
        <v>250</v>
      </c>
      <c r="NJ34" s="39">
        <f t="shared" si="143"/>
        <v>327334000</v>
      </c>
      <c r="NL34" s="13"/>
      <c r="NN34" s="16" t="s">
        <v>33</v>
      </c>
      <c r="NO34" s="16">
        <v>43412</v>
      </c>
      <c r="NP34" s="15">
        <v>69371610</v>
      </c>
      <c r="NQ34" s="14">
        <v>60000000</v>
      </c>
      <c r="NV34" s="40">
        <v>100</v>
      </c>
      <c r="NW34" s="39">
        <f t="shared" si="144"/>
        <v>155857000</v>
      </c>
      <c r="NX34" s="40">
        <v>250</v>
      </c>
      <c r="NY34" s="39">
        <f t="shared" si="145"/>
        <v>805492000.00000012</v>
      </c>
      <c r="OA34" s="13"/>
      <c r="OB34" s="1"/>
    </row>
    <row r="35" spans="2:392" x14ac:dyDescent="0.2">
      <c r="B35" s="5"/>
      <c r="C35" s="5"/>
      <c r="D35" s="5"/>
      <c r="F35" s="5" t="s">
        <v>60</v>
      </c>
      <c r="G35" s="51">
        <f t="shared" si="98"/>
        <v>45658</v>
      </c>
      <c r="H35" s="51">
        <f t="shared" si="96"/>
        <v>45838</v>
      </c>
      <c r="I35" s="50">
        <f t="shared" si="97"/>
        <v>26</v>
      </c>
      <c r="K35" s="7">
        <v>31</v>
      </c>
      <c r="M35" s="5" t="str" cm="1">
        <f t="array" ref="M35">LOOKUP(2,1/($G$19:$G$35&lt;=$V35)/($H$19:$H$35&gt;=$V35),$F$19:$F$35)</f>
        <v>1H18</v>
      </c>
      <c r="N35" s="5" t="str" cm="1">
        <f t="array" ref="N35">LOOKUP(2,1/($G$8:$G$16&lt;=$V35)/($H$8:$H$16&gt;=$V35),$F$8:$F$16)</f>
        <v>FY18</v>
      </c>
      <c r="O35" s="5" t="str">
        <f>IFERROR(N35&amp;"-"&amp;COUNTIF($N$5:N35,N35),NA())</f>
        <v>FY18-5</v>
      </c>
      <c r="P35" s="5">
        <f>COUNTIF(V$5:V35,"&gt;="&amp;MAX($V:$V)-183)</f>
        <v>0</v>
      </c>
      <c r="Q35" s="5">
        <f>COUNTIF(V$5:V35,"&gt;="&amp;MAX($V:$V)-365)</f>
        <v>0</v>
      </c>
      <c r="R35" s="5" cm="1">
        <f t="array" ref="R35">LOOKUP(2,1/($G$46:$G$50&lt;=$V35)/($H$46:$H$50&gt;=$V35),$F$46:$F$50)</f>
        <v>0</v>
      </c>
      <c r="S35" s="5" cm="1">
        <f t="array" ref="S35">LOOKUP(2,1/($G$53:$G$56&lt;=$V35)/($H$53:$H$56&gt;=$V35),$F$53:$F$56)</f>
        <v>0</v>
      </c>
      <c r="T35" s="5" t="e">
        <f>IFERROR(IF($R35&gt;0,$R35&amp;"-"&amp;COUNTIF($R$5:$R35,$R35),NA()),NA())</f>
        <v>#N/A</v>
      </c>
      <c r="U35" s="5" t="e">
        <f>IFERROR(IF($S35&gt;0,$S35&amp;"-"&amp;COUNTIF($S$5:$S35,$S35),NA()),NA())</f>
        <v>#N/A</v>
      </c>
      <c r="V35" s="10">
        <v>42950</v>
      </c>
      <c r="W35" s="9">
        <v>17372581.597377952</v>
      </c>
      <c r="X35" s="9">
        <v>16139996.933043985</v>
      </c>
      <c r="Y35" s="8">
        <v>6000000</v>
      </c>
      <c r="AA35" s="48" t="e">
        <f t="shared" si="46"/>
        <v>#N/A</v>
      </c>
      <c r="AB35" s="12" t="e">
        <f t="shared" si="0"/>
        <v>#N/A</v>
      </c>
      <c r="AC35" s="15" t="e">
        <f t="shared" si="1"/>
        <v>#N/A</v>
      </c>
      <c r="AD35" s="14" t="e">
        <f t="shared" si="2"/>
        <v>#N/A</v>
      </c>
      <c r="AF35" s="1">
        <v>6</v>
      </c>
      <c r="AG35" s="1">
        <v>160</v>
      </c>
      <c r="AI35" s="40">
        <v>110</v>
      </c>
      <c r="AJ35" s="39">
        <f t="shared" si="106"/>
        <v>183312000</v>
      </c>
      <c r="AK35" s="40">
        <v>260</v>
      </c>
      <c r="AL35" s="39">
        <f t="shared" si="107"/>
        <v>612087000</v>
      </c>
      <c r="AN35" s="13"/>
      <c r="AO35" s="13"/>
      <c r="AP35" s="40">
        <v>110</v>
      </c>
      <c r="AQ35" s="39">
        <f t="shared" si="108"/>
        <v>111019000</v>
      </c>
      <c r="AR35" s="40">
        <v>260</v>
      </c>
      <c r="AS35" s="39">
        <f t="shared" si="109"/>
        <v>84844000.00000003</v>
      </c>
      <c r="AU35" s="13"/>
      <c r="AW35" s="48">
        <f t="shared" si="47"/>
        <v>31</v>
      </c>
      <c r="AX35" s="12">
        <f t="shared" si="4"/>
        <v>45316</v>
      </c>
      <c r="AY35" s="15">
        <f t="shared" si="5"/>
        <v>224519188.18786097</v>
      </c>
      <c r="AZ35" s="14">
        <f t="shared" si="48"/>
        <v>150000000</v>
      </c>
      <c r="BB35" s="1">
        <v>4</v>
      </c>
      <c r="BC35" s="1">
        <v>50</v>
      </c>
      <c r="BI35" s="40">
        <v>110</v>
      </c>
      <c r="BJ35" s="39">
        <f t="shared" si="110"/>
        <v>184889000</v>
      </c>
      <c r="BK35" s="40">
        <v>260</v>
      </c>
      <c r="BL35" s="39">
        <f t="shared" si="111"/>
        <v>672584000.00000012</v>
      </c>
      <c r="BN35" s="13"/>
      <c r="BO35" s="13"/>
      <c r="BP35" s="40">
        <v>30</v>
      </c>
      <c r="BQ35" s="39">
        <f t="shared" si="146"/>
        <v>49152000</v>
      </c>
      <c r="BR35" s="110">
        <v>0</v>
      </c>
      <c r="BS35" s="39">
        <f t="shared" si="147"/>
        <v>49152000</v>
      </c>
      <c r="BU35" s="13"/>
      <c r="BW35" s="48" t="e">
        <f t="shared" si="8"/>
        <v>#N/A</v>
      </c>
      <c r="BX35" s="12" t="e">
        <f t="shared" si="9"/>
        <v>#N/A</v>
      </c>
      <c r="BY35" s="15" t="e">
        <f t="shared" si="10"/>
        <v>#N/A</v>
      </c>
      <c r="BZ35" s="14" t="e">
        <f t="shared" si="11"/>
        <v>#N/A</v>
      </c>
      <c r="CE35" s="40">
        <v>110</v>
      </c>
      <c r="CF35" s="39">
        <f t="shared" si="112"/>
        <v>123146999.99999997</v>
      </c>
      <c r="CG35" s="40">
        <v>260</v>
      </c>
      <c r="CH35" s="39">
        <f t="shared" si="113"/>
        <v>119442000</v>
      </c>
      <c r="CJ35" s="13"/>
      <c r="CK35" s="13"/>
      <c r="CL35" s="48" t="e">
        <f t="shared" si="12"/>
        <v>#N/A</v>
      </c>
      <c r="CM35" s="12" t="e">
        <f t="shared" si="13"/>
        <v>#N/A</v>
      </c>
      <c r="CN35" s="49" t="e">
        <f t="shared" si="14"/>
        <v>#N/A</v>
      </c>
      <c r="CO35" s="49" t="e">
        <f t="shared" si="15"/>
        <v>#N/A</v>
      </c>
      <c r="CQ35" s="61">
        <f t="shared" si="100"/>
        <v>5.7226675693279772E-2</v>
      </c>
      <c r="CT35" s="40">
        <v>110</v>
      </c>
      <c r="CU35" s="39">
        <f t="shared" si="114"/>
        <v>123146999.99999997</v>
      </c>
      <c r="CV35" s="40">
        <v>260</v>
      </c>
      <c r="CW35" s="39">
        <f t="shared" si="115"/>
        <v>119442000</v>
      </c>
      <c r="CY35" s="13"/>
      <c r="DA35" s="48" t="e">
        <f t="shared" si="16"/>
        <v>#N/A</v>
      </c>
      <c r="DB35" s="12" t="e">
        <f t="shared" si="17"/>
        <v>#N/A</v>
      </c>
      <c r="DC35" s="15" t="e">
        <f t="shared" si="18"/>
        <v>#N/A</v>
      </c>
      <c r="DD35" s="14" t="e">
        <f t="shared" si="19"/>
        <v>#N/A</v>
      </c>
      <c r="DI35" s="40">
        <v>110</v>
      </c>
      <c r="DJ35" s="39">
        <f t="shared" si="116"/>
        <v>123146999.99999997</v>
      </c>
      <c r="DK35" s="40">
        <v>260</v>
      </c>
      <c r="DL35" s="39">
        <f t="shared" si="117"/>
        <v>119442000</v>
      </c>
      <c r="DN35" s="13"/>
      <c r="DO35" s="13"/>
      <c r="DP35" s="48" t="e">
        <f t="shared" si="20"/>
        <v>#N/A</v>
      </c>
      <c r="DQ35" s="12" t="e">
        <f t="shared" si="21"/>
        <v>#N/A</v>
      </c>
      <c r="DR35" s="15" t="e">
        <f t="shared" si="22"/>
        <v>#N/A</v>
      </c>
      <c r="DS35" s="14" t="e">
        <f t="shared" si="23"/>
        <v>#N/A</v>
      </c>
      <c r="DU35" s="61">
        <f t="shared" si="104"/>
        <v>0.30748843446727125</v>
      </c>
      <c r="DX35" s="40">
        <v>110</v>
      </c>
      <c r="DY35" s="39">
        <f t="shared" si="118"/>
        <v>123146999.99999997</v>
      </c>
      <c r="DZ35" s="40">
        <v>260</v>
      </c>
      <c r="EA35" s="39">
        <f t="shared" si="119"/>
        <v>119442000</v>
      </c>
      <c r="EC35" s="13"/>
      <c r="ED35" s="13"/>
      <c r="EE35" s="40">
        <v>110</v>
      </c>
      <c r="EF35" s="39">
        <f t="shared" si="120"/>
        <v>95586000.000000015</v>
      </c>
      <c r="EG35" s="40">
        <v>260</v>
      </c>
      <c r="EH35" s="39">
        <f t="shared" si="121"/>
        <v>151821000</v>
      </c>
      <c r="EJ35" s="13"/>
      <c r="EK35" s="13"/>
      <c r="EL35" s="47" t="str">
        <f t="shared" si="25"/>
        <v>FY18-31</v>
      </c>
      <c r="EM35" s="16">
        <v>43132</v>
      </c>
      <c r="EN35" s="15">
        <v>12845804.885285491</v>
      </c>
      <c r="EO35" s="14">
        <f t="shared" si="26"/>
        <v>3000000</v>
      </c>
      <c r="EQ35" s="14">
        <v>12000000</v>
      </c>
      <c r="ER35" s="1">
        <f t="shared" si="148"/>
        <v>1</v>
      </c>
      <c r="ET35" s="40">
        <v>110</v>
      </c>
      <c r="EU35" s="39">
        <f t="shared" si="122"/>
        <v>184319000</v>
      </c>
      <c r="EV35" s="40">
        <v>260</v>
      </c>
      <c r="EW35" s="39">
        <f t="shared" si="123"/>
        <v>735253999.99999988</v>
      </c>
      <c r="EX35" s="13"/>
      <c r="EY35" s="13"/>
      <c r="EZ35" s="13"/>
      <c r="FA35" s="16" t="s">
        <v>33</v>
      </c>
      <c r="FB35" s="16">
        <v>43496</v>
      </c>
      <c r="FC35" s="15">
        <v>18140342.842997711</v>
      </c>
      <c r="FD35" s="14">
        <v>8000000</v>
      </c>
      <c r="FI35" s="40">
        <v>110</v>
      </c>
      <c r="FJ35" s="39">
        <f t="shared" si="124"/>
        <v>190727000</v>
      </c>
      <c r="FK35" s="40">
        <v>260</v>
      </c>
      <c r="FL35" s="39">
        <f t="shared" si="125"/>
        <v>920776999.99999988</v>
      </c>
      <c r="FN35" s="13"/>
      <c r="FO35" s="13"/>
      <c r="FP35" s="40">
        <v>110</v>
      </c>
      <c r="FQ35" s="39">
        <f t="shared" si="126"/>
        <v>154322000</v>
      </c>
      <c r="FR35" s="40">
        <v>260</v>
      </c>
      <c r="FS35" s="39">
        <f t="shared" si="127"/>
        <v>615977000.00000012</v>
      </c>
      <c r="FU35" s="13"/>
      <c r="FV35" s="13"/>
      <c r="FW35" s="16" t="s">
        <v>39</v>
      </c>
      <c r="FX35" s="16">
        <v>43860</v>
      </c>
      <c r="FY35" s="15">
        <v>45674629.370629363</v>
      </c>
      <c r="FZ35" s="14">
        <v>40000000</v>
      </c>
      <c r="GF35" s="40">
        <v>110</v>
      </c>
      <c r="GG35" s="39">
        <f t="shared" si="128"/>
        <v>132833000</v>
      </c>
      <c r="GH35" s="40">
        <v>260</v>
      </c>
      <c r="GI35" s="39">
        <f t="shared" si="129"/>
        <v>492847999.99999994</v>
      </c>
      <c r="GK35" s="13"/>
      <c r="GL35" s="13"/>
      <c r="GM35" s="40">
        <v>110</v>
      </c>
      <c r="GN35" s="39">
        <f t="shared" si="130"/>
        <v>95586000.000000015</v>
      </c>
      <c r="GO35" s="40">
        <v>260</v>
      </c>
      <c r="GP35" s="39">
        <f t="shared" si="131"/>
        <v>151821000</v>
      </c>
      <c r="GR35" s="13"/>
      <c r="GS35" s="13"/>
      <c r="GT35" s="16" t="s">
        <v>38</v>
      </c>
      <c r="GU35" s="16">
        <v>44224</v>
      </c>
      <c r="GV35" s="15">
        <v>22190279.355427179</v>
      </c>
      <c r="GW35" s="14">
        <v>8000000</v>
      </c>
      <c r="HB35" s="40">
        <v>110</v>
      </c>
      <c r="HC35" s="39">
        <f t="shared" si="132"/>
        <v>153933000</v>
      </c>
      <c r="HD35" s="40">
        <v>260</v>
      </c>
      <c r="HE35" s="39">
        <f t="shared" si="133"/>
        <v>433982999.99999994</v>
      </c>
      <c r="HG35" s="13"/>
      <c r="HH35" s="13"/>
      <c r="HI35" s="16" t="s">
        <v>35</v>
      </c>
      <c r="HJ35" s="16">
        <v>44588</v>
      </c>
      <c r="HK35" s="15">
        <v>34469990.878686532</v>
      </c>
      <c r="HL35" s="14">
        <v>20000000</v>
      </c>
      <c r="HQ35" s="40">
        <v>110</v>
      </c>
      <c r="HR35" s="39">
        <f t="shared" si="134"/>
        <v>204014000</v>
      </c>
      <c r="HS35" s="40">
        <v>260</v>
      </c>
      <c r="HT35" s="39">
        <f t="shared" si="135"/>
        <v>914969000</v>
      </c>
      <c r="HV35" s="13"/>
      <c r="HW35" s="13"/>
      <c r="HX35" s="40">
        <v>110</v>
      </c>
      <c r="HY35" s="39">
        <f t="shared" si="136"/>
        <v>163745999.99999997</v>
      </c>
      <c r="HZ35" s="40">
        <v>260</v>
      </c>
      <c r="IA35" s="39">
        <f t="shared" si="137"/>
        <v>548241000</v>
      </c>
      <c r="IC35" s="13"/>
      <c r="ID35" s="13"/>
      <c r="IE35" s="16" t="s">
        <v>37</v>
      </c>
      <c r="IF35" s="16">
        <v>44959</v>
      </c>
      <c r="IG35" s="15">
        <v>59808873.700212829</v>
      </c>
      <c r="IH35" s="14">
        <v>40000000</v>
      </c>
      <c r="IJ35" s="1">
        <v>7</v>
      </c>
      <c r="IK35" s="1">
        <v>120</v>
      </c>
      <c r="IM35" s="40">
        <v>110</v>
      </c>
      <c r="IN35" s="39">
        <f t="shared" si="138"/>
        <v>187727000</v>
      </c>
      <c r="IO35" s="40">
        <v>260</v>
      </c>
      <c r="IP35" s="39">
        <f t="shared" si="139"/>
        <v>593582000.00000012</v>
      </c>
      <c r="IR35" s="13"/>
      <c r="IS35" s="13"/>
      <c r="IT35" s="111">
        <v>350</v>
      </c>
      <c r="IU35" s="39">
        <f t="shared" si="87"/>
        <v>417433999.99999994</v>
      </c>
      <c r="IV35" s="40"/>
      <c r="IW35" s="39"/>
      <c r="IY35" s="13"/>
      <c r="IZ35" s="13"/>
      <c r="JA35" s="16" t="s">
        <v>115</v>
      </c>
      <c r="JB35" s="16">
        <v>45323</v>
      </c>
      <c r="JC35" s="15">
        <v>305330546.25694674</v>
      </c>
      <c r="JD35" s="14">
        <v>200000000</v>
      </c>
      <c r="JF35" s="1">
        <v>6</v>
      </c>
      <c r="JG35" s="1">
        <v>150</v>
      </c>
      <c r="JI35" s="40">
        <v>110</v>
      </c>
      <c r="JJ35" s="39">
        <f t="shared" si="140"/>
        <v>187727000</v>
      </c>
      <c r="JK35" s="40">
        <v>260</v>
      </c>
      <c r="JL35" s="39">
        <f t="shared" si="141"/>
        <v>593582000.00000012</v>
      </c>
      <c r="JN35" s="13"/>
      <c r="JO35" s="13"/>
      <c r="JP35" s="111">
        <v>350</v>
      </c>
      <c r="JQ35" s="39">
        <f t="shared" si="91"/>
        <v>382677999.99999994</v>
      </c>
      <c r="JR35" s="69"/>
      <c r="JS35" s="69"/>
      <c r="JU35" s="13"/>
      <c r="JV35" s="13"/>
      <c r="KJ35" s="1">
        <v>6</v>
      </c>
      <c r="KK35" s="1">
        <v>40</v>
      </c>
      <c r="LH35" s="1">
        <v>2</v>
      </c>
      <c r="LI35" s="1">
        <v>8</v>
      </c>
      <c r="MF35" s="1">
        <v>6</v>
      </c>
      <c r="MG35" s="1">
        <v>80</v>
      </c>
      <c r="MY35" s="16" t="s">
        <v>34</v>
      </c>
      <c r="MZ35" s="16">
        <v>43048</v>
      </c>
      <c r="NA35" s="15">
        <v>13037420</v>
      </c>
      <c r="NB35" s="14">
        <v>3000000</v>
      </c>
      <c r="ND35" s="1">
        <v>6</v>
      </c>
      <c r="NE35" s="1">
        <v>35</v>
      </c>
      <c r="NG35" s="40">
        <v>110</v>
      </c>
      <c r="NH35" s="39">
        <f t="shared" si="142"/>
        <v>140546000</v>
      </c>
      <c r="NI35" s="40">
        <v>260</v>
      </c>
      <c r="NJ35" s="39">
        <f t="shared" si="143"/>
        <v>341576000</v>
      </c>
      <c r="NL35" s="13"/>
      <c r="NN35" s="16" t="s">
        <v>33</v>
      </c>
      <c r="NO35" s="16">
        <v>43419</v>
      </c>
      <c r="NP35" s="15">
        <v>13565772</v>
      </c>
      <c r="NQ35" s="14">
        <v>3000000</v>
      </c>
      <c r="NV35" s="40">
        <v>110</v>
      </c>
      <c r="NW35" s="39">
        <f t="shared" si="144"/>
        <v>182786000</v>
      </c>
      <c r="NX35" s="40">
        <v>260</v>
      </c>
      <c r="NY35" s="39">
        <f t="shared" si="145"/>
        <v>867521000.00000024</v>
      </c>
      <c r="OA35" s="13"/>
      <c r="OB35" s="1"/>
    </row>
    <row r="36" spans="2:392" x14ac:dyDescent="0.2">
      <c r="B36" s="5"/>
      <c r="C36" s="5"/>
      <c r="D36" s="5"/>
      <c r="F36" s="5"/>
      <c r="G36" s="5"/>
      <c r="H36" s="5"/>
      <c r="I36" s="5"/>
      <c r="K36" s="7">
        <v>32</v>
      </c>
      <c r="M36" s="5" t="str" cm="1">
        <f t="array" ref="M36">LOOKUP(2,1/($G$19:$G$35&lt;=$V36)/($H$19:$H$35&gt;=$V36),$F$19:$F$35)</f>
        <v>1H18</v>
      </c>
      <c r="N36" s="5" t="str" cm="1">
        <f t="array" ref="N36">LOOKUP(2,1/($G$8:$G$16&lt;=$V36)/($H$8:$H$16&gt;=$V36),$F$8:$F$16)</f>
        <v>FY18</v>
      </c>
      <c r="O36" s="5" t="str">
        <f>IFERROR(N36&amp;"-"&amp;COUNTIF($N$5:N36,N36),NA())</f>
        <v>FY18-6</v>
      </c>
      <c r="P36" s="5">
        <f>COUNTIF(V$5:V36,"&gt;="&amp;MAX($V:$V)-183)</f>
        <v>0</v>
      </c>
      <c r="Q36" s="5">
        <f>COUNTIF(V$5:V36,"&gt;="&amp;MAX($V:$V)-365)</f>
        <v>0</v>
      </c>
      <c r="R36" s="5" cm="1">
        <f t="array" ref="R36">LOOKUP(2,1/($G$46:$G$50&lt;=$V36)/($H$46:$H$50&gt;=$V36),$F$46:$F$50)</f>
        <v>0</v>
      </c>
      <c r="S36" s="5" cm="1">
        <f t="array" ref="S36">LOOKUP(2,1/($G$53:$G$56&lt;=$V36)/($H$53:$H$56&gt;=$V36),$F$53:$F$56)</f>
        <v>0</v>
      </c>
      <c r="T36" s="5" t="e">
        <f>IFERROR(IF($R36&gt;0,$R36&amp;"-"&amp;COUNTIF($R$5:$R36,$R36),NA()),NA())</f>
        <v>#N/A</v>
      </c>
      <c r="U36" s="5" t="e">
        <f>IFERROR(IF($S36&gt;0,$S36&amp;"-"&amp;COUNTIF($S$5:$S36,$S36),NA()),NA())</f>
        <v>#N/A</v>
      </c>
      <c r="V36" s="10">
        <v>42957</v>
      </c>
      <c r="W36" s="9">
        <v>13797288.766603414</v>
      </c>
      <c r="X36" s="9">
        <v>12818371.1286129</v>
      </c>
      <c r="Y36" s="8">
        <v>3000000</v>
      </c>
      <c r="AA36" s="48" t="e">
        <f t="shared" si="46"/>
        <v>#N/A</v>
      </c>
      <c r="AB36" s="12" t="e">
        <f t="shared" si="0"/>
        <v>#N/A</v>
      </c>
      <c r="AC36" s="15" t="e">
        <f t="shared" si="1"/>
        <v>#N/A</v>
      </c>
      <c r="AD36" s="14" t="e">
        <f t="shared" si="2"/>
        <v>#N/A</v>
      </c>
      <c r="AI36" s="40">
        <v>120</v>
      </c>
      <c r="AJ36" s="39">
        <f t="shared" si="106"/>
        <v>204617000</v>
      </c>
      <c r="AK36" s="40">
        <v>270</v>
      </c>
      <c r="AL36" s="39">
        <f t="shared" si="107"/>
        <v>648992000</v>
      </c>
      <c r="AN36" s="13"/>
      <c r="AO36" s="13"/>
      <c r="AP36" s="40">
        <v>120</v>
      </c>
      <c r="AQ36" s="39">
        <f t="shared" si="108"/>
        <v>114874000.00000003</v>
      </c>
      <c r="AR36" s="40">
        <v>270</v>
      </c>
      <c r="AS36" s="39">
        <f t="shared" si="109"/>
        <v>76698999.999999985</v>
      </c>
      <c r="AU36" s="13"/>
      <c r="AW36" s="48">
        <f t="shared" si="47"/>
        <v>32</v>
      </c>
      <c r="AX36" s="12">
        <f t="shared" si="4"/>
        <v>45323</v>
      </c>
      <c r="AY36" s="15">
        <f t="shared" si="5"/>
        <v>305330546.25694674</v>
      </c>
      <c r="AZ36" s="14">
        <f t="shared" si="48"/>
        <v>200000000</v>
      </c>
      <c r="BB36" s="1">
        <v>5</v>
      </c>
      <c r="BC36" s="1">
        <v>100</v>
      </c>
      <c r="BI36" s="40">
        <v>120</v>
      </c>
      <c r="BJ36" s="39">
        <f t="shared" si="110"/>
        <v>208022000</v>
      </c>
      <c r="BK36" s="40">
        <v>270</v>
      </c>
      <c r="BL36" s="39">
        <f t="shared" si="111"/>
        <v>715817000</v>
      </c>
      <c r="BN36" s="13"/>
      <c r="BO36" s="13"/>
      <c r="BP36" s="40">
        <v>55</v>
      </c>
      <c r="BQ36" s="39">
        <f t="shared" si="146"/>
        <v>76307000</v>
      </c>
      <c r="BR36" s="110">
        <v>0</v>
      </c>
      <c r="BS36" s="39">
        <f t="shared" si="147"/>
        <v>76307000</v>
      </c>
      <c r="BU36" s="13"/>
      <c r="BW36" s="48" t="e">
        <f t="shared" si="8"/>
        <v>#N/A</v>
      </c>
      <c r="BX36" s="12" t="e">
        <f t="shared" si="9"/>
        <v>#N/A</v>
      </c>
      <c r="BY36" s="15" t="e">
        <f t="shared" si="10"/>
        <v>#N/A</v>
      </c>
      <c r="BZ36" s="14" t="e">
        <f t="shared" si="11"/>
        <v>#N/A</v>
      </c>
      <c r="CE36" s="40">
        <v>120</v>
      </c>
      <c r="CF36" s="39">
        <f t="shared" si="112"/>
        <v>128360000.00000001</v>
      </c>
      <c r="CG36" s="40">
        <v>270</v>
      </c>
      <c r="CH36" s="39">
        <f t="shared" si="113"/>
        <v>112954999.99999997</v>
      </c>
      <c r="CJ36" s="13"/>
      <c r="CK36" s="13"/>
      <c r="CL36" s="48" t="e">
        <f t="shared" si="12"/>
        <v>#N/A</v>
      </c>
      <c r="CM36" s="12" t="e">
        <f t="shared" si="13"/>
        <v>#N/A</v>
      </c>
      <c r="CN36" s="49" t="e">
        <f t="shared" si="14"/>
        <v>#N/A</v>
      </c>
      <c r="CO36" s="49" t="e">
        <f t="shared" si="15"/>
        <v>#N/A</v>
      </c>
      <c r="CQ36" s="61"/>
      <c r="CT36" s="40">
        <v>120</v>
      </c>
      <c r="CU36" s="39">
        <f t="shared" si="114"/>
        <v>128360000.00000001</v>
      </c>
      <c r="CV36" s="40">
        <v>270</v>
      </c>
      <c r="CW36" s="39">
        <f t="shared" si="115"/>
        <v>112954999.99999997</v>
      </c>
      <c r="CY36" s="13"/>
      <c r="DA36" s="48" t="e">
        <f t="shared" si="16"/>
        <v>#N/A</v>
      </c>
      <c r="DB36" s="12" t="e">
        <f t="shared" si="17"/>
        <v>#N/A</v>
      </c>
      <c r="DC36" s="15" t="e">
        <f t="shared" si="18"/>
        <v>#N/A</v>
      </c>
      <c r="DD36" s="14" t="e">
        <f t="shared" si="19"/>
        <v>#N/A</v>
      </c>
      <c r="DI36" s="40">
        <v>120</v>
      </c>
      <c r="DJ36" s="39">
        <f t="shared" si="116"/>
        <v>128360000.00000001</v>
      </c>
      <c r="DK36" s="40">
        <v>270</v>
      </c>
      <c r="DL36" s="39">
        <f t="shared" si="117"/>
        <v>112954999.99999997</v>
      </c>
      <c r="DN36" s="13"/>
      <c r="DO36" s="13"/>
      <c r="DP36" s="48" t="e">
        <f t="shared" si="20"/>
        <v>#N/A</v>
      </c>
      <c r="DQ36" s="12" t="e">
        <f t="shared" si="21"/>
        <v>#N/A</v>
      </c>
      <c r="DR36" s="15" t="e">
        <f t="shared" si="22"/>
        <v>#N/A</v>
      </c>
      <c r="DS36" s="14" t="e">
        <f t="shared" si="23"/>
        <v>#N/A</v>
      </c>
      <c r="DU36" s="61">
        <f t="shared" si="104"/>
        <v>0.30859514992235093</v>
      </c>
      <c r="DX36" s="40">
        <v>120</v>
      </c>
      <c r="DY36" s="39">
        <f t="shared" si="118"/>
        <v>128360000.00000001</v>
      </c>
      <c r="DZ36" s="40">
        <v>270</v>
      </c>
      <c r="EA36" s="39">
        <f t="shared" si="119"/>
        <v>112954999.99999997</v>
      </c>
      <c r="EC36" s="13"/>
      <c r="ED36" s="13"/>
      <c r="EE36" s="40">
        <v>120</v>
      </c>
      <c r="EF36" s="39">
        <f t="shared" si="120"/>
        <v>101295000</v>
      </c>
      <c r="EG36" s="40">
        <v>270</v>
      </c>
      <c r="EH36" s="39">
        <f t="shared" si="121"/>
        <v>153329999.99999997</v>
      </c>
      <c r="EJ36" s="13"/>
      <c r="EK36" s="13"/>
      <c r="EL36" s="47" t="str">
        <f t="shared" si="25"/>
        <v>FY18-32</v>
      </c>
      <c r="EM36" s="16">
        <v>43139</v>
      </c>
      <c r="EN36" s="15">
        <v>16219147.414179746</v>
      </c>
      <c r="EO36" s="14">
        <f t="shared" si="26"/>
        <v>6000000</v>
      </c>
      <c r="EQ36" s="14">
        <v>20000000</v>
      </c>
      <c r="ER36" s="1">
        <f t="shared" si="148"/>
        <v>1</v>
      </c>
      <c r="ET36" s="40">
        <v>120</v>
      </c>
      <c r="EU36" s="39">
        <f t="shared" si="122"/>
        <v>209708000</v>
      </c>
      <c r="EV36" s="40">
        <v>270</v>
      </c>
      <c r="EW36" s="39">
        <f t="shared" si="123"/>
        <v>784943000</v>
      </c>
      <c r="EX36" s="13"/>
      <c r="EY36" s="13"/>
      <c r="EZ36" s="13"/>
      <c r="FA36" s="16" t="s">
        <v>33</v>
      </c>
      <c r="FB36" s="16">
        <v>43503</v>
      </c>
      <c r="FC36" s="15">
        <v>25118955.133362219</v>
      </c>
      <c r="FD36" s="14">
        <v>12000000</v>
      </c>
      <c r="FI36" s="40">
        <v>120</v>
      </c>
      <c r="FJ36" s="39">
        <f t="shared" si="124"/>
        <v>221757000</v>
      </c>
      <c r="FK36" s="40">
        <v>270</v>
      </c>
      <c r="FL36" s="39">
        <f t="shared" si="125"/>
        <v>989607000</v>
      </c>
      <c r="FN36" s="13"/>
      <c r="FO36" s="13"/>
      <c r="FP36" s="40">
        <v>120</v>
      </c>
      <c r="FQ36" s="39">
        <f t="shared" si="126"/>
        <v>175439000.00000003</v>
      </c>
      <c r="FR36" s="40">
        <v>270</v>
      </c>
      <c r="FS36" s="39">
        <f t="shared" si="127"/>
        <v>657794000</v>
      </c>
      <c r="FU36" s="13"/>
      <c r="FV36" s="13"/>
      <c r="FW36" s="16" t="s">
        <v>39</v>
      </c>
      <c r="FX36" s="16">
        <v>43867</v>
      </c>
      <c r="FY36" s="15">
        <v>67313625.100563154</v>
      </c>
      <c r="FZ36" s="14">
        <v>60000000</v>
      </c>
      <c r="GF36" s="40">
        <v>120</v>
      </c>
      <c r="GG36" s="39">
        <f t="shared" si="128"/>
        <v>149554000</v>
      </c>
      <c r="GH36" s="40">
        <v>270</v>
      </c>
      <c r="GI36" s="39">
        <f t="shared" si="129"/>
        <v>525169000</v>
      </c>
      <c r="GK36" s="13"/>
      <c r="GL36" s="13"/>
      <c r="GM36" s="40">
        <v>120</v>
      </c>
      <c r="GN36" s="39">
        <f t="shared" si="130"/>
        <v>101295000</v>
      </c>
      <c r="GO36" s="40">
        <v>270</v>
      </c>
      <c r="GP36" s="39">
        <f t="shared" si="131"/>
        <v>153329999.99999997</v>
      </c>
      <c r="GR36" s="13"/>
      <c r="GS36" s="13"/>
      <c r="GT36" s="16" t="s">
        <v>38</v>
      </c>
      <c r="GU36" s="16">
        <v>44231</v>
      </c>
      <c r="GV36" s="15">
        <v>36953457.707509883</v>
      </c>
      <c r="GW36" s="14">
        <v>20000000</v>
      </c>
      <c r="HB36" s="40">
        <v>120</v>
      </c>
      <c r="HC36" s="39">
        <f t="shared" si="132"/>
        <v>169243000</v>
      </c>
      <c r="HD36" s="40">
        <v>270</v>
      </c>
      <c r="HE36" s="39">
        <f t="shared" si="133"/>
        <v>456492999.99999994</v>
      </c>
      <c r="HG36" s="13"/>
      <c r="HH36" s="13"/>
      <c r="HI36" s="16" t="s">
        <v>35</v>
      </c>
      <c r="HJ36" s="16">
        <v>44595</v>
      </c>
      <c r="HK36" s="15">
        <v>56254159.197324418</v>
      </c>
      <c r="HL36" s="14">
        <v>40000000</v>
      </c>
      <c r="HN36" s="1">
        <v>39</v>
      </c>
      <c r="HO36" s="1">
        <v>14</v>
      </c>
      <c r="HQ36" s="40">
        <v>120</v>
      </c>
      <c r="HR36" s="39">
        <f t="shared" si="134"/>
        <v>234751000</v>
      </c>
      <c r="HS36" s="40">
        <v>270</v>
      </c>
      <c r="HT36" s="39">
        <f t="shared" si="135"/>
        <v>981406000.00000012</v>
      </c>
      <c r="HV36" s="13"/>
      <c r="HW36" s="13"/>
      <c r="HX36" s="40">
        <v>120</v>
      </c>
      <c r="HY36" s="39">
        <f t="shared" si="136"/>
        <v>182659000</v>
      </c>
      <c r="HZ36" s="40">
        <v>270</v>
      </c>
      <c r="IA36" s="39">
        <f t="shared" si="137"/>
        <v>581554000</v>
      </c>
      <c r="IC36" s="13"/>
      <c r="ID36" s="13"/>
      <c r="IE36" s="16" t="s">
        <v>37</v>
      </c>
      <c r="IF36" s="16">
        <v>44966</v>
      </c>
      <c r="IG36" s="15">
        <v>20069480.4499848</v>
      </c>
      <c r="IH36" s="14">
        <v>4000000</v>
      </c>
      <c r="IM36" s="40">
        <v>120</v>
      </c>
      <c r="IN36" s="39">
        <f t="shared" si="138"/>
        <v>208624000.00000003</v>
      </c>
      <c r="IO36" s="40">
        <v>270</v>
      </c>
      <c r="IP36" s="39">
        <f t="shared" si="139"/>
        <v>627679000.00000012</v>
      </c>
      <c r="IR36" s="13"/>
      <c r="IS36" s="13"/>
      <c r="IT36" s="111">
        <v>400</v>
      </c>
      <c r="IU36" s="39">
        <f t="shared" si="87"/>
        <v>474714000</v>
      </c>
      <c r="IV36" s="40"/>
      <c r="IW36" s="39"/>
      <c r="IY36" s="13"/>
      <c r="IZ36" s="13"/>
      <c r="JA36" s="16" t="s">
        <v>115</v>
      </c>
      <c r="JB36" s="16">
        <v>45330</v>
      </c>
      <c r="JC36" s="15">
        <v>22032789.03781192</v>
      </c>
      <c r="JD36" s="14">
        <v>4000000</v>
      </c>
      <c r="JF36" s="1">
        <v>7</v>
      </c>
      <c r="JG36" s="1">
        <v>200</v>
      </c>
      <c r="JI36" s="40">
        <v>120</v>
      </c>
      <c r="JJ36" s="39">
        <f t="shared" si="140"/>
        <v>208624000.00000003</v>
      </c>
      <c r="JK36" s="40">
        <v>270</v>
      </c>
      <c r="JL36" s="39">
        <f t="shared" si="141"/>
        <v>627679000.00000012</v>
      </c>
      <c r="JN36" s="13"/>
      <c r="JO36" s="13"/>
      <c r="JP36" s="111">
        <v>400</v>
      </c>
      <c r="JQ36" s="39">
        <f t="shared" si="91"/>
        <v>434942999.99999994</v>
      </c>
      <c r="JR36" s="69"/>
      <c r="JS36" s="69"/>
      <c r="JU36" s="13"/>
      <c r="JV36" s="13"/>
      <c r="KJ36" s="1">
        <v>7</v>
      </c>
      <c r="KK36" s="1">
        <v>50</v>
      </c>
      <c r="LH36" s="1">
        <v>3</v>
      </c>
      <c r="LI36" s="1">
        <v>12</v>
      </c>
      <c r="MY36" s="16" t="s">
        <v>34</v>
      </c>
      <c r="MZ36" s="16">
        <v>43055</v>
      </c>
      <c r="NA36" s="15">
        <v>17395180</v>
      </c>
      <c r="NB36" s="14">
        <v>6000000</v>
      </c>
      <c r="ND36" s="1">
        <v>7</v>
      </c>
      <c r="NE36" s="1">
        <v>55</v>
      </c>
      <c r="NG36" s="40">
        <v>120</v>
      </c>
      <c r="NH36" s="39">
        <f t="shared" si="142"/>
        <v>153107999.99999997</v>
      </c>
      <c r="NI36" s="40">
        <v>270</v>
      </c>
      <c r="NJ36" s="39">
        <f t="shared" si="143"/>
        <v>355938000.00000006</v>
      </c>
      <c r="NL36" s="13"/>
      <c r="NN36" s="16" t="s">
        <v>33</v>
      </c>
      <c r="NO36" s="16">
        <v>43426</v>
      </c>
      <c r="NP36" s="15">
        <v>13172082</v>
      </c>
      <c r="NQ36" s="14">
        <v>3000000</v>
      </c>
      <c r="NV36" s="40">
        <v>120</v>
      </c>
      <c r="NW36" s="39">
        <f t="shared" si="144"/>
        <v>212055000</v>
      </c>
      <c r="NX36" s="40">
        <v>270</v>
      </c>
      <c r="NY36" s="39">
        <f t="shared" si="145"/>
        <v>931890000.00000012</v>
      </c>
      <c r="OA36" s="13"/>
      <c r="OB36" s="1"/>
    </row>
    <row r="37" spans="2:392" x14ac:dyDescent="0.2">
      <c r="B37" s="5"/>
      <c r="C37" s="5"/>
      <c r="D37" s="5"/>
      <c r="F37" s="58" t="s">
        <v>59</v>
      </c>
      <c r="G37" s="57"/>
      <c r="H37" s="57"/>
      <c r="I37" s="57"/>
      <c r="K37" s="7">
        <v>33</v>
      </c>
      <c r="M37" s="5" t="str" cm="1">
        <f t="array" ref="M37">LOOKUP(2,1/($G$19:$G$35&lt;=$V37)/($H$19:$H$35&gt;=$V37),$F$19:$F$35)</f>
        <v>1H18</v>
      </c>
      <c r="N37" s="5" t="str" cm="1">
        <f t="array" ref="N37">LOOKUP(2,1/($G$8:$G$16&lt;=$V37)/($H$8:$H$16&gt;=$V37),$F$8:$F$16)</f>
        <v>FY18</v>
      </c>
      <c r="O37" s="5" t="str">
        <f>IFERROR(N37&amp;"-"&amp;COUNTIF($N$5:N37,N37),NA())</f>
        <v>FY18-7</v>
      </c>
      <c r="P37" s="5">
        <f>COUNTIF(V$5:V37,"&gt;="&amp;MAX($V:$V)-183)</f>
        <v>0</v>
      </c>
      <c r="Q37" s="5">
        <f>COUNTIF(V$5:V37,"&gt;="&amp;MAX($V:$V)-365)</f>
        <v>0</v>
      </c>
      <c r="R37" s="5" cm="1">
        <f t="array" ref="R37">LOOKUP(2,1/($G$46:$G$50&lt;=$V37)/($H$46:$H$50&gt;=$V37),$F$46:$F$50)</f>
        <v>0</v>
      </c>
      <c r="S37" s="5" cm="1">
        <f t="array" ref="S37">LOOKUP(2,1/($G$53:$G$56&lt;=$V37)/($H$53:$H$56&gt;=$V37),$F$53:$F$56)</f>
        <v>0</v>
      </c>
      <c r="T37" s="5" t="e">
        <f>IFERROR(IF($R37&gt;0,$R37&amp;"-"&amp;COUNTIF($R$5:$R37,$R37),NA()),NA())</f>
        <v>#N/A</v>
      </c>
      <c r="U37" s="5" t="e">
        <f>IFERROR(IF($S37&gt;0,$S37&amp;"-"&amp;COUNTIF($S$5:$S37,$S37),NA()),NA())</f>
        <v>#N/A</v>
      </c>
      <c r="V37" s="10">
        <v>42964</v>
      </c>
      <c r="W37" s="9">
        <v>13187465.068138691</v>
      </c>
      <c r="X37" s="9">
        <v>12251814.421554249</v>
      </c>
      <c r="Y37" s="8">
        <v>3000000</v>
      </c>
      <c r="AA37" s="48" t="e">
        <f t="shared" si="46"/>
        <v>#N/A</v>
      </c>
      <c r="AB37" s="12" t="e">
        <f t="shared" ref="AB37:AB56" si="149">IF(ISNA($AA37),NA(),INDEX($V:$V,MATCH($AA37,$P:$P,0)))</f>
        <v>#N/A</v>
      </c>
      <c r="AC37" s="15" t="e">
        <f t="shared" ref="AC37:AC56" si="150">IF(ISNA($AA37),NA(),INDEX($W:$W,MATCH($AA37,$P:$P,0)))</f>
        <v>#N/A</v>
      </c>
      <c r="AD37" s="14" t="e">
        <f t="shared" ref="AD37:AD56" si="151">IF(ISNA($AA37),NA(),INDEX($Y:$Y,MATCH($AA37,$P:$P,0)))</f>
        <v>#N/A</v>
      </c>
      <c r="AI37" s="40">
        <v>130</v>
      </c>
      <c r="AJ37" s="39">
        <f t="shared" si="106"/>
        <v>226962000.00000003</v>
      </c>
      <c r="AK37" s="40">
        <v>280</v>
      </c>
      <c r="AL37" s="39">
        <f t="shared" si="107"/>
        <v>686937000</v>
      </c>
      <c r="AN37" s="13"/>
      <c r="AO37" s="13"/>
      <c r="AP37" s="40">
        <v>130</v>
      </c>
      <c r="AQ37" s="39">
        <f t="shared" si="108"/>
        <v>117929000</v>
      </c>
      <c r="AR37" s="40">
        <v>280</v>
      </c>
      <c r="AS37" s="39">
        <f t="shared" si="109"/>
        <v>67753999.999999985</v>
      </c>
      <c r="AU37" s="13"/>
      <c r="AW37" s="48">
        <f t="shared" si="47"/>
        <v>33</v>
      </c>
      <c r="AX37" s="12">
        <f t="shared" ref="AX37:AX57" si="152">IF(ISNA($AW37),NA(),INDEX($V:$V,MATCH($AW37,$Q:$Q,0)))</f>
        <v>45330</v>
      </c>
      <c r="AY37" s="15">
        <f t="shared" ref="AY37:AY57" si="153">IF(ISNA($AW37),NA(),INDEX($W:$W,MATCH($AW37,$Q:$Q,0)))</f>
        <v>22032789.03781192</v>
      </c>
      <c r="AZ37" s="14">
        <f t="shared" ref="AZ37:AZ57" si="154">IF(ISNA($AW37),NA(),INDEX($Y:$Y,MATCH($AW37,$Q:$Q,0)))</f>
        <v>4000000</v>
      </c>
      <c r="BB37" s="1">
        <v>6</v>
      </c>
      <c r="BC37" s="1">
        <v>160</v>
      </c>
      <c r="BI37" s="40">
        <v>130</v>
      </c>
      <c r="BJ37" s="39">
        <f t="shared" si="110"/>
        <v>232495000</v>
      </c>
      <c r="BK37" s="40">
        <v>280</v>
      </c>
      <c r="BL37" s="39">
        <f t="shared" si="111"/>
        <v>760390000</v>
      </c>
      <c r="BN37" s="13"/>
      <c r="BO37" s="13"/>
      <c r="BP37" s="40">
        <v>100</v>
      </c>
      <c r="BQ37" s="39">
        <f t="shared" si="146"/>
        <v>125186000</v>
      </c>
      <c r="BR37" s="110">
        <v>0.25</v>
      </c>
      <c r="BS37" s="39">
        <f t="shared" ref="BS37:BS42" si="155">BQ37*(1+BR37)</f>
        <v>156482500</v>
      </c>
      <c r="BU37" s="13"/>
      <c r="BW37" s="48" t="e">
        <f t="shared" ref="BW37:BW57" si="156">IF($K37&lt;=INDEX($I:$I,MATCH(BW$4,$F:$F,0)),BW$4&amp;"-"&amp;$K37,NA())</f>
        <v>#N/A</v>
      </c>
      <c r="BX37" s="12" t="e">
        <f t="shared" ref="BX37:BX57" si="157">IF(ISNA($BW37),NA(),INDEX($V:$V,MATCH($BW37,$T:$T,0)))</f>
        <v>#N/A</v>
      </c>
      <c r="BY37" s="15" t="e">
        <f t="shared" ref="BY37:BY57" si="158">IF(ISNA($BW37),NA(),INDEX($W:$W,MATCH($BW37,$T:$T,0)))</f>
        <v>#N/A</v>
      </c>
      <c r="BZ37" s="14" t="e">
        <f t="shared" ref="BZ37:BZ57" si="159">IF(ISNA($BW37),NA(),INDEX($Y:$Y,MATCH($BW37,$T:$T,0)))</f>
        <v>#N/A</v>
      </c>
      <c r="CE37" s="40">
        <v>130</v>
      </c>
      <c r="CF37" s="39">
        <f t="shared" si="112"/>
        <v>132793000</v>
      </c>
      <c r="CG37" s="40">
        <v>280</v>
      </c>
      <c r="CH37" s="39">
        <f t="shared" si="113"/>
        <v>105687999.99999997</v>
      </c>
      <c r="CJ37" s="13"/>
      <c r="CK37" s="13"/>
      <c r="CL37" s="48" t="e">
        <f t="shared" ref="CL37:CL57" si="160">IF($K37&lt;=INDEX($I:$I,MATCH(CL$4,$F:$F,0)),CL$4&amp;"-"&amp;$K37,NA())</f>
        <v>#N/A</v>
      </c>
      <c r="CM37" s="12" t="e">
        <f t="shared" ref="CM37:CM57" si="161">IF(ISNA(CL37),NA(),INDEX($V:$V,MATCH(CL37,$T:$T,0)))</f>
        <v>#N/A</v>
      </c>
      <c r="CN37" s="49" t="e">
        <f t="shared" ref="CN37:CN57" si="162">IF(ISNA(CL37),NA(),INDEX($W:$W,MATCH(CL37,$T:$T,0)))</f>
        <v>#N/A</v>
      </c>
      <c r="CO37" s="49" t="e">
        <f t="shared" ref="CO37:CO57" si="163">IF(ISNA(CL37),NA(),INDEX($Y:$Y,MATCH(CL37,$T:$T,0)))</f>
        <v>#N/A</v>
      </c>
      <c r="CQ37" s="61"/>
      <c r="CT37" s="40">
        <v>130</v>
      </c>
      <c r="CU37" s="39">
        <f t="shared" si="114"/>
        <v>132793000</v>
      </c>
      <c r="CV37" s="40">
        <v>280</v>
      </c>
      <c r="CW37" s="39">
        <f t="shared" si="115"/>
        <v>105687999.99999997</v>
      </c>
      <c r="CY37" s="13"/>
      <c r="DA37" s="48" t="e">
        <f t="shared" ref="DA37:DA57" si="164">IF($K37&lt;=INDEX($I:$I,MATCH(DA$4,$F:$F,0)),DA$4&amp;"-"&amp;$K37,NA())</f>
        <v>#N/A</v>
      </c>
      <c r="DB37" s="12" t="e">
        <f t="shared" ref="DB37:DB57" si="165">IF(ISNA(DA37),NA(),INDEX($V:$V,MATCH(DA37,$U:$U,0)))</f>
        <v>#N/A</v>
      </c>
      <c r="DC37" s="15" t="e">
        <f t="shared" ref="DC37:DC57" si="166">IF(ISNA(DA37),NA(),INDEX($W:$W,MATCH(DA37,$U:$U,0)))</f>
        <v>#N/A</v>
      </c>
      <c r="DD37" s="14" t="e">
        <f t="shared" ref="DD37:DD57" si="167">IF(ISNA(DA37),NA(),INDEX($Y:$Y,MATCH(DA37,$U:$U,0)))</f>
        <v>#N/A</v>
      </c>
      <c r="DI37" s="40">
        <v>130</v>
      </c>
      <c r="DJ37" s="39">
        <f t="shared" si="116"/>
        <v>132793000</v>
      </c>
      <c r="DK37" s="40">
        <v>280</v>
      </c>
      <c r="DL37" s="39">
        <f t="shared" si="117"/>
        <v>105687999.99999997</v>
      </c>
      <c r="DN37" s="13"/>
      <c r="DO37" s="13"/>
      <c r="DP37" s="48" t="e">
        <f t="shared" ref="DP37:DP57" si="168">IF($K37&lt;=INDEX($I:$I,MATCH(DP$4,$F:$F,0)),DP$4&amp;"-"&amp;$K37,NA())</f>
        <v>#N/A</v>
      </c>
      <c r="DQ37" s="12" t="e">
        <f t="shared" ref="DQ37:DQ57" si="169">IF(ISNA(DP37),NA(),INDEX($V:$V,MATCH(DP37,$U:$U,0)))</f>
        <v>#N/A</v>
      </c>
      <c r="DR37" s="15" t="e">
        <f t="shared" ref="DR37:DR57" si="170">IF(ISNA(DP37),NA(),INDEX($W:$W,MATCH(DP37,$U:$U,0)))</f>
        <v>#N/A</v>
      </c>
      <c r="DS37" s="14" t="e">
        <f t="shared" ref="DS37:DS57" si="171">IF(ISNA(DP37),NA(),INDEX($Y:$Y,MATCH(DP37,$U:$U,0)))</f>
        <v>#N/A</v>
      </c>
      <c r="DX37" s="40">
        <v>130</v>
      </c>
      <c r="DY37" s="39">
        <f t="shared" si="118"/>
        <v>132793000</v>
      </c>
      <c r="DZ37" s="40">
        <v>280</v>
      </c>
      <c r="EA37" s="39">
        <f t="shared" si="119"/>
        <v>105687999.99999997</v>
      </c>
      <c r="EC37" s="13"/>
      <c r="ED37" s="13"/>
      <c r="EE37" s="40">
        <v>130</v>
      </c>
      <c r="EF37" s="39">
        <f t="shared" si="120"/>
        <v>106724000</v>
      </c>
      <c r="EG37" s="40">
        <v>280</v>
      </c>
      <c r="EH37" s="39">
        <f t="shared" si="121"/>
        <v>154559000</v>
      </c>
      <c r="EJ37" s="13"/>
      <c r="EK37" s="13"/>
      <c r="EL37" s="47" t="str">
        <f t="shared" ref="EL37:EL57" si="172">IF($K37&lt;=INDEX($I:$I,MATCH($EL$4,$F:$F,0)),$EL$4&amp;"-"&amp;$K37,NA())</f>
        <v>FY18-33</v>
      </c>
      <c r="EM37" s="16">
        <v>43146</v>
      </c>
      <c r="EN37" s="15">
        <v>14328098.030015524</v>
      </c>
      <c r="EO37" s="14">
        <f t="shared" ref="EO37:EO57" si="173">IF(ISNA($EL37),NA(),INDEX($Y:$Y,MATCH($EL37,$O:$O,0)))</f>
        <v>3000000</v>
      </c>
      <c r="EQ37" s="14">
        <v>30000000</v>
      </c>
      <c r="ER37" s="1">
        <f t="shared" si="148"/>
        <v>1</v>
      </c>
      <c r="ET37" s="40">
        <v>130</v>
      </c>
      <c r="EU37" s="39">
        <f t="shared" si="122"/>
        <v>236716999.99999997</v>
      </c>
      <c r="EV37" s="40">
        <v>280</v>
      </c>
      <c r="EW37" s="39">
        <f t="shared" si="123"/>
        <v>836252000</v>
      </c>
      <c r="EX37" s="13"/>
      <c r="EY37" s="13"/>
      <c r="EZ37" s="13"/>
      <c r="FA37" s="16" t="s">
        <v>33</v>
      </c>
      <c r="FB37" s="16">
        <v>43510</v>
      </c>
      <c r="FC37" s="15">
        <v>31354336.778265979</v>
      </c>
      <c r="FD37" s="14">
        <v>20000000</v>
      </c>
      <c r="FI37" s="40">
        <v>130</v>
      </c>
      <c r="FJ37" s="39">
        <f t="shared" si="124"/>
        <v>255307000.00000003</v>
      </c>
      <c r="FK37" s="40">
        <v>280</v>
      </c>
      <c r="FL37" s="39">
        <f t="shared" si="125"/>
        <v>1060957000.0000001</v>
      </c>
      <c r="FN37" s="13"/>
      <c r="FO37" s="13"/>
      <c r="FP37" s="40">
        <v>130</v>
      </c>
      <c r="FQ37" s="39">
        <f t="shared" si="126"/>
        <v>197936000.00000003</v>
      </c>
      <c r="FR37" s="40">
        <v>280</v>
      </c>
      <c r="FS37" s="39">
        <f t="shared" si="127"/>
        <v>700991000.00000012</v>
      </c>
      <c r="FU37" s="13"/>
      <c r="FV37" s="13"/>
      <c r="FW37" s="16" t="s">
        <v>39</v>
      </c>
      <c r="FX37" s="16">
        <v>43874</v>
      </c>
      <c r="FY37" s="15">
        <v>14466345.689708522</v>
      </c>
      <c r="FZ37" s="14">
        <v>3000000</v>
      </c>
      <c r="GB37" s="2">
        <v>38</v>
      </c>
      <c r="GC37" s="2">
        <v>14</v>
      </c>
      <c r="GD37" s="2">
        <v>14</v>
      </c>
      <c r="GF37" s="40">
        <v>130</v>
      </c>
      <c r="GG37" s="39">
        <f t="shared" si="128"/>
        <v>167315000</v>
      </c>
      <c r="GH37" s="40">
        <v>280</v>
      </c>
      <c r="GI37" s="39">
        <f t="shared" si="129"/>
        <v>558530000.00000012</v>
      </c>
      <c r="GK37" s="13"/>
      <c r="GL37" s="13"/>
      <c r="GM37" s="40">
        <v>130</v>
      </c>
      <c r="GN37" s="39">
        <f t="shared" si="130"/>
        <v>106724000</v>
      </c>
      <c r="GO37" s="40">
        <v>280</v>
      </c>
      <c r="GP37" s="39">
        <f t="shared" si="131"/>
        <v>154559000</v>
      </c>
      <c r="GR37" s="13"/>
      <c r="GS37" s="13"/>
      <c r="GT37" s="16" t="s">
        <v>38</v>
      </c>
      <c r="GU37" s="16">
        <v>44238</v>
      </c>
      <c r="GV37" s="15">
        <v>48994890.605047114</v>
      </c>
      <c r="GW37" s="14">
        <v>30000000</v>
      </c>
      <c r="HB37" s="40">
        <v>130</v>
      </c>
      <c r="HC37" s="39">
        <f t="shared" si="132"/>
        <v>185033000</v>
      </c>
      <c r="HD37" s="40">
        <v>280</v>
      </c>
      <c r="HE37" s="39">
        <f t="shared" si="133"/>
        <v>479482999.99999994</v>
      </c>
      <c r="HG37" s="13"/>
      <c r="HH37" s="13"/>
      <c r="HI37" s="16" t="s">
        <v>35</v>
      </c>
      <c r="HJ37" s="16">
        <v>44602</v>
      </c>
      <c r="HK37" s="15">
        <v>79133284.037701428</v>
      </c>
      <c r="HL37" s="14">
        <v>60000000</v>
      </c>
      <c r="HQ37" s="40">
        <v>130</v>
      </c>
      <c r="HR37" s="39">
        <f t="shared" si="134"/>
        <v>267868000.00000006</v>
      </c>
      <c r="HS37" s="40">
        <v>280</v>
      </c>
      <c r="HT37" s="39">
        <f t="shared" si="135"/>
        <v>1050223000.0000002</v>
      </c>
      <c r="HV37" s="13"/>
      <c r="HW37" s="13"/>
      <c r="HX37" s="40">
        <v>130</v>
      </c>
      <c r="HY37" s="39">
        <f t="shared" si="136"/>
        <v>202531999.99999997</v>
      </c>
      <c r="HZ37" s="40">
        <v>280</v>
      </c>
      <c r="IA37" s="39">
        <f t="shared" si="137"/>
        <v>615827000</v>
      </c>
      <c r="IC37" s="13"/>
      <c r="ID37" s="13"/>
      <c r="IE37" s="16" t="s">
        <v>37</v>
      </c>
      <c r="IF37" s="16">
        <v>44973</v>
      </c>
      <c r="IG37" s="15">
        <v>27295176.771055035</v>
      </c>
      <c r="IH37" s="14">
        <v>8000000</v>
      </c>
      <c r="IM37" s="40">
        <v>130</v>
      </c>
      <c r="IN37" s="39">
        <f t="shared" si="138"/>
        <v>230401000</v>
      </c>
      <c r="IO37" s="40">
        <v>280</v>
      </c>
      <c r="IP37" s="39">
        <f t="shared" si="139"/>
        <v>662656000.00000012</v>
      </c>
      <c r="IR37" s="13"/>
      <c r="IS37" s="13"/>
      <c r="IT37" s="111">
        <v>450</v>
      </c>
      <c r="IU37" s="39">
        <f t="shared" si="87"/>
        <v>531994000</v>
      </c>
      <c r="IV37" s="40"/>
      <c r="IW37" s="39"/>
      <c r="IY37" s="13"/>
      <c r="IZ37" s="13"/>
      <c r="JA37" s="16" t="s">
        <v>115</v>
      </c>
      <c r="JB37" s="16">
        <v>45337</v>
      </c>
      <c r="JC37" s="15">
        <v>21269048.05491991</v>
      </c>
      <c r="JD37" s="14">
        <v>4000000</v>
      </c>
      <c r="JI37" s="40">
        <v>130</v>
      </c>
      <c r="JJ37" s="39">
        <f t="shared" si="140"/>
        <v>230401000</v>
      </c>
      <c r="JK37" s="40">
        <v>280</v>
      </c>
      <c r="JL37" s="39">
        <f t="shared" si="141"/>
        <v>662656000.00000012</v>
      </c>
      <c r="JN37" s="13"/>
      <c r="JO37" s="13"/>
      <c r="JP37" s="111">
        <v>450</v>
      </c>
      <c r="JQ37" s="39">
        <f t="shared" si="91"/>
        <v>487207999.99999994</v>
      </c>
      <c r="JR37" s="69"/>
      <c r="JS37" s="69"/>
      <c r="JU37" s="13"/>
      <c r="JV37" s="13"/>
      <c r="LH37" s="1">
        <v>4</v>
      </c>
      <c r="LI37" s="1">
        <v>20</v>
      </c>
      <c r="MY37" s="16" t="s">
        <v>34</v>
      </c>
      <c r="MZ37" s="16">
        <v>43062</v>
      </c>
      <c r="NA37" s="15">
        <v>25136980</v>
      </c>
      <c r="NB37" s="14">
        <v>10000000</v>
      </c>
      <c r="NG37" s="40">
        <v>130</v>
      </c>
      <c r="NH37" s="39">
        <f t="shared" si="142"/>
        <v>165790000</v>
      </c>
      <c r="NI37" s="40">
        <v>280</v>
      </c>
      <c r="NJ37" s="39">
        <f t="shared" si="143"/>
        <v>370420000</v>
      </c>
      <c r="NL37" s="13"/>
      <c r="NN37" s="16" t="s">
        <v>33</v>
      </c>
      <c r="NO37" s="16">
        <v>43433</v>
      </c>
      <c r="NP37" s="15">
        <v>19567152</v>
      </c>
      <c r="NQ37" s="14">
        <v>8000000</v>
      </c>
      <c r="NV37" s="40">
        <v>130</v>
      </c>
      <c r="NW37" s="39">
        <f t="shared" si="144"/>
        <v>243664000.00000003</v>
      </c>
      <c r="NX37" s="40">
        <v>280</v>
      </c>
      <c r="NY37" s="39">
        <f t="shared" si="145"/>
        <v>998599000</v>
      </c>
      <c r="OA37" s="13"/>
      <c r="OB37" s="1"/>
    </row>
    <row r="38" spans="2:392" x14ac:dyDescent="0.2">
      <c r="B38" s="5"/>
      <c r="C38" s="5"/>
      <c r="D38" s="5"/>
      <c r="F38" s="5">
        <v>0</v>
      </c>
      <c r="G38" s="53">
        <v>42552</v>
      </c>
      <c r="H38" s="53">
        <v>43890</v>
      </c>
      <c r="I38" s="53"/>
      <c r="K38" s="7">
        <v>34</v>
      </c>
      <c r="M38" s="5" t="str" cm="1">
        <f t="array" ref="M38">LOOKUP(2,1/($G$19:$G$35&lt;=$V38)/($H$19:$H$35&gt;=$V38),$F$19:$F$35)</f>
        <v>1H18</v>
      </c>
      <c r="N38" s="5" t="str" cm="1">
        <f t="array" ref="N38">LOOKUP(2,1/($G$8:$G$16&lt;=$V38)/($H$8:$H$16&gt;=$V38),$F$8:$F$16)</f>
        <v>FY18</v>
      </c>
      <c r="O38" s="5" t="str">
        <f>IFERROR(N38&amp;"-"&amp;COUNTIF($N$5:N38,N38),NA())</f>
        <v>FY18-8</v>
      </c>
      <c r="P38" s="5">
        <f>COUNTIF(V$5:V38,"&gt;="&amp;MAX($V:$V)-183)</f>
        <v>0</v>
      </c>
      <c r="Q38" s="5">
        <f>COUNTIF(V$5:V38,"&gt;="&amp;MAX($V:$V)-365)</f>
        <v>0</v>
      </c>
      <c r="R38" s="5" cm="1">
        <f t="array" ref="R38">LOOKUP(2,1/($G$46:$G$50&lt;=$V38)/($H$46:$H$50&gt;=$V38),$F$46:$F$50)</f>
        <v>0</v>
      </c>
      <c r="S38" s="5" cm="1">
        <f t="array" ref="S38">LOOKUP(2,1/($G$53:$G$56&lt;=$V38)/($H$53:$H$56&gt;=$V38),$F$53:$F$56)</f>
        <v>0</v>
      </c>
      <c r="T38" s="5" t="e">
        <f>IFERROR(IF($R38&gt;0,$R38&amp;"-"&amp;COUNTIF($R$5:$R38,$R38),NA()),NA())</f>
        <v>#N/A</v>
      </c>
      <c r="U38" s="5" t="e">
        <f>IFERROR(IF($S38&gt;0,$S38&amp;"-"&amp;COUNTIF($S$5:$S38,$S38),NA()),NA())</f>
        <v>#N/A</v>
      </c>
      <c r="V38" s="10">
        <v>42971</v>
      </c>
      <c r="W38" s="9">
        <v>16172577.45385544</v>
      </c>
      <c r="X38" s="9">
        <v>15025133.083504396</v>
      </c>
      <c r="Y38" s="8">
        <v>6000000</v>
      </c>
      <c r="AA38" s="48" t="e">
        <f t="shared" ref="AA38:AA56" si="174">IF(AA37+1&lt;=MAX($P:$P),AA37+1,NA())</f>
        <v>#N/A</v>
      </c>
      <c r="AB38" s="12" t="e">
        <f t="shared" si="149"/>
        <v>#N/A</v>
      </c>
      <c r="AC38" s="15" t="e">
        <f t="shared" si="150"/>
        <v>#N/A</v>
      </c>
      <c r="AD38" s="14" t="e">
        <f t="shared" si="151"/>
        <v>#N/A</v>
      </c>
      <c r="AI38" s="40">
        <v>140</v>
      </c>
      <c r="AJ38" s="39">
        <f t="shared" si="106"/>
        <v>250347000</v>
      </c>
      <c r="AK38" s="40">
        <v>290</v>
      </c>
      <c r="AL38" s="39">
        <f t="shared" si="107"/>
        <v>725922000</v>
      </c>
      <c r="AN38" s="13"/>
      <c r="AO38" s="13"/>
      <c r="AP38" s="40">
        <v>140</v>
      </c>
      <c r="AQ38" s="39">
        <f t="shared" si="108"/>
        <v>120184000</v>
      </c>
      <c r="AR38" s="40">
        <v>290</v>
      </c>
      <c r="AS38" s="39">
        <f t="shared" si="109"/>
        <v>58008999.999999993</v>
      </c>
      <c r="AU38" s="13"/>
      <c r="AW38" s="48">
        <f t="shared" ref="AW38:AW57" si="175">IF(AW37+1&lt;=MAX($Q:$Q),AW37+1,NA())</f>
        <v>34</v>
      </c>
      <c r="AX38" s="12">
        <f t="shared" si="152"/>
        <v>45337</v>
      </c>
      <c r="AY38" s="15">
        <f t="shared" si="153"/>
        <v>21269048.05491991</v>
      </c>
      <c r="AZ38" s="14">
        <f t="shared" si="154"/>
        <v>4000000</v>
      </c>
      <c r="BI38" s="40">
        <v>140</v>
      </c>
      <c r="BJ38" s="39">
        <f t="shared" si="110"/>
        <v>258308000</v>
      </c>
      <c r="BK38" s="40">
        <v>290</v>
      </c>
      <c r="BL38" s="39">
        <f t="shared" si="111"/>
        <v>806303000</v>
      </c>
      <c r="BN38" s="13"/>
      <c r="BO38" s="13"/>
      <c r="BP38" s="40">
        <v>160</v>
      </c>
      <c r="BQ38" s="39">
        <f t="shared" si="146"/>
        <v>190358000</v>
      </c>
      <c r="BR38" s="110">
        <v>0.25</v>
      </c>
      <c r="BS38" s="39">
        <f t="shared" si="155"/>
        <v>237947500</v>
      </c>
      <c r="BU38" s="13"/>
      <c r="BW38" s="48" t="e">
        <f t="shared" si="156"/>
        <v>#N/A</v>
      </c>
      <c r="BX38" s="12" t="e">
        <f t="shared" si="157"/>
        <v>#N/A</v>
      </c>
      <c r="BY38" s="15" t="e">
        <f t="shared" si="158"/>
        <v>#N/A</v>
      </c>
      <c r="BZ38" s="14" t="e">
        <f t="shared" si="159"/>
        <v>#N/A</v>
      </c>
      <c r="CE38" s="40">
        <v>140</v>
      </c>
      <c r="CF38" s="39">
        <f t="shared" si="112"/>
        <v>136446000</v>
      </c>
      <c r="CG38" s="40">
        <v>290</v>
      </c>
      <c r="CH38" s="39">
        <f t="shared" si="113"/>
        <v>97640999.999999955</v>
      </c>
      <c r="CJ38" s="43" t="s">
        <v>58</v>
      </c>
      <c r="CK38" s="13"/>
      <c r="CL38" s="48" t="e">
        <f t="shared" si="160"/>
        <v>#N/A</v>
      </c>
      <c r="CM38" s="12" t="e">
        <f t="shared" si="161"/>
        <v>#N/A</v>
      </c>
      <c r="CN38" s="49" t="e">
        <f t="shared" si="162"/>
        <v>#N/A</v>
      </c>
      <c r="CO38" s="49" t="e">
        <f t="shared" si="163"/>
        <v>#N/A</v>
      </c>
      <c r="CQ38" s="61"/>
      <c r="CT38" s="40">
        <v>140</v>
      </c>
      <c r="CU38" s="39">
        <f t="shared" si="114"/>
        <v>136446000</v>
      </c>
      <c r="CV38" s="40">
        <v>290</v>
      </c>
      <c r="CW38" s="39">
        <f t="shared" si="115"/>
        <v>97640999.999999955</v>
      </c>
      <c r="CY38" s="13"/>
      <c r="DA38" s="48" t="e">
        <f t="shared" si="164"/>
        <v>#N/A</v>
      </c>
      <c r="DB38" s="12" t="e">
        <f t="shared" si="165"/>
        <v>#N/A</v>
      </c>
      <c r="DC38" s="15" t="e">
        <f t="shared" si="166"/>
        <v>#N/A</v>
      </c>
      <c r="DD38" s="14" t="e">
        <f t="shared" si="167"/>
        <v>#N/A</v>
      </c>
      <c r="DI38" s="40">
        <v>140</v>
      </c>
      <c r="DJ38" s="39">
        <f t="shared" si="116"/>
        <v>136446000</v>
      </c>
      <c r="DK38" s="40">
        <v>290</v>
      </c>
      <c r="DL38" s="39">
        <f t="shared" si="117"/>
        <v>97640999.999999955</v>
      </c>
      <c r="DN38" s="13"/>
      <c r="DO38" s="13"/>
      <c r="DP38" s="48" t="e">
        <f t="shared" si="168"/>
        <v>#N/A</v>
      </c>
      <c r="DQ38" s="12" t="e">
        <f t="shared" si="169"/>
        <v>#N/A</v>
      </c>
      <c r="DR38" s="15" t="e">
        <f t="shared" si="170"/>
        <v>#N/A</v>
      </c>
      <c r="DS38" s="14" t="e">
        <f t="shared" si="171"/>
        <v>#N/A</v>
      </c>
      <c r="DX38" s="40">
        <v>140</v>
      </c>
      <c r="DY38" s="39">
        <f t="shared" si="118"/>
        <v>136446000</v>
      </c>
      <c r="DZ38" s="40">
        <v>290</v>
      </c>
      <c r="EA38" s="39">
        <f t="shared" si="119"/>
        <v>97640999.999999955</v>
      </c>
      <c r="EC38" s="13"/>
      <c r="ED38" s="13"/>
      <c r="EE38" s="40">
        <v>140</v>
      </c>
      <c r="EF38" s="39">
        <f t="shared" si="120"/>
        <v>111873000</v>
      </c>
      <c r="EG38" s="40">
        <v>290</v>
      </c>
      <c r="EH38" s="39">
        <f t="shared" si="121"/>
        <v>155508000</v>
      </c>
      <c r="EJ38" s="13"/>
      <c r="EK38" s="13"/>
      <c r="EL38" s="47" t="str">
        <f t="shared" si="172"/>
        <v>FY18-34</v>
      </c>
      <c r="EM38" s="16">
        <v>43153</v>
      </c>
      <c r="EN38" s="15">
        <v>17186081.045368291</v>
      </c>
      <c r="EO38" s="14">
        <f t="shared" si="173"/>
        <v>6000000</v>
      </c>
      <c r="EQ38" s="14">
        <v>40000000</v>
      </c>
      <c r="ER38" s="1">
        <f t="shared" si="148"/>
        <v>1</v>
      </c>
      <c r="ET38" s="40">
        <v>140</v>
      </c>
      <c r="EU38" s="39">
        <f t="shared" si="122"/>
        <v>265345999.99999994</v>
      </c>
      <c r="EV38" s="40">
        <v>290</v>
      </c>
      <c r="EW38" s="39">
        <f t="shared" si="123"/>
        <v>889180999.99999988</v>
      </c>
      <c r="EX38" s="13"/>
      <c r="EY38" s="13"/>
      <c r="EZ38" s="13"/>
      <c r="FA38" s="16" t="s">
        <v>33</v>
      </c>
      <c r="FB38" s="16">
        <v>43517</v>
      </c>
      <c r="FC38" s="15">
        <v>38283030.633083731</v>
      </c>
      <c r="FD38" s="14">
        <v>30000000</v>
      </c>
      <c r="FI38" s="40">
        <v>140</v>
      </c>
      <c r="FJ38" s="39">
        <f t="shared" si="124"/>
        <v>291377000</v>
      </c>
      <c r="FK38" s="40">
        <v>290</v>
      </c>
      <c r="FL38" s="39">
        <f t="shared" si="125"/>
        <v>1134827000.0000002</v>
      </c>
      <c r="FN38" s="13"/>
      <c r="FO38" s="13"/>
      <c r="FP38" s="40">
        <v>140</v>
      </c>
      <c r="FQ38" s="39">
        <f t="shared" si="126"/>
        <v>221813000.00000006</v>
      </c>
      <c r="FR38" s="40">
        <v>290</v>
      </c>
      <c r="FS38" s="39">
        <f t="shared" si="127"/>
        <v>745568000</v>
      </c>
      <c r="FU38" s="13"/>
      <c r="FV38" s="13"/>
      <c r="FW38" s="16" t="s">
        <v>39</v>
      </c>
      <c r="FX38" s="16">
        <v>43881</v>
      </c>
      <c r="FY38" s="15">
        <v>21317199.148677409</v>
      </c>
      <c r="FZ38" s="14">
        <v>8000000</v>
      </c>
      <c r="GB38" s="14">
        <v>3000000</v>
      </c>
      <c r="GC38" s="14">
        <v>3000000</v>
      </c>
      <c r="GD38" s="14">
        <v>3000000</v>
      </c>
      <c r="GF38" s="40">
        <v>140</v>
      </c>
      <c r="GG38" s="39">
        <f t="shared" si="128"/>
        <v>186116000</v>
      </c>
      <c r="GH38" s="40">
        <v>290</v>
      </c>
      <c r="GI38" s="39">
        <f t="shared" si="129"/>
        <v>592931000</v>
      </c>
      <c r="GK38" s="13"/>
      <c r="GL38" s="13"/>
      <c r="GM38" s="40">
        <v>140</v>
      </c>
      <c r="GN38" s="39">
        <f t="shared" si="130"/>
        <v>111873000</v>
      </c>
      <c r="GO38" s="40">
        <v>290</v>
      </c>
      <c r="GP38" s="39">
        <f t="shared" si="131"/>
        <v>155508000</v>
      </c>
      <c r="GR38" s="13"/>
      <c r="GS38" s="13"/>
      <c r="GT38" s="16" t="s">
        <v>38</v>
      </c>
      <c r="GU38" s="16">
        <v>44245</v>
      </c>
      <c r="GV38" s="15">
        <v>78306876.740650654</v>
      </c>
      <c r="GW38" s="14">
        <v>50000000</v>
      </c>
      <c r="HB38" s="40">
        <v>140</v>
      </c>
      <c r="HC38" s="39">
        <f t="shared" si="132"/>
        <v>201303000</v>
      </c>
      <c r="HD38" s="40">
        <v>290</v>
      </c>
      <c r="HE38" s="39">
        <f t="shared" si="133"/>
        <v>502952999.99999994</v>
      </c>
      <c r="HG38" s="13"/>
      <c r="HH38" s="13"/>
      <c r="HI38" s="16" t="s">
        <v>35</v>
      </c>
      <c r="HJ38" s="16">
        <v>44609</v>
      </c>
      <c r="HK38" s="15">
        <v>115947240.37701429</v>
      </c>
      <c r="HL38" s="14">
        <v>80000000</v>
      </c>
      <c r="HQ38" s="40">
        <v>140</v>
      </c>
      <c r="HR38" s="39">
        <f t="shared" si="134"/>
        <v>303365000</v>
      </c>
      <c r="HS38" s="40">
        <v>290</v>
      </c>
      <c r="HT38" s="39">
        <f t="shared" si="135"/>
        <v>1121420000</v>
      </c>
      <c r="HV38" s="13"/>
      <c r="HW38" s="13"/>
      <c r="HX38" s="40">
        <v>140</v>
      </c>
      <c r="HY38" s="39">
        <f t="shared" si="136"/>
        <v>223364999.99999997</v>
      </c>
      <c r="HZ38" s="40">
        <v>290</v>
      </c>
      <c r="IA38" s="39">
        <f t="shared" si="137"/>
        <v>651060000</v>
      </c>
      <c r="IC38" s="13"/>
      <c r="ID38" s="13"/>
      <c r="IE38" s="16" t="s">
        <v>37</v>
      </c>
      <c r="IF38" s="16">
        <v>44980</v>
      </c>
      <c r="IG38" s="15">
        <v>43788940.346609913</v>
      </c>
      <c r="IH38" s="14">
        <v>20000000</v>
      </c>
      <c r="IM38" s="40">
        <v>140</v>
      </c>
      <c r="IN38" s="39">
        <f t="shared" si="138"/>
        <v>253058000.00000003</v>
      </c>
      <c r="IO38" s="40">
        <v>290</v>
      </c>
      <c r="IP38" s="39">
        <f t="shared" si="139"/>
        <v>698513000.00000012</v>
      </c>
      <c r="IR38" s="13"/>
      <c r="IS38" s="13"/>
      <c r="IT38" s="111">
        <v>480</v>
      </c>
      <c r="IU38" s="39">
        <f t="shared" si="87"/>
        <v>566362000</v>
      </c>
      <c r="IV38" s="40"/>
      <c r="IW38" s="39"/>
      <c r="IY38" s="13"/>
      <c r="IZ38" s="13"/>
      <c r="JA38" s="16" t="s">
        <v>115</v>
      </c>
      <c r="JB38" s="16">
        <v>45344</v>
      </c>
      <c r="JC38" s="15">
        <v>20955573.934837092</v>
      </c>
      <c r="JD38" s="14">
        <v>4000000</v>
      </c>
      <c r="JI38" s="40">
        <v>140</v>
      </c>
      <c r="JJ38" s="39">
        <f t="shared" si="140"/>
        <v>253058000.00000003</v>
      </c>
      <c r="JK38" s="40">
        <v>290</v>
      </c>
      <c r="JL38" s="39">
        <f t="shared" si="141"/>
        <v>698513000.00000012</v>
      </c>
      <c r="JN38" s="13"/>
      <c r="JO38" s="13"/>
      <c r="JP38" s="111">
        <v>480</v>
      </c>
      <c r="JQ38" s="39">
        <f t="shared" si="91"/>
        <v>518567000</v>
      </c>
      <c r="JR38" s="69"/>
      <c r="JS38" s="69"/>
      <c r="JU38" s="13"/>
      <c r="JV38" s="13"/>
      <c r="LH38" s="1">
        <v>5</v>
      </c>
      <c r="LI38" s="1">
        <v>30</v>
      </c>
      <c r="MY38" s="16" t="s">
        <v>34</v>
      </c>
      <c r="MZ38" s="16">
        <v>43069</v>
      </c>
      <c r="NA38" s="15">
        <v>13050950</v>
      </c>
      <c r="NB38" s="14">
        <v>3000000</v>
      </c>
      <c r="ND38" s="1" t="s">
        <v>57</v>
      </c>
      <c r="NG38" s="40">
        <v>140</v>
      </c>
      <c r="NH38" s="39">
        <f t="shared" si="142"/>
        <v>178591999.99999997</v>
      </c>
      <c r="NI38" s="40">
        <v>290</v>
      </c>
      <c r="NJ38" s="39">
        <f t="shared" si="143"/>
        <v>385022000</v>
      </c>
      <c r="NL38" s="13"/>
      <c r="NN38" s="16" t="s">
        <v>33</v>
      </c>
      <c r="NO38" s="16">
        <v>43440</v>
      </c>
      <c r="NP38" s="15">
        <v>24038586</v>
      </c>
      <c r="NQ38" s="14">
        <v>12000000</v>
      </c>
      <c r="NV38" s="40">
        <v>140</v>
      </c>
      <c r="NW38" s="39">
        <f t="shared" si="144"/>
        <v>277613000</v>
      </c>
      <c r="NX38" s="40">
        <v>290</v>
      </c>
      <c r="NY38" s="39">
        <f t="shared" si="145"/>
        <v>1067648000.0000001</v>
      </c>
      <c r="OA38" s="13"/>
      <c r="OB38" s="1"/>
    </row>
    <row r="39" spans="2:392" x14ac:dyDescent="0.2">
      <c r="B39" s="5"/>
      <c r="C39" s="5"/>
      <c r="D39" s="5"/>
      <c r="F39" s="5">
        <v>1</v>
      </c>
      <c r="G39" s="53">
        <v>43891</v>
      </c>
      <c r="H39" s="51">
        <f>EOMONTH(MAX($V:$V),0)</f>
        <v>45473</v>
      </c>
      <c r="I39" s="51"/>
      <c r="K39" s="7">
        <v>35</v>
      </c>
      <c r="M39" s="5" t="str" cm="1">
        <f t="array" ref="M39">LOOKUP(2,1/($G$19:$G$35&lt;=$V39)/($H$19:$H$35&gt;=$V39),$F$19:$F$35)</f>
        <v>1H18</v>
      </c>
      <c r="N39" s="5" t="str" cm="1">
        <f t="array" ref="N39">LOOKUP(2,1/($G$8:$G$16&lt;=$V39)/($H$8:$H$16&gt;=$V39),$F$8:$F$16)</f>
        <v>FY18</v>
      </c>
      <c r="O39" s="5" t="str">
        <f>IFERROR(N39&amp;"-"&amp;COUNTIF($N$5:N39,N39),NA())</f>
        <v>FY18-9</v>
      </c>
      <c r="P39" s="5">
        <f>COUNTIF(V$5:V39,"&gt;="&amp;MAX($V:$V)-183)</f>
        <v>0</v>
      </c>
      <c r="Q39" s="5">
        <f>COUNTIF(V$5:V39,"&gt;="&amp;MAX($V:$V)-365)</f>
        <v>0</v>
      </c>
      <c r="R39" s="5" cm="1">
        <f t="array" ref="R39">LOOKUP(2,1/($G$46:$G$50&lt;=$V39)/($H$46:$H$50&gt;=$V39),$F$46:$F$50)</f>
        <v>0</v>
      </c>
      <c r="S39" s="5" cm="1">
        <f t="array" ref="S39">LOOKUP(2,1/($G$53:$G$56&lt;=$V39)/($H$53:$H$56&gt;=$V39),$F$53:$F$56)</f>
        <v>0</v>
      </c>
      <c r="T39" s="5" t="e">
        <f>IFERROR(IF($R39&gt;0,$R39&amp;"-"&amp;COUNTIF($R$5:$R39,$R39),NA()),NA())</f>
        <v>#N/A</v>
      </c>
      <c r="U39" s="5" t="e">
        <f>IFERROR(IF($S39&gt;0,$S39&amp;"-"&amp;COUNTIF($S$5:$S39,$S39),NA()),NA())</f>
        <v>#N/A</v>
      </c>
      <c r="V39" s="10">
        <v>42978</v>
      </c>
      <c r="W39" s="9">
        <v>18730835.321718127</v>
      </c>
      <c r="X39" s="9">
        <v>17401882.555642225</v>
      </c>
      <c r="Y39" s="8">
        <v>10000000</v>
      </c>
      <c r="AA39" s="48" t="e">
        <f t="shared" si="174"/>
        <v>#N/A</v>
      </c>
      <c r="AB39" s="12" t="e">
        <f t="shared" si="149"/>
        <v>#N/A</v>
      </c>
      <c r="AC39" s="15" t="e">
        <f t="shared" si="150"/>
        <v>#N/A</v>
      </c>
      <c r="AD39" s="14" t="e">
        <f t="shared" si="151"/>
        <v>#N/A</v>
      </c>
      <c r="AI39" s="40">
        <v>150</v>
      </c>
      <c r="AJ39" s="39">
        <f t="shared" si="106"/>
        <v>274772000</v>
      </c>
      <c r="AK39" s="40">
        <v>300</v>
      </c>
      <c r="AL39" s="39">
        <f t="shared" si="107"/>
        <v>765947000</v>
      </c>
      <c r="AN39" s="13"/>
      <c r="AO39" s="13"/>
      <c r="AP39" s="40">
        <v>150</v>
      </c>
      <c r="AQ39" s="39">
        <f t="shared" si="108"/>
        <v>121639000.00000001</v>
      </c>
      <c r="AR39" s="40">
        <v>300</v>
      </c>
      <c r="AS39" s="39">
        <f t="shared" si="109"/>
        <v>47464000.000000037</v>
      </c>
      <c r="AU39" s="13"/>
      <c r="AW39" s="48">
        <f t="shared" si="175"/>
        <v>35</v>
      </c>
      <c r="AX39" s="12">
        <f t="shared" si="152"/>
        <v>45344</v>
      </c>
      <c r="AY39" s="15">
        <f t="shared" si="153"/>
        <v>20955573.934837092</v>
      </c>
      <c r="AZ39" s="14">
        <f t="shared" si="154"/>
        <v>4000000</v>
      </c>
      <c r="BI39" s="40">
        <v>150</v>
      </c>
      <c r="BJ39" s="39">
        <f t="shared" si="110"/>
        <v>285461000</v>
      </c>
      <c r="BK39" s="40">
        <v>300</v>
      </c>
      <c r="BL39" s="39">
        <f t="shared" si="111"/>
        <v>853556000</v>
      </c>
      <c r="BN39" s="13"/>
      <c r="BO39" s="13"/>
      <c r="BP39" s="40">
        <v>240</v>
      </c>
      <c r="BQ39" s="39">
        <f t="shared" si="146"/>
        <v>277253999.99999994</v>
      </c>
      <c r="BR39" s="110">
        <v>0.25</v>
      </c>
      <c r="BS39" s="39">
        <f t="shared" si="155"/>
        <v>346567499.99999994</v>
      </c>
      <c r="BU39" s="13"/>
      <c r="BW39" s="48" t="e">
        <f t="shared" si="156"/>
        <v>#N/A</v>
      </c>
      <c r="BX39" s="12" t="e">
        <f t="shared" si="157"/>
        <v>#N/A</v>
      </c>
      <c r="BY39" s="15" t="e">
        <f t="shared" si="158"/>
        <v>#N/A</v>
      </c>
      <c r="BZ39" s="14" t="e">
        <f t="shared" si="159"/>
        <v>#N/A</v>
      </c>
      <c r="CE39" s="40">
        <v>150</v>
      </c>
      <c r="CF39" s="39">
        <f t="shared" si="112"/>
        <v>139319000</v>
      </c>
      <c r="CG39" s="40">
        <v>300</v>
      </c>
      <c r="CH39" s="39">
        <f t="shared" si="113"/>
        <v>88813999.999999955</v>
      </c>
      <c r="CJ39" s="13"/>
      <c r="CK39" s="13"/>
      <c r="CL39" s="48" t="e">
        <f t="shared" si="160"/>
        <v>#N/A</v>
      </c>
      <c r="CM39" s="12" t="e">
        <f t="shared" si="161"/>
        <v>#N/A</v>
      </c>
      <c r="CN39" s="49" t="e">
        <f t="shared" si="162"/>
        <v>#N/A</v>
      </c>
      <c r="CO39" s="49" t="e">
        <f t="shared" si="163"/>
        <v>#N/A</v>
      </c>
      <c r="CQ39" s="61"/>
      <c r="CT39" s="40">
        <v>150</v>
      </c>
      <c r="CU39" s="39">
        <f t="shared" si="114"/>
        <v>139319000</v>
      </c>
      <c r="CV39" s="40">
        <v>300</v>
      </c>
      <c r="CW39" s="39">
        <f t="shared" si="115"/>
        <v>88813999.999999955</v>
      </c>
      <c r="CY39" s="13"/>
      <c r="DA39" s="48" t="e">
        <f t="shared" si="164"/>
        <v>#N/A</v>
      </c>
      <c r="DB39" s="12" t="e">
        <f t="shared" si="165"/>
        <v>#N/A</v>
      </c>
      <c r="DC39" s="15" t="e">
        <f t="shared" si="166"/>
        <v>#N/A</v>
      </c>
      <c r="DD39" s="14" t="e">
        <f t="shared" si="167"/>
        <v>#N/A</v>
      </c>
      <c r="DI39" s="40">
        <v>150</v>
      </c>
      <c r="DJ39" s="39">
        <f t="shared" si="116"/>
        <v>139319000</v>
      </c>
      <c r="DK39" s="40">
        <v>300</v>
      </c>
      <c r="DL39" s="39">
        <f t="shared" si="117"/>
        <v>88813999.999999955</v>
      </c>
      <c r="DN39" s="13"/>
      <c r="DO39" s="13"/>
      <c r="DP39" s="48" t="e">
        <f t="shared" si="168"/>
        <v>#N/A</v>
      </c>
      <c r="DQ39" s="12" t="e">
        <f t="shared" si="169"/>
        <v>#N/A</v>
      </c>
      <c r="DR39" s="15" t="e">
        <f t="shared" si="170"/>
        <v>#N/A</v>
      </c>
      <c r="DS39" s="14" t="e">
        <f t="shared" si="171"/>
        <v>#N/A</v>
      </c>
      <c r="DX39" s="40">
        <v>150</v>
      </c>
      <c r="DY39" s="39">
        <f t="shared" si="118"/>
        <v>139319000</v>
      </c>
      <c r="DZ39" s="40">
        <v>300</v>
      </c>
      <c r="EA39" s="39">
        <f t="shared" si="119"/>
        <v>88813999.999999955</v>
      </c>
      <c r="EC39" s="13"/>
      <c r="ED39" s="13"/>
      <c r="EE39" s="40">
        <v>150</v>
      </c>
      <c r="EF39" s="39">
        <f t="shared" si="120"/>
        <v>116742000</v>
      </c>
      <c r="EG39" s="40">
        <v>300</v>
      </c>
      <c r="EH39" s="39">
        <f t="shared" si="121"/>
        <v>156177000</v>
      </c>
      <c r="EJ39" s="13"/>
      <c r="EK39" s="13"/>
      <c r="EL39" s="47" t="str">
        <f t="shared" si="172"/>
        <v>FY18-35</v>
      </c>
      <c r="EM39" s="16">
        <v>43160</v>
      </c>
      <c r="EN39" s="15">
        <v>21685931.050543383</v>
      </c>
      <c r="EO39" s="14">
        <f t="shared" si="173"/>
        <v>10000000</v>
      </c>
      <c r="EQ39" s="14">
        <v>50000000</v>
      </c>
      <c r="ER39" s="1">
        <f t="shared" si="148"/>
        <v>1</v>
      </c>
      <c r="ET39" s="40">
        <v>150</v>
      </c>
      <c r="EU39" s="39">
        <f t="shared" si="122"/>
        <v>295595000</v>
      </c>
      <c r="EV39" s="40">
        <v>300</v>
      </c>
      <c r="EW39" s="39">
        <f t="shared" si="123"/>
        <v>943730000</v>
      </c>
      <c r="EX39" s="13"/>
      <c r="EY39" s="13"/>
      <c r="EZ39" s="13"/>
      <c r="FA39" s="16" t="s">
        <v>33</v>
      </c>
      <c r="FB39" s="16">
        <v>43524</v>
      </c>
      <c r="FC39" s="15">
        <v>44982119.438084036</v>
      </c>
      <c r="FD39" s="14">
        <v>40000000</v>
      </c>
      <c r="FF39" s="1">
        <v>3000000</v>
      </c>
      <c r="FI39" s="40">
        <v>150</v>
      </c>
      <c r="FJ39" s="39">
        <f t="shared" si="124"/>
        <v>329967000</v>
      </c>
      <c r="FK39" s="40">
        <v>300</v>
      </c>
      <c r="FL39" s="39">
        <f t="shared" si="125"/>
        <v>1211217000</v>
      </c>
      <c r="FN39" s="13"/>
      <c r="FO39" s="13"/>
      <c r="FP39" s="40">
        <v>150</v>
      </c>
      <c r="FQ39" s="39">
        <f t="shared" si="126"/>
        <v>247070000.00000003</v>
      </c>
      <c r="FR39" s="40">
        <v>300</v>
      </c>
      <c r="FS39" s="39">
        <f t="shared" si="127"/>
        <v>791525000.00000012</v>
      </c>
      <c r="FU39" s="13"/>
      <c r="FV39" s="13"/>
      <c r="FW39" s="16" t="s">
        <v>39</v>
      </c>
      <c r="FX39" s="16">
        <v>43888</v>
      </c>
      <c r="FY39" s="15">
        <v>28132182.912739433</v>
      </c>
      <c r="FZ39" s="14">
        <v>12000000</v>
      </c>
      <c r="GB39" s="14">
        <v>8000000</v>
      </c>
      <c r="GC39" s="14">
        <v>8000000</v>
      </c>
      <c r="GD39" s="14">
        <v>8000000</v>
      </c>
      <c r="GF39" s="40">
        <v>150</v>
      </c>
      <c r="GG39" s="39">
        <f t="shared" si="128"/>
        <v>205957000.00000003</v>
      </c>
      <c r="GH39" s="40">
        <v>300</v>
      </c>
      <c r="GI39" s="39">
        <f t="shared" si="129"/>
        <v>628372000.00000012</v>
      </c>
      <c r="GK39" s="13"/>
      <c r="GL39" s="13"/>
      <c r="GM39" s="40">
        <v>150</v>
      </c>
      <c r="GN39" s="39">
        <f t="shared" si="130"/>
        <v>116742000</v>
      </c>
      <c r="GO39" s="40">
        <v>300</v>
      </c>
      <c r="GP39" s="39">
        <f t="shared" si="131"/>
        <v>156177000</v>
      </c>
      <c r="GR39" s="13"/>
      <c r="GS39" s="13"/>
      <c r="GT39" s="16" t="s">
        <v>38</v>
      </c>
      <c r="GU39" s="16">
        <v>44252</v>
      </c>
      <c r="GV39" s="15">
        <v>22972673.761021584</v>
      </c>
      <c r="GW39" s="14">
        <v>8000000</v>
      </c>
      <c r="HB39" s="40">
        <v>150</v>
      </c>
      <c r="HC39" s="39">
        <f t="shared" si="132"/>
        <v>218053000</v>
      </c>
      <c r="HD39" s="40">
        <v>300</v>
      </c>
      <c r="HE39" s="39">
        <f t="shared" si="133"/>
        <v>526902999.99999988</v>
      </c>
      <c r="HG39" s="13"/>
      <c r="HH39" s="13"/>
      <c r="HI39" s="16" t="s">
        <v>35</v>
      </c>
      <c r="HJ39" s="16">
        <v>44616</v>
      </c>
      <c r="HK39" s="15">
        <v>244631644.87686226</v>
      </c>
      <c r="HL39" s="14">
        <v>120000000</v>
      </c>
      <c r="HQ39" s="40">
        <v>150</v>
      </c>
      <c r="HR39" s="39">
        <f t="shared" si="134"/>
        <v>341242000</v>
      </c>
      <c r="HS39" s="40">
        <v>300</v>
      </c>
      <c r="HT39" s="39">
        <f t="shared" si="135"/>
        <v>1194997000</v>
      </c>
      <c r="HV39" s="13"/>
      <c r="HW39" s="13"/>
      <c r="HX39" s="40">
        <v>150</v>
      </c>
      <c r="HY39" s="39">
        <f t="shared" si="136"/>
        <v>245157999.99999997</v>
      </c>
      <c r="HZ39" s="40">
        <v>300</v>
      </c>
      <c r="IA39" s="39">
        <f t="shared" si="137"/>
        <v>687252999.99999988</v>
      </c>
      <c r="IC39" s="13"/>
      <c r="ID39" s="13"/>
      <c r="IE39" s="16" t="s">
        <v>37</v>
      </c>
      <c r="IF39" s="16">
        <v>44987</v>
      </c>
      <c r="IG39" s="15">
        <v>60656023.107327446</v>
      </c>
      <c r="IH39" s="14">
        <v>40000000</v>
      </c>
      <c r="IM39" s="40">
        <v>150</v>
      </c>
      <c r="IN39" s="39">
        <f t="shared" si="138"/>
        <v>276595000</v>
      </c>
      <c r="IO39" s="40">
        <v>300</v>
      </c>
      <c r="IP39" s="39">
        <f t="shared" si="139"/>
        <v>735250000.00000012</v>
      </c>
      <c r="IR39" s="13"/>
      <c r="IS39" s="13"/>
      <c r="IT39" s="111">
        <v>500</v>
      </c>
      <c r="IU39" s="39">
        <f t="shared" si="87"/>
        <v>589274000</v>
      </c>
      <c r="IV39" s="40"/>
      <c r="IW39" s="39"/>
      <c r="IY39" s="13"/>
      <c r="IZ39" s="13"/>
      <c r="JA39" s="16" t="s">
        <v>115</v>
      </c>
      <c r="JB39" s="16">
        <v>45351</v>
      </c>
      <c r="JC39" s="15">
        <v>33186050.670153648</v>
      </c>
      <c r="JD39" s="14">
        <v>12000000</v>
      </c>
      <c r="JI39" s="40">
        <v>150</v>
      </c>
      <c r="JJ39" s="39">
        <f t="shared" si="140"/>
        <v>276595000</v>
      </c>
      <c r="JK39" s="40">
        <v>300</v>
      </c>
      <c r="JL39" s="39">
        <f t="shared" si="141"/>
        <v>735250000.00000012</v>
      </c>
      <c r="JN39" s="13"/>
      <c r="JO39" s="13"/>
      <c r="JP39" s="111">
        <v>500</v>
      </c>
      <c r="JQ39" s="39">
        <f t="shared" si="91"/>
        <v>539473000</v>
      </c>
      <c r="JU39" s="13"/>
      <c r="JV39" s="13"/>
      <c r="LH39" s="1">
        <v>6</v>
      </c>
      <c r="LI39" s="1">
        <v>40</v>
      </c>
      <c r="MY39" s="16" t="s">
        <v>34</v>
      </c>
      <c r="MZ39" s="16">
        <v>43076</v>
      </c>
      <c r="NA39" s="15">
        <v>17104120</v>
      </c>
      <c r="NB39" s="14">
        <v>6000000</v>
      </c>
      <c r="NG39" s="40">
        <v>150</v>
      </c>
      <c r="NH39" s="39">
        <f t="shared" si="142"/>
        <v>191514000</v>
      </c>
      <c r="NI39" s="40">
        <v>300</v>
      </c>
      <c r="NJ39" s="39">
        <f t="shared" si="143"/>
        <v>399744000</v>
      </c>
      <c r="NL39" s="13"/>
      <c r="NN39" s="16" t="s">
        <v>33</v>
      </c>
      <c r="NO39" s="16">
        <v>43447</v>
      </c>
      <c r="NP39" s="15">
        <v>31849290</v>
      </c>
      <c r="NQ39" s="14">
        <v>20000000</v>
      </c>
      <c r="NV39" s="40">
        <v>150</v>
      </c>
      <c r="NW39" s="39">
        <f t="shared" si="144"/>
        <v>313902000</v>
      </c>
      <c r="NX39" s="40">
        <v>300</v>
      </c>
      <c r="NY39" s="39">
        <f t="shared" si="145"/>
        <v>1139037000</v>
      </c>
      <c r="OA39" s="13"/>
      <c r="OB39" s="1"/>
    </row>
    <row r="40" spans="2:392" x14ac:dyDescent="0.2">
      <c r="B40" s="5"/>
      <c r="C40" s="5"/>
      <c r="D40" s="5"/>
      <c r="F40" s="5"/>
      <c r="G40" s="5"/>
      <c r="H40" s="5"/>
      <c r="I40" s="5"/>
      <c r="K40" s="7">
        <v>36</v>
      </c>
      <c r="M40" s="5" t="str" cm="1">
        <f t="array" ref="M40">LOOKUP(2,1/($G$19:$G$35&lt;=$V40)/($H$19:$H$35&gt;=$V40),$F$19:$F$35)</f>
        <v>1H18</v>
      </c>
      <c r="N40" s="5" t="str" cm="1">
        <f t="array" ref="N40">LOOKUP(2,1/($G$8:$G$16&lt;=$V40)/($H$8:$H$16&gt;=$V40),$F$8:$F$16)</f>
        <v>FY18</v>
      </c>
      <c r="O40" s="5" t="str">
        <f>IFERROR(N40&amp;"-"&amp;COUNTIF($N$5:N40,N40),NA())</f>
        <v>FY18-10</v>
      </c>
      <c r="P40" s="5">
        <f>COUNTIF(V$5:V40,"&gt;="&amp;MAX($V:$V)-183)</f>
        <v>0</v>
      </c>
      <c r="Q40" s="5">
        <f>COUNTIF(V$5:V40,"&gt;="&amp;MAX($V:$V)-365)</f>
        <v>0</v>
      </c>
      <c r="R40" s="5" cm="1">
        <f t="array" ref="R40">LOOKUP(2,1/($G$46:$G$50&lt;=$V40)/($H$46:$H$50&gt;=$V40),$F$46:$F$50)</f>
        <v>0</v>
      </c>
      <c r="S40" s="5" cm="1">
        <f t="array" ref="S40">LOOKUP(2,1/($G$53:$G$56&lt;=$V40)/($H$53:$H$56&gt;=$V40),$F$53:$F$56)</f>
        <v>0</v>
      </c>
      <c r="T40" s="5" t="e">
        <f>IFERROR(IF($R40&gt;0,$R40&amp;"-"&amp;COUNTIF($R$5:$R40,$R40),NA()),NA())</f>
        <v>#N/A</v>
      </c>
      <c r="U40" s="5" t="e">
        <f>IFERROR(IF($S40&gt;0,$S40&amp;"-"&amp;COUNTIF($S$5:$S40,$S40),NA()),NA())</f>
        <v>#N/A</v>
      </c>
      <c r="V40" s="10">
        <v>42985</v>
      </c>
      <c r="W40" s="9">
        <v>25735862.268414695</v>
      </c>
      <c r="X40" s="9">
        <v>23909902.840470672</v>
      </c>
      <c r="Y40" s="8">
        <v>15000000</v>
      </c>
      <c r="AA40" s="48" t="e">
        <f t="shared" si="174"/>
        <v>#N/A</v>
      </c>
      <c r="AB40" s="12" t="e">
        <f t="shared" si="149"/>
        <v>#N/A</v>
      </c>
      <c r="AC40" s="15" t="e">
        <f t="shared" si="150"/>
        <v>#N/A</v>
      </c>
      <c r="AD40" s="14" t="e">
        <f t="shared" si="151"/>
        <v>#N/A</v>
      </c>
      <c r="AI40" s="40">
        <v>160</v>
      </c>
      <c r="AJ40" s="39">
        <f t="shared" si="106"/>
        <v>300236999.99999994</v>
      </c>
      <c r="AK40" s="40">
        <v>310</v>
      </c>
      <c r="AL40" s="39">
        <f t="shared" si="107"/>
        <v>807012000</v>
      </c>
      <c r="AN40" s="13"/>
      <c r="AO40" s="13"/>
      <c r="AP40" s="40">
        <v>160</v>
      </c>
      <c r="AQ40" s="39">
        <f t="shared" si="108"/>
        <v>122294000.00000001</v>
      </c>
      <c r="AR40" s="40">
        <v>310</v>
      </c>
      <c r="AS40" s="39">
        <f t="shared" si="109"/>
        <v>36119000.000000007</v>
      </c>
      <c r="AU40" s="13"/>
      <c r="AW40" s="48">
        <f t="shared" si="175"/>
        <v>36</v>
      </c>
      <c r="AX40" s="12">
        <f t="shared" si="152"/>
        <v>45351</v>
      </c>
      <c r="AY40" s="15">
        <f t="shared" si="153"/>
        <v>33186050.670153648</v>
      </c>
      <c r="AZ40" s="14">
        <f t="shared" si="154"/>
        <v>12000000</v>
      </c>
      <c r="BB40" s="75" t="s">
        <v>41</v>
      </c>
      <c r="BC40" s="75" t="s">
        <v>125</v>
      </c>
      <c r="BD40" s="75" t="s">
        <v>172</v>
      </c>
      <c r="BE40" s="75" t="s">
        <v>130</v>
      </c>
      <c r="BF40" s="75" t="s">
        <v>173</v>
      </c>
      <c r="BG40" s="69"/>
      <c r="BI40" s="40">
        <v>160</v>
      </c>
      <c r="BJ40" s="39">
        <f t="shared" si="110"/>
        <v>313954000</v>
      </c>
      <c r="BK40" s="40">
        <v>310</v>
      </c>
      <c r="BL40" s="39">
        <f t="shared" si="111"/>
        <v>902149000</v>
      </c>
      <c r="BN40" s="13"/>
      <c r="BO40" s="13"/>
      <c r="BP40" s="40">
        <v>350</v>
      </c>
      <c r="BQ40" s="39">
        <f t="shared" si="146"/>
        <v>396736000</v>
      </c>
      <c r="BR40" s="110">
        <v>0.25</v>
      </c>
      <c r="BS40" s="39">
        <f t="shared" si="155"/>
        <v>495920000</v>
      </c>
      <c r="BU40" s="13"/>
      <c r="BW40" s="48" t="e">
        <f t="shared" si="156"/>
        <v>#N/A</v>
      </c>
      <c r="BX40" s="12" t="e">
        <f t="shared" si="157"/>
        <v>#N/A</v>
      </c>
      <c r="BY40" s="15" t="e">
        <f t="shared" si="158"/>
        <v>#N/A</v>
      </c>
      <c r="BZ40" s="14" t="e">
        <f t="shared" si="159"/>
        <v>#N/A</v>
      </c>
      <c r="CE40" s="40">
        <v>160</v>
      </c>
      <c r="CF40" s="39">
        <f t="shared" si="112"/>
        <v>141412000</v>
      </c>
      <c r="CG40" s="40">
        <v>310</v>
      </c>
      <c r="CH40" s="39">
        <f t="shared" si="113"/>
        <v>79206999.999999985</v>
      </c>
      <c r="CJ40" s="13"/>
      <c r="CK40" s="13"/>
      <c r="CL40" s="48" t="e">
        <f t="shared" si="160"/>
        <v>#N/A</v>
      </c>
      <c r="CM40" s="12" t="e">
        <f t="shared" si="161"/>
        <v>#N/A</v>
      </c>
      <c r="CN40" s="49" t="e">
        <f t="shared" si="162"/>
        <v>#N/A</v>
      </c>
      <c r="CO40" s="49" t="e">
        <f t="shared" si="163"/>
        <v>#N/A</v>
      </c>
      <c r="CQ40" s="61"/>
      <c r="CT40" s="40">
        <v>160</v>
      </c>
      <c r="CU40" s="39">
        <f t="shared" si="114"/>
        <v>141412000</v>
      </c>
      <c r="CV40" s="40">
        <v>310</v>
      </c>
      <c r="CW40" s="39">
        <f t="shared" si="115"/>
        <v>79206999.999999985</v>
      </c>
      <c r="CY40" s="13"/>
      <c r="DA40" s="48" t="e">
        <f t="shared" si="164"/>
        <v>#N/A</v>
      </c>
      <c r="DB40" s="12" t="e">
        <f t="shared" si="165"/>
        <v>#N/A</v>
      </c>
      <c r="DC40" s="15" t="e">
        <f t="shared" si="166"/>
        <v>#N/A</v>
      </c>
      <c r="DD40" s="14" t="e">
        <f t="shared" si="167"/>
        <v>#N/A</v>
      </c>
      <c r="DI40" s="40">
        <v>160</v>
      </c>
      <c r="DJ40" s="39">
        <f t="shared" si="116"/>
        <v>141412000</v>
      </c>
      <c r="DK40" s="40">
        <v>310</v>
      </c>
      <c r="DL40" s="39">
        <f t="shared" si="117"/>
        <v>79206999.999999985</v>
      </c>
      <c r="DN40" s="13"/>
      <c r="DO40" s="13"/>
      <c r="DP40" s="48" t="e">
        <f t="shared" si="168"/>
        <v>#N/A</v>
      </c>
      <c r="DQ40" s="12" t="e">
        <f t="shared" si="169"/>
        <v>#N/A</v>
      </c>
      <c r="DR40" s="15" t="e">
        <f t="shared" si="170"/>
        <v>#N/A</v>
      </c>
      <c r="DS40" s="14" t="e">
        <f t="shared" si="171"/>
        <v>#N/A</v>
      </c>
      <c r="DX40" s="40">
        <v>160</v>
      </c>
      <c r="DY40" s="39">
        <f t="shared" si="118"/>
        <v>141412000</v>
      </c>
      <c r="DZ40" s="40">
        <v>310</v>
      </c>
      <c r="EA40" s="39">
        <f t="shared" si="119"/>
        <v>79206999.999999985</v>
      </c>
      <c r="EC40" s="13"/>
      <c r="ED40" s="13"/>
      <c r="EE40" s="40">
        <v>160</v>
      </c>
      <c r="EF40" s="39">
        <f t="shared" si="120"/>
        <v>121331000</v>
      </c>
      <c r="EG40" s="40">
        <v>310</v>
      </c>
      <c r="EH40" s="39">
        <f t="shared" si="121"/>
        <v>156566000.00000003</v>
      </c>
      <c r="EJ40" s="13"/>
      <c r="EK40" s="13"/>
      <c r="EL40" s="47" t="str">
        <f t="shared" si="172"/>
        <v>FY18-36</v>
      </c>
      <c r="EM40" s="16">
        <v>43167</v>
      </c>
      <c r="EN40" s="15">
        <v>27412380.840089697</v>
      </c>
      <c r="EO40" s="14">
        <f t="shared" si="173"/>
        <v>15000000</v>
      </c>
      <c r="ET40" s="40">
        <v>160</v>
      </c>
      <c r="EU40" s="39">
        <f t="shared" si="122"/>
        <v>327463999.99999994</v>
      </c>
      <c r="EV40" s="40">
        <v>310</v>
      </c>
      <c r="EW40" s="39">
        <f t="shared" si="123"/>
        <v>999899000</v>
      </c>
      <c r="EX40" s="13"/>
      <c r="EY40" s="13"/>
      <c r="EZ40" s="13"/>
      <c r="FA40" s="16" t="s">
        <v>33</v>
      </c>
      <c r="FB40" s="16">
        <v>43531</v>
      </c>
      <c r="FC40" s="15">
        <v>13444204.963178415</v>
      </c>
      <c r="FD40" s="14">
        <v>3000000</v>
      </c>
      <c r="FF40" s="1">
        <v>8000000</v>
      </c>
      <c r="FI40" s="40">
        <v>160</v>
      </c>
      <c r="FJ40" s="39">
        <f t="shared" si="124"/>
        <v>371077000</v>
      </c>
      <c r="FK40" s="40">
        <v>310</v>
      </c>
      <c r="FL40" s="39">
        <f t="shared" si="125"/>
        <v>1290127000</v>
      </c>
      <c r="FN40" s="13"/>
      <c r="FO40" s="13"/>
      <c r="FP40" s="40">
        <v>160</v>
      </c>
      <c r="FQ40" s="39">
        <f t="shared" si="126"/>
        <v>273707000</v>
      </c>
      <c r="FR40" s="40">
        <v>310</v>
      </c>
      <c r="FS40" s="39">
        <f t="shared" si="127"/>
        <v>838862000.00000012</v>
      </c>
      <c r="FU40" s="13"/>
      <c r="FV40" s="13"/>
      <c r="FW40" s="16" t="s">
        <v>39</v>
      </c>
      <c r="FX40" s="16">
        <v>43895</v>
      </c>
      <c r="FY40" s="15">
        <v>36338271.571906358</v>
      </c>
      <c r="FZ40" s="14">
        <v>20000000</v>
      </c>
      <c r="GB40" s="14">
        <v>12000000</v>
      </c>
      <c r="GC40" s="14">
        <v>12000000</v>
      </c>
      <c r="GD40" s="14">
        <v>12000000</v>
      </c>
      <c r="GF40" s="40">
        <v>160</v>
      </c>
      <c r="GG40" s="39">
        <f t="shared" si="128"/>
        <v>226838000</v>
      </c>
      <c r="GH40" s="40">
        <v>310</v>
      </c>
      <c r="GI40" s="39">
        <f t="shared" si="129"/>
        <v>664853000</v>
      </c>
      <c r="GK40" s="13"/>
      <c r="GL40" s="13"/>
      <c r="GM40" s="40">
        <v>160</v>
      </c>
      <c r="GN40" s="39">
        <f t="shared" si="130"/>
        <v>121331000</v>
      </c>
      <c r="GO40" s="40">
        <v>310</v>
      </c>
      <c r="GP40" s="39">
        <f t="shared" si="131"/>
        <v>156566000.00000003</v>
      </c>
      <c r="GR40" s="13"/>
      <c r="GS40" s="13"/>
      <c r="GT40" s="16" t="s">
        <v>38</v>
      </c>
      <c r="GU40" s="16">
        <v>44259</v>
      </c>
      <c r="GV40" s="15">
        <v>37058402.918820314</v>
      </c>
      <c r="GW40" s="14">
        <v>20000000</v>
      </c>
      <c r="HB40" s="40">
        <v>160</v>
      </c>
      <c r="HC40" s="39">
        <f t="shared" si="132"/>
        <v>235283000</v>
      </c>
      <c r="HD40" s="40">
        <v>310</v>
      </c>
      <c r="HE40" s="39">
        <f t="shared" si="133"/>
        <v>551333000</v>
      </c>
      <c r="HG40" s="13"/>
      <c r="HH40" s="13"/>
      <c r="HI40" s="16" t="s">
        <v>35</v>
      </c>
      <c r="HJ40" s="16">
        <v>44623</v>
      </c>
      <c r="HK40" s="15">
        <v>19764375.068409853</v>
      </c>
      <c r="HL40" s="14">
        <v>3000000</v>
      </c>
      <c r="HQ40" s="40">
        <v>160</v>
      </c>
      <c r="HR40" s="39">
        <f t="shared" si="134"/>
        <v>381499000.00000006</v>
      </c>
      <c r="HS40" s="40">
        <v>310</v>
      </c>
      <c r="HT40" s="39">
        <f t="shared" si="135"/>
        <v>1270954000.0000002</v>
      </c>
      <c r="HV40" s="13"/>
      <c r="HW40" s="13"/>
      <c r="HX40" s="40">
        <v>160</v>
      </c>
      <c r="HY40" s="39">
        <f t="shared" si="136"/>
        <v>267911000</v>
      </c>
      <c r="HZ40" s="40">
        <v>310</v>
      </c>
      <c r="IA40" s="39">
        <f t="shared" si="137"/>
        <v>724406000</v>
      </c>
      <c r="IC40" s="13"/>
      <c r="ID40" s="13"/>
      <c r="IE40" s="16" t="s">
        <v>37</v>
      </c>
      <c r="IF40" s="16">
        <v>44994</v>
      </c>
      <c r="IG40" s="15">
        <v>20922155.062328976</v>
      </c>
      <c r="IH40" s="14">
        <v>4000000</v>
      </c>
      <c r="IM40" s="40">
        <v>160</v>
      </c>
      <c r="IN40" s="39">
        <f t="shared" si="138"/>
        <v>301012000</v>
      </c>
      <c r="IO40" s="40">
        <v>310</v>
      </c>
      <c r="IP40" s="39">
        <f t="shared" si="139"/>
        <v>772867000.00000024</v>
      </c>
      <c r="IR40" s="13"/>
      <c r="IS40" s="13"/>
      <c r="IT40" s="111">
        <v>600</v>
      </c>
      <c r="IU40" s="39">
        <f t="shared" si="87"/>
        <v>703834000.00000012</v>
      </c>
      <c r="IV40" s="40"/>
      <c r="IW40" s="39"/>
      <c r="IY40" s="13"/>
      <c r="IZ40" s="13"/>
      <c r="JA40" s="16" t="s">
        <v>115</v>
      </c>
      <c r="JB40" s="16">
        <v>45358</v>
      </c>
      <c r="JC40" s="15">
        <v>40790859.104282446</v>
      </c>
      <c r="JD40" s="14">
        <v>20000000</v>
      </c>
      <c r="JI40" s="40">
        <v>160</v>
      </c>
      <c r="JJ40" s="39">
        <f t="shared" si="140"/>
        <v>301012000</v>
      </c>
      <c r="JK40" s="40">
        <v>310</v>
      </c>
      <c r="JL40" s="39">
        <f t="shared" si="141"/>
        <v>772867000.00000024</v>
      </c>
      <c r="JN40" s="13"/>
      <c r="JO40" s="13"/>
      <c r="JP40" s="111">
        <v>600</v>
      </c>
      <c r="JQ40" s="39">
        <f t="shared" si="91"/>
        <v>644002999.99999988</v>
      </c>
      <c r="JR40" s="40"/>
      <c r="JS40" s="39"/>
      <c r="JU40" s="13"/>
      <c r="JV40" s="13"/>
      <c r="LH40" s="1">
        <v>7</v>
      </c>
      <c r="LI40" s="1">
        <v>60</v>
      </c>
      <c r="MY40" s="16" t="s">
        <v>34</v>
      </c>
      <c r="MZ40" s="16">
        <v>43083</v>
      </c>
      <c r="NA40" s="15">
        <v>19455150</v>
      </c>
      <c r="NB40" s="14">
        <v>10000000</v>
      </c>
      <c r="NG40" s="40">
        <v>160</v>
      </c>
      <c r="NH40" s="39">
        <f t="shared" si="142"/>
        <v>204555999.99999997</v>
      </c>
      <c r="NI40" s="40">
        <v>310</v>
      </c>
      <c r="NJ40" s="39">
        <f t="shared" si="143"/>
        <v>414586000</v>
      </c>
      <c r="NL40" s="13"/>
      <c r="NN40" s="16" t="s">
        <v>33</v>
      </c>
      <c r="NO40" s="16">
        <v>43454</v>
      </c>
      <c r="NP40" s="15">
        <v>32226612</v>
      </c>
      <c r="NQ40" s="14">
        <v>25000000</v>
      </c>
      <c r="NV40" s="40">
        <v>160</v>
      </c>
      <c r="NW40" s="39">
        <f t="shared" si="144"/>
        <v>352531000</v>
      </c>
      <c r="NX40" s="40">
        <v>310</v>
      </c>
      <c r="NY40" s="39">
        <f t="shared" si="145"/>
        <v>1212766000</v>
      </c>
      <c r="OA40" s="13"/>
      <c r="OB40" s="1"/>
    </row>
    <row r="41" spans="2:392" x14ac:dyDescent="0.2">
      <c r="B41" s="5"/>
      <c r="C41" s="5"/>
      <c r="D41" s="5"/>
      <c r="F41" s="57" t="s">
        <v>56</v>
      </c>
      <c r="G41" s="57"/>
      <c r="H41" s="57"/>
      <c r="I41" s="57"/>
      <c r="K41" s="7">
        <v>37</v>
      </c>
      <c r="M41" s="5" t="str" cm="1">
        <f t="array" ref="M41">LOOKUP(2,1/($G$19:$G$35&lt;=$V41)/($H$19:$H$35&gt;=$V41),$F$19:$F$35)</f>
        <v>1H18</v>
      </c>
      <c r="N41" s="5" t="str" cm="1">
        <f t="array" ref="N41">LOOKUP(2,1/($G$8:$G$16&lt;=$V41)/($H$8:$H$16&gt;=$V41),$F$8:$F$16)</f>
        <v>FY18</v>
      </c>
      <c r="O41" s="5" t="str">
        <f>IFERROR(N41&amp;"-"&amp;COUNTIF($N$5:N41,N41),NA())</f>
        <v>FY18-11</v>
      </c>
      <c r="P41" s="5">
        <f>COUNTIF(V$5:V41,"&gt;="&amp;MAX($V:$V)-183)</f>
        <v>0</v>
      </c>
      <c r="Q41" s="5">
        <f>COUNTIF(V$5:V41,"&gt;="&amp;MAX($V:$V)-365)</f>
        <v>0</v>
      </c>
      <c r="R41" s="5" cm="1">
        <f t="array" ref="R41">LOOKUP(2,1/($G$46:$G$50&lt;=$V41)/($H$46:$H$50&gt;=$V41),$F$46:$F$50)</f>
        <v>0</v>
      </c>
      <c r="S41" s="5" cm="1">
        <f t="array" ref="S41">LOOKUP(2,1/($G$53:$G$56&lt;=$V41)/($H$53:$H$56&gt;=$V41),$F$53:$F$56)</f>
        <v>0</v>
      </c>
      <c r="T41" s="5" t="e">
        <f>IFERROR(IF($R41&gt;0,$R41&amp;"-"&amp;COUNTIF($R$5:$R41,$R41),NA()),NA())</f>
        <v>#N/A</v>
      </c>
      <c r="U41" s="5" t="e">
        <f>IFERROR(IF($S41&gt;0,$S41&amp;"-"&amp;COUNTIF($S$5:$S41,$S41),NA()),NA())</f>
        <v>#N/A</v>
      </c>
      <c r="V41" s="10">
        <v>42992</v>
      </c>
      <c r="W41" s="9">
        <v>42955932.763498358</v>
      </c>
      <c r="X41" s="9">
        <v>39908209.333928145</v>
      </c>
      <c r="Y41" s="8">
        <v>30000000</v>
      </c>
      <c r="AA41" s="48" t="e">
        <f t="shared" si="174"/>
        <v>#N/A</v>
      </c>
      <c r="AB41" s="12" t="e">
        <f t="shared" si="149"/>
        <v>#N/A</v>
      </c>
      <c r="AC41" s="15" t="e">
        <f t="shared" si="150"/>
        <v>#N/A</v>
      </c>
      <c r="AD41" s="14" t="e">
        <f t="shared" si="151"/>
        <v>#N/A</v>
      </c>
      <c r="AI41" s="40">
        <v>170</v>
      </c>
      <c r="AJ41" s="39">
        <f t="shared" si="106"/>
        <v>326741999.99999994</v>
      </c>
      <c r="AK41" s="40">
        <v>320</v>
      </c>
      <c r="AL41" s="39">
        <f t="shared" si="107"/>
        <v>849117000</v>
      </c>
      <c r="AN41" s="13"/>
      <c r="AO41" s="13"/>
      <c r="AP41" s="40">
        <v>170</v>
      </c>
      <c r="AQ41" s="39">
        <f t="shared" si="108"/>
        <v>122149000.00000003</v>
      </c>
      <c r="AR41" s="40">
        <v>320</v>
      </c>
      <c r="AS41" s="39">
        <f t="shared" si="109"/>
        <v>23974000.000000026</v>
      </c>
      <c r="AU41" s="13"/>
      <c r="AW41" s="48">
        <f t="shared" si="175"/>
        <v>37</v>
      </c>
      <c r="AX41" s="12">
        <f t="shared" si="152"/>
        <v>45358</v>
      </c>
      <c r="AY41" s="15">
        <f t="shared" si="153"/>
        <v>40790859.104282446</v>
      </c>
      <c r="AZ41" s="14">
        <f t="shared" si="154"/>
        <v>20000000</v>
      </c>
      <c r="BB41" s="115">
        <v>4000000</v>
      </c>
      <c r="BC41" s="2">
        <f>COUNTIF($AZ:$AZ,BB41)</f>
        <v>11</v>
      </c>
      <c r="BD41" s="39">
        <f>_xlfn.MINIFS($AY:$AY,$AZ:$AZ,$BB41)</f>
        <v>19509070.393374741</v>
      </c>
      <c r="BE41" s="39">
        <f>AVERAGEIFS($AY:$AY,$AZ:$AZ,$BB41)</f>
        <v>20432907.733761281</v>
      </c>
      <c r="BF41" s="39">
        <f>_xlfn.MAXIFS($AY:$AY,$AZ:$AZ,$BB41)</f>
        <v>22032789.03781192</v>
      </c>
      <c r="BG41" s="121">
        <f>BE41/1000000</f>
        <v>20.432907733761279</v>
      </c>
      <c r="BI41" s="40">
        <v>170</v>
      </c>
      <c r="BJ41" s="39">
        <f t="shared" si="110"/>
        <v>343787000</v>
      </c>
      <c r="BK41" s="40">
        <v>320</v>
      </c>
      <c r="BL41" s="39">
        <f t="shared" si="111"/>
        <v>952082000</v>
      </c>
      <c r="BN41" s="13"/>
      <c r="BO41" s="13"/>
      <c r="BP41" s="40">
        <v>480</v>
      </c>
      <c r="BQ41" s="39">
        <f t="shared" si="146"/>
        <v>537942000</v>
      </c>
      <c r="BR41" s="110">
        <v>0.25</v>
      </c>
      <c r="BS41" s="39">
        <f t="shared" si="155"/>
        <v>672427500</v>
      </c>
      <c r="BU41" s="13"/>
      <c r="BW41" s="48" t="e">
        <f t="shared" si="156"/>
        <v>#N/A</v>
      </c>
      <c r="BX41" s="12" t="e">
        <f t="shared" si="157"/>
        <v>#N/A</v>
      </c>
      <c r="BY41" s="15" t="e">
        <f t="shared" si="158"/>
        <v>#N/A</v>
      </c>
      <c r="BZ41" s="14" t="e">
        <f t="shared" si="159"/>
        <v>#N/A</v>
      </c>
      <c r="CE41" s="40">
        <v>170</v>
      </c>
      <c r="CF41" s="39">
        <f t="shared" si="112"/>
        <v>142725000.00000003</v>
      </c>
      <c r="CG41" s="40">
        <v>320</v>
      </c>
      <c r="CH41" s="39">
        <f t="shared" si="113"/>
        <v>68820000.00000003</v>
      </c>
      <c r="CJ41" s="13"/>
      <c r="CK41" s="13"/>
      <c r="CL41" s="48" t="e">
        <f t="shared" si="160"/>
        <v>#N/A</v>
      </c>
      <c r="CM41" s="12" t="e">
        <f t="shared" si="161"/>
        <v>#N/A</v>
      </c>
      <c r="CN41" s="49" t="e">
        <f t="shared" si="162"/>
        <v>#N/A</v>
      </c>
      <c r="CO41" s="49" t="e">
        <f t="shared" si="163"/>
        <v>#N/A</v>
      </c>
      <c r="CQ41" s="61"/>
      <c r="CT41" s="40">
        <v>170</v>
      </c>
      <c r="CU41" s="39">
        <f t="shared" si="114"/>
        <v>142725000.00000003</v>
      </c>
      <c r="CV41" s="40">
        <v>320</v>
      </c>
      <c r="CW41" s="39">
        <f t="shared" si="115"/>
        <v>68820000.00000003</v>
      </c>
      <c r="CY41" s="13"/>
      <c r="DA41" s="48" t="e">
        <f t="shared" si="164"/>
        <v>#N/A</v>
      </c>
      <c r="DB41" s="12" t="e">
        <f t="shared" si="165"/>
        <v>#N/A</v>
      </c>
      <c r="DC41" s="15" t="e">
        <f t="shared" si="166"/>
        <v>#N/A</v>
      </c>
      <c r="DD41" s="14" t="e">
        <f t="shared" si="167"/>
        <v>#N/A</v>
      </c>
      <c r="DI41" s="40">
        <v>170</v>
      </c>
      <c r="DJ41" s="39">
        <f t="shared" si="116"/>
        <v>142725000.00000003</v>
      </c>
      <c r="DK41" s="40">
        <v>320</v>
      </c>
      <c r="DL41" s="39">
        <f t="shared" si="117"/>
        <v>68820000.00000003</v>
      </c>
      <c r="DN41" s="13"/>
      <c r="DO41" s="13"/>
      <c r="DP41" s="48" t="e">
        <f t="shared" si="168"/>
        <v>#N/A</v>
      </c>
      <c r="DQ41" s="12" t="e">
        <f t="shared" si="169"/>
        <v>#N/A</v>
      </c>
      <c r="DR41" s="15" t="e">
        <f t="shared" si="170"/>
        <v>#N/A</v>
      </c>
      <c r="DS41" s="14" t="e">
        <f t="shared" si="171"/>
        <v>#N/A</v>
      </c>
      <c r="DX41" s="40">
        <v>170</v>
      </c>
      <c r="DY41" s="39">
        <f t="shared" si="118"/>
        <v>142725000.00000003</v>
      </c>
      <c r="DZ41" s="40">
        <v>320</v>
      </c>
      <c r="EA41" s="39">
        <f t="shared" si="119"/>
        <v>68820000.00000003</v>
      </c>
      <c r="EC41" s="13"/>
      <c r="ED41" s="13"/>
      <c r="EE41" s="40">
        <v>170</v>
      </c>
      <c r="EF41" s="39">
        <f t="shared" si="120"/>
        <v>125640000</v>
      </c>
      <c r="EG41" s="40">
        <v>320</v>
      </c>
      <c r="EH41" s="39">
        <f t="shared" si="121"/>
        <v>156675000</v>
      </c>
      <c r="EJ41" s="13"/>
      <c r="EK41" s="13"/>
      <c r="EL41" s="47" t="str">
        <f t="shared" si="172"/>
        <v>FY18-37</v>
      </c>
      <c r="EM41" s="16">
        <v>43174</v>
      </c>
      <c r="EN41" s="15">
        <v>42040755.794376396</v>
      </c>
      <c r="EO41" s="14">
        <f t="shared" si="173"/>
        <v>30000000</v>
      </c>
      <c r="EQ41" s="55" t="s">
        <v>55</v>
      </c>
      <c r="ER41" s="54"/>
      <c r="ET41" s="40">
        <v>170</v>
      </c>
      <c r="EU41" s="39">
        <f t="shared" si="122"/>
        <v>360952999.99999994</v>
      </c>
      <c r="EV41" s="40">
        <v>320</v>
      </c>
      <c r="EW41" s="39">
        <f t="shared" si="123"/>
        <v>1057687999.9999999</v>
      </c>
      <c r="EX41" s="13"/>
      <c r="EY41" s="13"/>
      <c r="EZ41" s="13"/>
      <c r="FA41" s="16" t="s">
        <v>33</v>
      </c>
      <c r="FB41" s="16">
        <v>43538</v>
      </c>
      <c r="FC41" s="15">
        <v>16484335.664335664</v>
      </c>
      <c r="FD41" s="14">
        <v>8000000</v>
      </c>
      <c r="FF41" s="1">
        <v>12000000</v>
      </c>
      <c r="FI41" s="40">
        <v>170</v>
      </c>
      <c r="FJ41" s="39">
        <f t="shared" si="124"/>
        <v>414707000</v>
      </c>
      <c r="FK41" s="40">
        <v>320</v>
      </c>
      <c r="FL41" s="39">
        <f t="shared" si="125"/>
        <v>1371557000</v>
      </c>
      <c r="FN41" s="13"/>
      <c r="FO41" s="13"/>
      <c r="FP41" s="40">
        <v>170</v>
      </c>
      <c r="FQ41" s="39">
        <f t="shared" si="126"/>
        <v>301724000.00000006</v>
      </c>
      <c r="FR41" s="40">
        <v>320</v>
      </c>
      <c r="FS41" s="39">
        <f t="shared" si="127"/>
        <v>887579000</v>
      </c>
      <c r="FU41" s="13"/>
      <c r="FV41" s="13"/>
      <c r="FW41" s="16" t="s">
        <v>39</v>
      </c>
      <c r="FX41" s="16">
        <v>43902</v>
      </c>
      <c r="FY41" s="15">
        <v>47382249.437519006</v>
      </c>
      <c r="FZ41" s="14">
        <v>40000000</v>
      </c>
      <c r="GB41" s="14">
        <v>20000000</v>
      </c>
      <c r="GC41" s="14">
        <v>20000000</v>
      </c>
      <c r="GD41" s="14">
        <v>20000000</v>
      </c>
      <c r="GF41" s="40">
        <v>170</v>
      </c>
      <c r="GG41" s="39">
        <f t="shared" si="128"/>
        <v>248759000</v>
      </c>
      <c r="GH41" s="40">
        <v>320</v>
      </c>
      <c r="GI41" s="39">
        <f t="shared" si="129"/>
        <v>702374000</v>
      </c>
      <c r="GK41" s="13"/>
      <c r="GL41" s="13"/>
      <c r="GM41" s="40">
        <v>170</v>
      </c>
      <c r="GN41" s="39">
        <f t="shared" si="130"/>
        <v>125640000</v>
      </c>
      <c r="GO41" s="40">
        <v>320</v>
      </c>
      <c r="GP41" s="39">
        <f t="shared" si="131"/>
        <v>156675000</v>
      </c>
      <c r="GR41" s="13"/>
      <c r="GS41" s="13"/>
      <c r="GT41" s="16" t="s">
        <v>38</v>
      </c>
      <c r="GU41" s="16">
        <v>44266</v>
      </c>
      <c r="GV41" s="15">
        <v>45393461.35603527</v>
      </c>
      <c r="GW41" s="14">
        <v>30000000</v>
      </c>
      <c r="HB41" s="40">
        <v>170</v>
      </c>
      <c r="HC41" s="39">
        <f t="shared" si="132"/>
        <v>252993000.00000003</v>
      </c>
      <c r="HD41" s="40">
        <v>320</v>
      </c>
      <c r="HE41" s="39">
        <f t="shared" si="133"/>
        <v>576242999.99999988</v>
      </c>
      <c r="HG41" s="13"/>
      <c r="HH41" s="13"/>
      <c r="HI41" s="16" t="s">
        <v>35</v>
      </c>
      <c r="HJ41" s="16">
        <v>44630</v>
      </c>
      <c r="HK41" s="15">
        <v>26335124.84037701</v>
      </c>
      <c r="HL41" s="14">
        <v>8000000</v>
      </c>
      <c r="HQ41" s="40">
        <v>170</v>
      </c>
      <c r="HR41" s="39">
        <f t="shared" si="134"/>
        <v>424136000</v>
      </c>
      <c r="HS41" s="40">
        <v>320</v>
      </c>
      <c r="HT41" s="39">
        <f t="shared" si="135"/>
        <v>1349291000.0000002</v>
      </c>
      <c r="HV41" s="13"/>
      <c r="HW41" s="13"/>
      <c r="HX41" s="40">
        <v>170</v>
      </c>
      <c r="HY41" s="39">
        <f t="shared" si="136"/>
        <v>291624000</v>
      </c>
      <c r="HZ41" s="40">
        <v>320</v>
      </c>
      <c r="IA41" s="39">
        <f t="shared" si="137"/>
        <v>762519000</v>
      </c>
      <c r="IC41" s="13"/>
      <c r="ID41" s="13"/>
      <c r="IE41" s="16" t="s">
        <v>37</v>
      </c>
      <c r="IF41" s="16">
        <v>45001</v>
      </c>
      <c r="IG41" s="15">
        <v>22050697.598054122</v>
      </c>
      <c r="IH41" s="14">
        <v>4000000</v>
      </c>
      <c r="IM41" s="40">
        <v>170</v>
      </c>
      <c r="IN41" s="39">
        <f t="shared" si="138"/>
        <v>326309000</v>
      </c>
      <c r="IO41" s="40">
        <v>320</v>
      </c>
      <c r="IP41" s="39">
        <f t="shared" si="139"/>
        <v>811364000</v>
      </c>
      <c r="IR41" s="13"/>
      <c r="IS41" s="13"/>
      <c r="IT41" s="40"/>
      <c r="IU41" s="39"/>
      <c r="IV41" s="40"/>
      <c r="IW41" s="39"/>
      <c r="IY41" s="13"/>
      <c r="IZ41" s="13"/>
      <c r="JA41" s="16" t="s">
        <v>115</v>
      </c>
      <c r="JB41" s="16">
        <v>45365</v>
      </c>
      <c r="JC41" s="15">
        <v>52908046.96523919</v>
      </c>
      <c r="JD41" s="14">
        <v>40000000</v>
      </c>
      <c r="JI41" s="40">
        <v>170</v>
      </c>
      <c r="JJ41" s="39">
        <f t="shared" si="140"/>
        <v>326309000</v>
      </c>
      <c r="JK41" s="40">
        <v>320</v>
      </c>
      <c r="JL41" s="39">
        <f t="shared" si="141"/>
        <v>811364000</v>
      </c>
      <c r="JN41" s="13"/>
      <c r="JO41" s="13"/>
      <c r="JP41" s="40"/>
      <c r="JQ41" s="39"/>
      <c r="JR41" s="40"/>
      <c r="JS41" s="39"/>
      <c r="JU41" s="13"/>
      <c r="JV41" s="13"/>
      <c r="LH41" s="1">
        <v>8</v>
      </c>
      <c r="LI41" s="1">
        <v>80</v>
      </c>
      <c r="MY41" s="16" t="s">
        <v>34</v>
      </c>
      <c r="MZ41" s="16">
        <v>43090</v>
      </c>
      <c r="NA41" s="15">
        <v>23347610</v>
      </c>
      <c r="NB41" s="14">
        <v>15000000</v>
      </c>
      <c r="NG41" s="40">
        <v>170</v>
      </c>
      <c r="NH41" s="39">
        <f t="shared" si="142"/>
        <v>217718000.00000003</v>
      </c>
      <c r="NI41" s="40">
        <v>320</v>
      </c>
      <c r="NJ41" s="39">
        <f t="shared" si="143"/>
        <v>429548000</v>
      </c>
      <c r="NL41" s="13"/>
      <c r="NN41" s="16" t="s">
        <v>33</v>
      </c>
      <c r="NO41" s="16">
        <v>43461</v>
      </c>
      <c r="NP41" s="15">
        <v>36357684</v>
      </c>
      <c r="NQ41" s="14">
        <v>30000000</v>
      </c>
      <c r="NV41" s="40">
        <v>170</v>
      </c>
      <c r="NW41" s="39">
        <f t="shared" si="144"/>
        <v>393500000</v>
      </c>
      <c r="NX41" s="40">
        <v>320</v>
      </c>
      <c r="NY41" s="39">
        <f t="shared" si="145"/>
        <v>1288835000</v>
      </c>
      <c r="OA41" s="13"/>
      <c r="OB41" s="1"/>
    </row>
    <row r="42" spans="2:392" x14ac:dyDescent="0.2">
      <c r="B42" s="5"/>
      <c r="C42" s="5"/>
      <c r="D42" s="5"/>
      <c r="F42" s="5">
        <v>0</v>
      </c>
      <c r="G42" s="53">
        <v>42552</v>
      </c>
      <c r="H42" s="53">
        <v>44697</v>
      </c>
      <c r="I42" s="53"/>
      <c r="K42" s="7">
        <v>38</v>
      </c>
      <c r="M42" s="5" t="str" cm="1">
        <f t="array" ref="M42">LOOKUP(2,1/($G$19:$G$35&lt;=$V42)/($H$19:$H$35&gt;=$V42),$F$19:$F$35)</f>
        <v>1H18</v>
      </c>
      <c r="N42" s="5" t="str" cm="1">
        <f t="array" ref="N42">LOOKUP(2,1/($G$8:$G$16&lt;=$V42)/($H$8:$H$16&gt;=$V42),$F$8:$F$16)</f>
        <v>FY18</v>
      </c>
      <c r="O42" s="5" t="str">
        <f>IFERROR(N42&amp;"-"&amp;COUNTIF($N$5:N42,N42),NA())</f>
        <v>FY18-12</v>
      </c>
      <c r="P42" s="5">
        <f>COUNTIF(V$5:V42,"&gt;="&amp;MAX($V:$V)-183)</f>
        <v>0</v>
      </c>
      <c r="Q42" s="5">
        <f>COUNTIF(V$5:V42,"&gt;="&amp;MAX($V:$V)-365)</f>
        <v>0</v>
      </c>
      <c r="R42" s="5" cm="1">
        <f t="array" ref="R42">LOOKUP(2,1/($G$46:$G$50&lt;=$V42)/($H$46:$H$50&gt;=$V42),$F$46:$F$50)</f>
        <v>0</v>
      </c>
      <c r="S42" s="5" cm="1">
        <f t="array" ref="S42">LOOKUP(2,1/($G$53:$G$56&lt;=$V42)/($H$53:$H$56&gt;=$V42),$F$53:$F$56)</f>
        <v>0</v>
      </c>
      <c r="T42" s="5" t="e">
        <f>IFERROR(IF($R42&gt;0,$R42&amp;"-"&amp;COUNTIF($R$5:$R42,$R42),NA()),NA())</f>
        <v>#N/A</v>
      </c>
      <c r="U42" s="5" t="e">
        <f>IFERROR(IF($S42&gt;0,$S42&amp;"-"&amp;COUNTIF($S$5:$S42,$S42),NA()),NA())</f>
        <v>#N/A</v>
      </c>
      <c r="V42" s="10">
        <v>42999</v>
      </c>
      <c r="W42" s="9">
        <v>69849422.718647569</v>
      </c>
      <c r="X42" s="9">
        <v>64893606.176759519</v>
      </c>
      <c r="Y42" s="8">
        <v>50000000</v>
      </c>
      <c r="AA42" s="48" t="e">
        <f t="shared" si="174"/>
        <v>#N/A</v>
      </c>
      <c r="AB42" s="12" t="e">
        <f t="shared" si="149"/>
        <v>#N/A</v>
      </c>
      <c r="AC42" s="15" t="e">
        <f t="shared" si="150"/>
        <v>#N/A</v>
      </c>
      <c r="AD42" s="14" t="e">
        <f t="shared" si="151"/>
        <v>#N/A</v>
      </c>
      <c r="AI42" s="40">
        <v>180</v>
      </c>
      <c r="AJ42" s="39">
        <f t="shared" si="106"/>
        <v>354287000</v>
      </c>
      <c r="AK42" s="40">
        <v>330</v>
      </c>
      <c r="AL42" s="39">
        <f t="shared" si="107"/>
        <v>892262000</v>
      </c>
      <c r="AN42" s="13"/>
      <c r="AO42" s="13"/>
      <c r="AP42" s="40">
        <v>180</v>
      </c>
      <c r="AQ42" s="39">
        <f t="shared" si="108"/>
        <v>121204000.00000001</v>
      </c>
      <c r="AR42" s="40">
        <v>330</v>
      </c>
      <c r="AS42" s="39">
        <f t="shared" si="109"/>
        <v>11029000.000000032</v>
      </c>
      <c r="AU42" s="13"/>
      <c r="AW42" s="48">
        <f t="shared" si="175"/>
        <v>38</v>
      </c>
      <c r="AX42" s="12">
        <f t="shared" si="152"/>
        <v>45365</v>
      </c>
      <c r="AY42" s="15">
        <f t="shared" si="153"/>
        <v>52908046.96523919</v>
      </c>
      <c r="AZ42" s="14">
        <f t="shared" si="154"/>
        <v>40000000</v>
      </c>
      <c r="BB42" s="115">
        <v>8000000</v>
      </c>
      <c r="BC42" s="2">
        <f t="shared" ref="BC42:BC49" si="176">COUNTIF($AZ:$AZ,BB42)</f>
        <v>4</v>
      </c>
      <c r="BD42" s="39">
        <f t="shared" ref="BD42:BD49" si="177">_xlfn.MINIFS($AY:$AY,$AZ:$AZ,$BB42)</f>
        <v>23402584.504740112</v>
      </c>
      <c r="BE42" s="39">
        <f t="shared" ref="BE42:BE49" si="178">AVERAGEIFS($AY:$AY,$AZ:$AZ,$BB42)</f>
        <v>24136841.505938761</v>
      </c>
      <c r="BF42" s="39">
        <f t="shared" ref="BF42:BF49" si="179">_xlfn.MAXIFS($AY:$AY,$AZ:$AZ,$BB42)</f>
        <v>25126546.256946716</v>
      </c>
      <c r="BG42" s="121">
        <f t="shared" ref="BG42:BG49" si="180">BE42/1000000</f>
        <v>24.136841505938762</v>
      </c>
      <c r="BI42" s="40">
        <v>180</v>
      </c>
      <c r="BJ42" s="39">
        <f t="shared" si="110"/>
        <v>374960000.00000006</v>
      </c>
      <c r="BK42" s="40">
        <v>330</v>
      </c>
      <c r="BL42" s="39">
        <f t="shared" si="111"/>
        <v>1003355000</v>
      </c>
      <c r="BN42" s="13"/>
      <c r="BO42" s="13"/>
      <c r="BP42" s="40">
        <v>600</v>
      </c>
      <c r="BQ42" s="39">
        <f t="shared" si="146"/>
        <v>668286000</v>
      </c>
      <c r="BR42" s="110">
        <v>0.25</v>
      </c>
      <c r="BS42" s="39">
        <f t="shared" si="155"/>
        <v>835357500</v>
      </c>
      <c r="BU42" s="13"/>
      <c r="BW42" s="48" t="e">
        <f t="shared" si="156"/>
        <v>#N/A</v>
      </c>
      <c r="BX42" s="12" t="e">
        <f t="shared" si="157"/>
        <v>#N/A</v>
      </c>
      <c r="BY42" s="15" t="e">
        <f t="shared" si="158"/>
        <v>#N/A</v>
      </c>
      <c r="BZ42" s="14" t="e">
        <f t="shared" si="159"/>
        <v>#N/A</v>
      </c>
      <c r="CE42" s="40">
        <v>180</v>
      </c>
      <c r="CF42" s="39">
        <f t="shared" si="112"/>
        <v>143257999.99999997</v>
      </c>
      <c r="CG42" s="40">
        <v>330</v>
      </c>
      <c r="CH42" s="39">
        <f t="shared" si="113"/>
        <v>57653000.000000007</v>
      </c>
      <c r="CJ42" s="13"/>
      <c r="CK42" s="13"/>
      <c r="CL42" s="48" t="e">
        <f t="shared" si="160"/>
        <v>#N/A</v>
      </c>
      <c r="CM42" s="12" t="e">
        <f t="shared" si="161"/>
        <v>#N/A</v>
      </c>
      <c r="CN42" s="49" t="e">
        <f t="shared" si="162"/>
        <v>#N/A</v>
      </c>
      <c r="CO42" s="49" t="e">
        <f t="shared" si="163"/>
        <v>#N/A</v>
      </c>
      <c r="CT42" s="40">
        <v>180</v>
      </c>
      <c r="CU42" s="39">
        <f t="shared" si="114"/>
        <v>143257999.99999997</v>
      </c>
      <c r="CV42" s="40">
        <v>330</v>
      </c>
      <c r="CW42" s="39">
        <f t="shared" si="115"/>
        <v>57653000.000000007</v>
      </c>
      <c r="CY42" s="13"/>
      <c r="DA42" s="48" t="e">
        <f t="shared" si="164"/>
        <v>#N/A</v>
      </c>
      <c r="DB42" s="12" t="e">
        <f t="shared" si="165"/>
        <v>#N/A</v>
      </c>
      <c r="DC42" s="15" t="e">
        <f t="shared" si="166"/>
        <v>#N/A</v>
      </c>
      <c r="DD42" s="14" t="e">
        <f t="shared" si="167"/>
        <v>#N/A</v>
      </c>
      <c r="DI42" s="40">
        <v>180</v>
      </c>
      <c r="DJ42" s="39">
        <f t="shared" si="116"/>
        <v>143257999.99999997</v>
      </c>
      <c r="DK42" s="40">
        <v>330</v>
      </c>
      <c r="DL42" s="39">
        <f t="shared" si="117"/>
        <v>57653000.000000007</v>
      </c>
      <c r="DN42" s="13"/>
      <c r="DO42" s="13"/>
      <c r="DP42" s="48" t="e">
        <f t="shared" si="168"/>
        <v>#N/A</v>
      </c>
      <c r="DQ42" s="12" t="e">
        <f t="shared" si="169"/>
        <v>#N/A</v>
      </c>
      <c r="DR42" s="15" t="e">
        <f t="shared" si="170"/>
        <v>#N/A</v>
      </c>
      <c r="DS42" s="14" t="e">
        <f t="shared" si="171"/>
        <v>#N/A</v>
      </c>
      <c r="DX42" s="40">
        <v>180</v>
      </c>
      <c r="DY42" s="39">
        <f t="shared" si="118"/>
        <v>143257999.99999997</v>
      </c>
      <c r="DZ42" s="40">
        <v>330</v>
      </c>
      <c r="EA42" s="39">
        <f t="shared" si="119"/>
        <v>57653000.000000007</v>
      </c>
      <c r="EC42" s="13"/>
      <c r="ED42" s="13"/>
      <c r="EE42" s="40">
        <v>180</v>
      </c>
      <c r="EF42" s="39">
        <f t="shared" si="120"/>
        <v>129669000.00000001</v>
      </c>
      <c r="EG42" s="40">
        <v>330</v>
      </c>
      <c r="EH42" s="39">
        <f t="shared" si="121"/>
        <v>156503999.99999997</v>
      </c>
      <c r="EJ42" s="13"/>
      <c r="EK42" s="13"/>
      <c r="EL42" s="47" t="str">
        <f t="shared" si="172"/>
        <v>FY18-38</v>
      </c>
      <c r="EM42" s="16">
        <v>43181</v>
      </c>
      <c r="EN42" s="15">
        <v>52311528.797653951</v>
      </c>
      <c r="EO42" s="14">
        <f t="shared" si="173"/>
        <v>40000000</v>
      </c>
      <c r="EQ42" s="52" t="s">
        <v>42</v>
      </c>
      <c r="ER42" s="52" t="s">
        <v>41</v>
      </c>
      <c r="ET42" s="40">
        <v>180</v>
      </c>
      <c r="EU42" s="39">
        <f t="shared" si="122"/>
        <v>396061999.99999994</v>
      </c>
      <c r="EV42" s="40">
        <v>330</v>
      </c>
      <c r="EW42" s="39">
        <f t="shared" si="123"/>
        <v>1117097000</v>
      </c>
      <c r="EX42" s="13"/>
      <c r="EY42" s="13"/>
      <c r="EZ42" s="13"/>
      <c r="FA42" s="16" t="s">
        <v>33</v>
      </c>
      <c r="FB42" s="16">
        <v>43545</v>
      </c>
      <c r="FC42" s="15">
        <v>20282530.107061081</v>
      </c>
      <c r="FD42" s="14">
        <v>12000000</v>
      </c>
      <c r="FF42" s="1">
        <v>20000000</v>
      </c>
      <c r="FI42" s="40">
        <v>180</v>
      </c>
      <c r="FJ42" s="39">
        <f t="shared" si="124"/>
        <v>460857000</v>
      </c>
      <c r="FK42" s="40">
        <v>330</v>
      </c>
      <c r="FL42" s="39">
        <f t="shared" si="125"/>
        <v>1455507000.0000002</v>
      </c>
      <c r="FN42" s="13"/>
      <c r="FO42" s="13"/>
      <c r="FP42" s="40">
        <v>180</v>
      </c>
      <c r="FQ42" s="39">
        <f t="shared" si="126"/>
        <v>331121000.00000006</v>
      </c>
      <c r="FR42" s="40">
        <v>330</v>
      </c>
      <c r="FS42" s="39">
        <f t="shared" si="127"/>
        <v>937675999.99999988</v>
      </c>
      <c r="FU42" s="13"/>
      <c r="FV42" s="13"/>
      <c r="FW42" s="16" t="s">
        <v>39</v>
      </c>
      <c r="FX42" s="16">
        <v>43909</v>
      </c>
      <c r="FY42" s="15">
        <v>63680303.55731225</v>
      </c>
      <c r="FZ42" s="14">
        <v>60000000</v>
      </c>
      <c r="GB42" s="14">
        <v>40000000</v>
      </c>
      <c r="GC42" s="14">
        <v>30000000</v>
      </c>
      <c r="GD42" s="14">
        <v>30000000</v>
      </c>
      <c r="GF42" s="40">
        <v>180</v>
      </c>
      <c r="GG42" s="39">
        <f t="shared" si="128"/>
        <v>271720000</v>
      </c>
      <c r="GH42" s="40">
        <v>330</v>
      </c>
      <c r="GI42" s="39">
        <f t="shared" si="129"/>
        <v>740935000</v>
      </c>
      <c r="GK42" s="13"/>
      <c r="GL42" s="13"/>
      <c r="GM42" s="40">
        <v>180</v>
      </c>
      <c r="GN42" s="39">
        <f t="shared" si="130"/>
        <v>129669000.00000001</v>
      </c>
      <c r="GO42" s="40">
        <v>330</v>
      </c>
      <c r="GP42" s="39">
        <f t="shared" si="131"/>
        <v>156503999.99999997</v>
      </c>
      <c r="GR42" s="13"/>
      <c r="GS42" s="13"/>
      <c r="GT42" s="16" t="s">
        <v>38</v>
      </c>
      <c r="GU42" s="16">
        <v>44273</v>
      </c>
      <c r="GV42" s="15">
        <v>69997466.46397081</v>
      </c>
      <c r="GW42" s="14">
        <v>50000000</v>
      </c>
      <c r="HB42" s="40">
        <v>180</v>
      </c>
      <c r="HC42" s="39">
        <f t="shared" si="132"/>
        <v>271183000</v>
      </c>
      <c r="HD42" s="40">
        <v>330</v>
      </c>
      <c r="HE42" s="39">
        <f t="shared" si="133"/>
        <v>601632999.99999988</v>
      </c>
      <c r="HG42" s="13"/>
      <c r="HH42" s="13"/>
      <c r="HI42" s="16" t="s">
        <v>35</v>
      </c>
      <c r="HJ42" s="16">
        <v>44637</v>
      </c>
      <c r="HK42" s="15">
        <v>40906184.493767105</v>
      </c>
      <c r="HL42" s="14">
        <v>20000000</v>
      </c>
      <c r="HQ42" s="40">
        <v>180</v>
      </c>
      <c r="HR42" s="39">
        <f t="shared" si="134"/>
        <v>469153000</v>
      </c>
      <c r="HS42" s="40">
        <v>330</v>
      </c>
      <c r="HT42" s="39">
        <f t="shared" si="135"/>
        <v>1430008000.0000002</v>
      </c>
      <c r="HV42" s="13"/>
      <c r="HW42" s="13"/>
      <c r="HX42" s="40">
        <v>180</v>
      </c>
      <c r="HY42" s="39">
        <f t="shared" si="136"/>
        <v>316296999.99999994</v>
      </c>
      <c r="HZ42" s="40">
        <v>330</v>
      </c>
      <c r="IA42" s="39">
        <f t="shared" si="137"/>
        <v>801592000</v>
      </c>
      <c r="IC42" s="13"/>
      <c r="ID42" s="13"/>
      <c r="IE42" s="16" t="s">
        <v>37</v>
      </c>
      <c r="IF42" s="16">
        <v>45008</v>
      </c>
      <c r="IG42" s="15">
        <v>25902576.588628761</v>
      </c>
      <c r="IH42" s="14">
        <v>8000000</v>
      </c>
      <c r="IM42" s="40">
        <v>180</v>
      </c>
      <c r="IN42" s="39">
        <f t="shared" si="138"/>
        <v>352486000.00000006</v>
      </c>
      <c r="IO42" s="40">
        <v>330</v>
      </c>
      <c r="IP42" s="39">
        <f t="shared" si="139"/>
        <v>850741000.00000012</v>
      </c>
      <c r="IR42" s="13"/>
      <c r="IS42" s="13"/>
      <c r="IT42" s="40"/>
      <c r="IU42" s="39"/>
      <c r="IV42" s="40"/>
      <c r="IW42" s="39"/>
      <c r="IY42" s="13"/>
      <c r="IZ42" s="13"/>
      <c r="JA42" s="16" t="s">
        <v>115</v>
      </c>
      <c r="JB42" s="16">
        <v>45372</v>
      </c>
      <c r="JC42" s="15">
        <v>19763648.7959028</v>
      </c>
      <c r="JD42" s="14">
        <v>4000000</v>
      </c>
      <c r="JI42" s="40">
        <v>180</v>
      </c>
      <c r="JJ42" s="39">
        <f t="shared" si="140"/>
        <v>352486000.00000006</v>
      </c>
      <c r="JK42" s="40">
        <v>330</v>
      </c>
      <c r="JL42" s="39">
        <f t="shared" si="141"/>
        <v>850741000.00000012</v>
      </c>
      <c r="JN42" s="13"/>
      <c r="JO42" s="13"/>
      <c r="JP42" s="40"/>
      <c r="JQ42" s="39"/>
      <c r="JU42" s="13"/>
      <c r="JV42" s="13"/>
      <c r="LH42" s="1">
        <v>9</v>
      </c>
      <c r="LI42" s="1">
        <v>100</v>
      </c>
      <c r="MY42" s="16" t="s">
        <v>34</v>
      </c>
      <c r="MZ42" s="16">
        <v>43097</v>
      </c>
      <c r="NA42" s="15">
        <v>27563580</v>
      </c>
      <c r="NB42" s="14">
        <v>25000000</v>
      </c>
      <c r="NG42" s="40">
        <v>180</v>
      </c>
      <c r="NH42" s="39">
        <f t="shared" si="142"/>
        <v>231000000</v>
      </c>
      <c r="NI42" s="40">
        <v>330</v>
      </c>
      <c r="NJ42" s="39">
        <f t="shared" si="143"/>
        <v>444630000</v>
      </c>
      <c r="NL42" s="13"/>
      <c r="NN42" s="16" t="s">
        <v>33</v>
      </c>
      <c r="NO42" s="16">
        <v>43468</v>
      </c>
      <c r="NP42" s="15">
        <v>65666766</v>
      </c>
      <c r="NQ42" s="14">
        <v>50000000</v>
      </c>
      <c r="NV42" s="40">
        <v>180</v>
      </c>
      <c r="NW42" s="39">
        <f t="shared" si="144"/>
        <v>436808999.99999994</v>
      </c>
      <c r="NX42" s="40">
        <v>330</v>
      </c>
      <c r="NY42" s="39">
        <f t="shared" si="145"/>
        <v>1367244000.0000002</v>
      </c>
      <c r="OA42" s="13"/>
      <c r="OB42" s="1"/>
    </row>
    <row r="43" spans="2:392" x14ac:dyDescent="0.2">
      <c r="B43" s="5"/>
      <c r="C43" s="5"/>
      <c r="D43" s="5"/>
      <c r="F43" s="5">
        <v>1</v>
      </c>
      <c r="G43" s="53">
        <v>44698</v>
      </c>
      <c r="H43" s="51">
        <f>EOMONTH(MAX($V:$V),0)</f>
        <v>45473</v>
      </c>
      <c r="I43" s="51"/>
      <c r="K43" s="7">
        <v>39</v>
      </c>
      <c r="M43" s="5" t="str" cm="1">
        <f t="array" ref="M43">LOOKUP(2,1/($G$19:$G$35&lt;=$V43)/($H$19:$H$35&gt;=$V43),$F$19:$F$35)</f>
        <v>1H18</v>
      </c>
      <c r="N43" s="5" t="str" cm="1">
        <f t="array" ref="N43">LOOKUP(2,1/($G$8:$G$16&lt;=$V43)/($H$8:$H$16&gt;=$V43),$F$8:$F$16)</f>
        <v>FY18</v>
      </c>
      <c r="O43" s="5" t="str">
        <f>IFERROR(N43&amp;"-"&amp;COUNTIF($N$5:N43,N43),NA())</f>
        <v>FY18-13</v>
      </c>
      <c r="P43" s="5">
        <f>COUNTIF(V$5:V43,"&gt;="&amp;MAX($V:$V)-183)</f>
        <v>0</v>
      </c>
      <c r="Q43" s="5">
        <f>COUNTIF(V$5:V43,"&gt;="&amp;MAX($V:$V)-365)</f>
        <v>0</v>
      </c>
      <c r="R43" s="5" cm="1">
        <f t="array" ref="R43">LOOKUP(2,1/($G$46:$G$50&lt;=$V43)/($H$46:$H$50&gt;=$V43),$F$46:$F$50)</f>
        <v>0</v>
      </c>
      <c r="S43" s="5" cm="1">
        <f t="array" ref="S43">LOOKUP(2,1/($G$53:$G$56&lt;=$V43)/($H$53:$H$56&gt;=$V43),$F$53:$F$56)</f>
        <v>0</v>
      </c>
      <c r="T43" s="5" t="e">
        <f>IFERROR(IF($R43&gt;0,$R43&amp;"-"&amp;COUNTIF($R$5:$R43,$R43),NA()),NA())</f>
        <v>#N/A</v>
      </c>
      <c r="U43" s="5" t="e">
        <f>IFERROR(IF($S43&gt;0,$S43&amp;"-"&amp;COUNTIF($S$5:$S43,$S43),NA()),NA())</f>
        <v>#N/A</v>
      </c>
      <c r="V43" s="10">
        <v>43006</v>
      </c>
      <c r="W43" s="9">
        <v>14312979.346213557</v>
      </c>
      <c r="X43" s="9">
        <v>13297473.461599704</v>
      </c>
      <c r="Y43" s="8">
        <v>3000000</v>
      </c>
      <c r="AA43" s="48" t="e">
        <f t="shared" si="174"/>
        <v>#N/A</v>
      </c>
      <c r="AB43" s="12" t="e">
        <f t="shared" si="149"/>
        <v>#N/A</v>
      </c>
      <c r="AC43" s="15" t="e">
        <f t="shared" si="150"/>
        <v>#N/A</v>
      </c>
      <c r="AD43" s="14" t="e">
        <f t="shared" si="151"/>
        <v>#N/A</v>
      </c>
      <c r="AI43" s="40">
        <v>190</v>
      </c>
      <c r="AJ43" s="39">
        <f t="shared" si="106"/>
        <v>382871999.99999994</v>
      </c>
      <c r="AK43" s="40">
        <v>340</v>
      </c>
      <c r="AL43" s="39">
        <f t="shared" si="107"/>
        <v>936447000</v>
      </c>
      <c r="AN43" s="13"/>
      <c r="AO43" s="13"/>
      <c r="AP43" s="40">
        <v>190</v>
      </c>
      <c r="AQ43" s="39">
        <f t="shared" si="108"/>
        <v>119459000</v>
      </c>
      <c r="AR43" s="40">
        <v>340</v>
      </c>
      <c r="AS43" s="39">
        <f t="shared" si="109"/>
        <v>-2715999.9999999725</v>
      </c>
      <c r="AU43" s="13"/>
      <c r="AW43" s="48">
        <f t="shared" si="175"/>
        <v>39</v>
      </c>
      <c r="AX43" s="12">
        <f t="shared" si="152"/>
        <v>45372</v>
      </c>
      <c r="AY43" s="15">
        <f t="shared" si="153"/>
        <v>19763648.7959028</v>
      </c>
      <c r="AZ43" s="14">
        <f t="shared" si="154"/>
        <v>4000000</v>
      </c>
      <c r="BB43" s="115">
        <v>12000000</v>
      </c>
      <c r="BC43" s="2">
        <f t="shared" si="176"/>
        <v>8</v>
      </c>
      <c r="BD43" s="39">
        <f t="shared" si="177"/>
        <v>28337262.286150157</v>
      </c>
      <c r="BE43" s="39">
        <f t="shared" si="178"/>
        <v>31010189.727034986</v>
      </c>
      <c r="BF43" s="39">
        <f t="shared" si="179"/>
        <v>33186050.670153648</v>
      </c>
      <c r="BG43" s="121">
        <f t="shared" si="180"/>
        <v>31.010189727034987</v>
      </c>
      <c r="BI43" s="40">
        <v>190</v>
      </c>
      <c r="BJ43" s="39">
        <f t="shared" si="110"/>
        <v>407472999.99999994</v>
      </c>
      <c r="BK43" s="40">
        <v>340</v>
      </c>
      <c r="BL43" s="39">
        <f t="shared" si="111"/>
        <v>1055967999.9999999</v>
      </c>
      <c r="BN43" s="13"/>
      <c r="BO43" s="13"/>
      <c r="BP43" s="40"/>
      <c r="BQ43" s="39"/>
      <c r="BR43" s="110"/>
      <c r="BS43" s="39"/>
      <c r="BU43" s="13"/>
      <c r="BW43" s="48" t="e">
        <f t="shared" si="156"/>
        <v>#N/A</v>
      </c>
      <c r="BX43" s="12" t="e">
        <f t="shared" si="157"/>
        <v>#N/A</v>
      </c>
      <c r="BY43" s="15" t="e">
        <f t="shared" si="158"/>
        <v>#N/A</v>
      </c>
      <c r="BZ43" s="14" t="e">
        <f t="shared" si="159"/>
        <v>#N/A</v>
      </c>
      <c r="CE43" s="40">
        <v>190</v>
      </c>
      <c r="CF43" s="39">
        <f t="shared" si="112"/>
        <v>143011000</v>
      </c>
      <c r="CG43" s="40">
        <v>340</v>
      </c>
      <c r="CH43" s="39">
        <f t="shared" si="113"/>
        <v>45706000</v>
      </c>
      <c r="CJ43" s="13"/>
      <c r="CK43" s="13"/>
      <c r="CL43" s="48" t="e">
        <f t="shared" si="160"/>
        <v>#N/A</v>
      </c>
      <c r="CM43" s="12" t="e">
        <f t="shared" si="161"/>
        <v>#N/A</v>
      </c>
      <c r="CN43" s="49" t="e">
        <f t="shared" si="162"/>
        <v>#N/A</v>
      </c>
      <c r="CO43" s="49" t="e">
        <f t="shared" si="163"/>
        <v>#N/A</v>
      </c>
      <c r="CT43" s="40">
        <v>190</v>
      </c>
      <c r="CU43" s="39">
        <f t="shared" si="114"/>
        <v>143011000</v>
      </c>
      <c r="CV43" s="40">
        <v>340</v>
      </c>
      <c r="CW43" s="39">
        <f t="shared" si="115"/>
        <v>45706000</v>
      </c>
      <c r="CY43" s="13"/>
      <c r="DA43" s="48" t="e">
        <f t="shared" si="164"/>
        <v>#N/A</v>
      </c>
      <c r="DB43" s="12" t="e">
        <f t="shared" si="165"/>
        <v>#N/A</v>
      </c>
      <c r="DC43" s="15" t="e">
        <f t="shared" si="166"/>
        <v>#N/A</v>
      </c>
      <c r="DD43" s="14" t="e">
        <f t="shared" si="167"/>
        <v>#N/A</v>
      </c>
      <c r="DI43" s="40">
        <v>190</v>
      </c>
      <c r="DJ43" s="39">
        <f t="shared" si="116"/>
        <v>143011000</v>
      </c>
      <c r="DK43" s="40">
        <v>340</v>
      </c>
      <c r="DL43" s="39">
        <f t="shared" si="117"/>
        <v>45706000</v>
      </c>
      <c r="DN43" s="13"/>
      <c r="DO43" s="13"/>
      <c r="DP43" s="48" t="e">
        <f t="shared" si="168"/>
        <v>#N/A</v>
      </c>
      <c r="DQ43" s="12" t="e">
        <f t="shared" si="169"/>
        <v>#N/A</v>
      </c>
      <c r="DR43" s="15" t="e">
        <f t="shared" si="170"/>
        <v>#N/A</v>
      </c>
      <c r="DS43" s="14" t="e">
        <f t="shared" si="171"/>
        <v>#N/A</v>
      </c>
      <c r="DX43" s="40">
        <v>190</v>
      </c>
      <c r="DY43" s="39">
        <f t="shared" si="118"/>
        <v>143011000</v>
      </c>
      <c r="DZ43" s="40">
        <v>340</v>
      </c>
      <c r="EA43" s="39">
        <f t="shared" si="119"/>
        <v>45706000</v>
      </c>
      <c r="EC43" s="13"/>
      <c r="ED43" s="13"/>
      <c r="EE43" s="40">
        <v>190</v>
      </c>
      <c r="EF43" s="39">
        <f t="shared" si="120"/>
        <v>133418000</v>
      </c>
      <c r="EG43" s="40">
        <v>340</v>
      </c>
      <c r="EH43" s="39">
        <f t="shared" si="121"/>
        <v>156053000</v>
      </c>
      <c r="EJ43" s="13"/>
      <c r="EK43" s="13"/>
      <c r="EL43" s="47" t="str">
        <f t="shared" si="172"/>
        <v>FY18-39</v>
      </c>
      <c r="EM43" s="16">
        <v>43188</v>
      </c>
      <c r="EN43" s="15">
        <v>15128946.850094875</v>
      </c>
      <c r="EO43" s="14">
        <f t="shared" si="173"/>
        <v>3000000</v>
      </c>
      <c r="EQ43" s="1">
        <v>1</v>
      </c>
      <c r="ER43" s="1">
        <v>3</v>
      </c>
      <c r="ET43" s="40">
        <v>190</v>
      </c>
      <c r="EU43" s="39">
        <f t="shared" si="122"/>
        <v>432790999.99999994</v>
      </c>
      <c r="EV43" s="40">
        <v>340</v>
      </c>
      <c r="EW43" s="39">
        <f t="shared" si="123"/>
        <v>1178126000</v>
      </c>
      <c r="EX43" s="13"/>
      <c r="EY43" s="13"/>
      <c r="EZ43" s="13"/>
      <c r="FA43" s="16" t="s">
        <v>33</v>
      </c>
      <c r="FB43" s="16">
        <v>43552</v>
      </c>
      <c r="FC43" s="15">
        <v>26225644.9037688</v>
      </c>
      <c r="FD43" s="14">
        <v>20000000</v>
      </c>
      <c r="FF43" s="1">
        <v>30000000</v>
      </c>
      <c r="FI43" s="40">
        <v>190</v>
      </c>
      <c r="FJ43" s="39">
        <f t="shared" si="124"/>
        <v>509527000</v>
      </c>
      <c r="FK43" s="40">
        <v>340</v>
      </c>
      <c r="FL43" s="39">
        <f t="shared" si="125"/>
        <v>1541977000</v>
      </c>
      <c r="FN43" s="13"/>
      <c r="FO43" s="13"/>
      <c r="FP43" s="40">
        <v>190</v>
      </c>
      <c r="FQ43" s="39">
        <f t="shared" si="126"/>
        <v>361898000</v>
      </c>
      <c r="FR43" s="40">
        <v>340</v>
      </c>
      <c r="FS43" s="39">
        <f t="shared" si="127"/>
        <v>989153000</v>
      </c>
      <c r="FU43" s="13"/>
      <c r="FV43" s="13"/>
      <c r="FW43" s="16" t="s">
        <v>39</v>
      </c>
      <c r="FX43" s="16">
        <v>43916</v>
      </c>
      <c r="FY43" s="15">
        <v>82611427.667984188</v>
      </c>
      <c r="FZ43" s="14">
        <v>80000000</v>
      </c>
      <c r="GB43" s="14">
        <v>60000000</v>
      </c>
      <c r="GC43" s="14">
        <v>40000000</v>
      </c>
      <c r="GD43" s="14">
        <v>40000000</v>
      </c>
      <c r="GF43" s="40">
        <v>190</v>
      </c>
      <c r="GG43" s="39">
        <f t="shared" si="128"/>
        <v>295721000</v>
      </c>
      <c r="GH43" s="40">
        <v>340</v>
      </c>
      <c r="GI43" s="39">
        <f t="shared" si="129"/>
        <v>780536000</v>
      </c>
      <c r="GK43" s="13"/>
      <c r="GL43" s="13"/>
      <c r="GM43" s="40">
        <v>190</v>
      </c>
      <c r="GN43" s="39">
        <f t="shared" si="130"/>
        <v>133418000</v>
      </c>
      <c r="GO43" s="40">
        <v>340</v>
      </c>
      <c r="GP43" s="39">
        <f t="shared" si="131"/>
        <v>156053000</v>
      </c>
      <c r="GR43" s="13"/>
      <c r="GS43" s="13"/>
      <c r="GT43" s="16" t="s">
        <v>38</v>
      </c>
      <c r="GU43" s="16">
        <v>44280</v>
      </c>
      <c r="GV43" s="15">
        <v>23504738.218303431</v>
      </c>
      <c r="GW43" s="14">
        <v>8000000</v>
      </c>
      <c r="HB43" s="40">
        <v>190</v>
      </c>
      <c r="HC43" s="39">
        <f t="shared" si="132"/>
        <v>289852999.99999994</v>
      </c>
      <c r="HD43" s="40">
        <v>340</v>
      </c>
      <c r="HE43" s="39">
        <f t="shared" si="133"/>
        <v>627502999.99999988</v>
      </c>
      <c r="HG43" s="13"/>
      <c r="HH43" s="13"/>
      <c r="HI43" s="16" t="s">
        <v>35</v>
      </c>
      <c r="HJ43" s="16">
        <v>44644</v>
      </c>
      <c r="HK43" s="15">
        <v>19376209.911827303</v>
      </c>
      <c r="HL43" s="14">
        <v>3000000</v>
      </c>
      <c r="HQ43" s="40">
        <v>190</v>
      </c>
      <c r="HR43" s="39">
        <f t="shared" si="134"/>
        <v>516550000.00000006</v>
      </c>
      <c r="HS43" s="40">
        <v>340</v>
      </c>
      <c r="HT43" s="39">
        <f t="shared" si="135"/>
        <v>1513105000.0000002</v>
      </c>
      <c r="HV43" s="13"/>
      <c r="HW43" s="13"/>
      <c r="HX43" s="40">
        <v>190</v>
      </c>
      <c r="HY43" s="39">
        <f t="shared" si="136"/>
        <v>341929999.99999994</v>
      </c>
      <c r="HZ43" s="40">
        <v>340</v>
      </c>
      <c r="IA43" s="39">
        <f t="shared" si="137"/>
        <v>841625000</v>
      </c>
      <c r="IC43" s="13"/>
      <c r="ID43" s="13"/>
      <c r="IE43" s="16" t="s">
        <v>37</v>
      </c>
      <c r="IF43" s="16">
        <v>45015</v>
      </c>
      <c r="IG43" s="15">
        <v>25590152.994831257</v>
      </c>
      <c r="IH43" s="14">
        <v>8000000</v>
      </c>
      <c r="IM43" s="40">
        <v>190</v>
      </c>
      <c r="IN43" s="39">
        <f t="shared" si="138"/>
        <v>379543000.00000006</v>
      </c>
      <c r="IO43" s="40">
        <v>340</v>
      </c>
      <c r="IP43" s="39">
        <f t="shared" si="139"/>
        <v>890998000</v>
      </c>
      <c r="IR43" s="13"/>
      <c r="IS43" s="13"/>
      <c r="IT43" s="40"/>
      <c r="IU43" s="39"/>
      <c r="IV43" s="40"/>
      <c r="IW43" s="39"/>
      <c r="IY43" s="13"/>
      <c r="IZ43" s="13"/>
      <c r="JA43" s="16" t="s">
        <v>115</v>
      </c>
      <c r="JB43" s="16">
        <v>45379</v>
      </c>
      <c r="JC43" s="15">
        <v>28780959.790781304</v>
      </c>
      <c r="JD43" s="14">
        <v>12000000</v>
      </c>
      <c r="JI43" s="40">
        <v>190</v>
      </c>
      <c r="JJ43" s="39">
        <f t="shared" si="140"/>
        <v>379543000.00000006</v>
      </c>
      <c r="JK43" s="40">
        <v>340</v>
      </c>
      <c r="JL43" s="39">
        <f t="shared" si="141"/>
        <v>890998000</v>
      </c>
      <c r="JN43" s="13"/>
      <c r="JO43" s="13"/>
      <c r="JP43" s="60" t="s">
        <v>90</v>
      </c>
      <c r="JQ43" s="59">
        <v>3.0999999999999999E-3</v>
      </c>
      <c r="JR43" s="59">
        <v>0.90400000000000003</v>
      </c>
      <c r="JS43" s="59">
        <v>17.873000000000001</v>
      </c>
      <c r="JU43" s="13"/>
      <c r="JV43" s="13"/>
      <c r="LH43" s="1">
        <v>10</v>
      </c>
      <c r="LI43" s="1">
        <v>150</v>
      </c>
      <c r="MY43" s="16" t="s">
        <v>34</v>
      </c>
      <c r="MZ43" s="16">
        <v>43104</v>
      </c>
      <c r="NA43" s="15">
        <v>46835360</v>
      </c>
      <c r="NB43" s="14">
        <v>35000000</v>
      </c>
      <c r="NG43" s="40">
        <v>190</v>
      </c>
      <c r="NH43" s="39">
        <f t="shared" si="142"/>
        <v>244402000.00000003</v>
      </c>
      <c r="NI43" s="40">
        <v>340</v>
      </c>
      <c r="NJ43" s="39">
        <f t="shared" si="143"/>
        <v>459832000.00000006</v>
      </c>
      <c r="NL43" s="13"/>
      <c r="NN43" s="16" t="s">
        <v>33</v>
      </c>
      <c r="NO43" s="16">
        <v>43475</v>
      </c>
      <c r="NP43" s="15">
        <v>109782948</v>
      </c>
      <c r="NQ43" s="14">
        <v>80000000</v>
      </c>
      <c r="NV43" s="40">
        <v>190</v>
      </c>
      <c r="NW43" s="39">
        <f t="shared" si="144"/>
        <v>482458000</v>
      </c>
      <c r="NX43" s="40">
        <v>340</v>
      </c>
      <c r="NY43" s="39">
        <f t="shared" si="145"/>
        <v>1447993000</v>
      </c>
      <c r="OA43" s="13"/>
      <c r="OB43" s="1"/>
    </row>
    <row r="44" spans="2:392" x14ac:dyDescent="0.2">
      <c r="B44" s="5"/>
      <c r="C44" s="5"/>
      <c r="D44" s="5"/>
      <c r="F44" s="5"/>
      <c r="G44" s="53"/>
      <c r="H44" s="53"/>
      <c r="I44" s="53"/>
      <c r="K44" s="7">
        <v>40</v>
      </c>
      <c r="M44" s="5" t="str" cm="1">
        <f t="array" ref="M44">LOOKUP(2,1/($G$19:$G$35&lt;=$V44)/($H$19:$H$35&gt;=$V44),$F$19:$F$35)</f>
        <v>1H18</v>
      </c>
      <c r="N44" s="5" t="str" cm="1">
        <f t="array" ref="N44">LOOKUP(2,1/($G$8:$G$16&lt;=$V44)/($H$8:$H$16&gt;=$V44),$F$8:$F$16)</f>
        <v>FY18</v>
      </c>
      <c r="O44" s="5" t="str">
        <f>IFERROR(N44&amp;"-"&amp;COUNTIF($N$5:N44,N44),NA())</f>
        <v>FY18-14</v>
      </c>
      <c r="P44" s="5">
        <f>COUNTIF(V$5:V44,"&gt;="&amp;MAX($V:$V)-183)</f>
        <v>0</v>
      </c>
      <c r="Q44" s="5">
        <f>COUNTIF(V$5:V44,"&gt;="&amp;MAX($V:$V)-365)</f>
        <v>0</v>
      </c>
      <c r="R44" s="5" cm="1">
        <f t="array" ref="R44">LOOKUP(2,1/($G$46:$G$50&lt;=$V44)/($H$46:$H$50&gt;=$V44),$F$46:$F$50)</f>
        <v>0</v>
      </c>
      <c r="S44" s="5" cm="1">
        <f t="array" ref="S44">LOOKUP(2,1/($G$53:$G$56&lt;=$V44)/($H$53:$H$56&gt;=$V44),$F$53:$F$56)</f>
        <v>0</v>
      </c>
      <c r="T44" s="5" t="e">
        <f>IFERROR(IF($R44&gt;0,$R44&amp;"-"&amp;COUNTIF($R$5:$R44,$R44),NA()),NA())</f>
        <v>#N/A</v>
      </c>
      <c r="U44" s="5" t="e">
        <f>IFERROR(IF($S44&gt;0,$S44&amp;"-"&amp;COUNTIF($S$5:$S44,$S44),NA()),NA())</f>
        <v>#N/A</v>
      </c>
      <c r="V44" s="10">
        <v>43013</v>
      </c>
      <c r="W44" s="9">
        <v>17552791.894083146</v>
      </c>
      <c r="X44" s="9">
        <v>16307421.309197946</v>
      </c>
      <c r="Y44" s="8">
        <v>6000000</v>
      </c>
      <c r="AA44" s="48" t="e">
        <f t="shared" si="174"/>
        <v>#N/A</v>
      </c>
      <c r="AB44" s="12" t="e">
        <f t="shared" si="149"/>
        <v>#N/A</v>
      </c>
      <c r="AC44" s="15" t="e">
        <f t="shared" si="150"/>
        <v>#N/A</v>
      </c>
      <c r="AD44" s="14" t="e">
        <f t="shared" si="151"/>
        <v>#N/A</v>
      </c>
      <c r="AI44" s="40">
        <v>200</v>
      </c>
      <c r="AJ44" s="39">
        <f t="shared" si="106"/>
        <v>412496999.99999994</v>
      </c>
      <c r="AK44" s="40">
        <v>350</v>
      </c>
      <c r="AL44" s="39">
        <f t="shared" si="107"/>
        <v>981672000</v>
      </c>
      <c r="AN44" s="13"/>
      <c r="AO44" s="13"/>
      <c r="AP44" s="40">
        <v>200</v>
      </c>
      <c r="AQ44" s="39">
        <f t="shared" si="108"/>
        <v>116914000.00000001</v>
      </c>
      <c r="AR44" s="40">
        <v>350</v>
      </c>
      <c r="AS44" s="39">
        <f t="shared" si="109"/>
        <v>-17260999.999999989</v>
      </c>
      <c r="AU44" s="13"/>
      <c r="AW44" s="48">
        <f t="shared" si="175"/>
        <v>40</v>
      </c>
      <c r="AX44" s="12">
        <f t="shared" si="152"/>
        <v>45379</v>
      </c>
      <c r="AY44" s="15">
        <f t="shared" si="153"/>
        <v>28780959.790781304</v>
      </c>
      <c r="AZ44" s="14">
        <f t="shared" si="154"/>
        <v>12000000</v>
      </c>
      <c r="BB44" s="115">
        <v>20000000</v>
      </c>
      <c r="BC44" s="2">
        <f t="shared" si="176"/>
        <v>11</v>
      </c>
      <c r="BD44" s="39">
        <f t="shared" si="177"/>
        <v>33664848.752315573</v>
      </c>
      <c r="BE44" s="39">
        <f t="shared" si="178"/>
        <v>38671214.151980743</v>
      </c>
      <c r="BF44" s="39">
        <f t="shared" si="179"/>
        <v>42995307.072027899</v>
      </c>
      <c r="BG44" s="121">
        <f t="shared" si="180"/>
        <v>38.671214151980742</v>
      </c>
      <c r="BI44" s="40">
        <v>200</v>
      </c>
      <c r="BJ44" s="39">
        <f t="shared" si="110"/>
        <v>441326000</v>
      </c>
      <c r="BK44" s="40">
        <v>350</v>
      </c>
      <c r="BL44" s="39">
        <f t="shared" si="111"/>
        <v>1109921000</v>
      </c>
      <c r="BN44" s="13"/>
      <c r="BO44" s="13"/>
      <c r="BP44" s="40">
        <v>150</v>
      </c>
      <c r="BQ44" s="39">
        <f t="shared" ref="BQ44" si="181">($BQ$8*BP44^2+$BR$8*BP44+$BS$8)*1000000</f>
        <v>179496000</v>
      </c>
      <c r="BR44" s="110"/>
      <c r="BS44" s="39"/>
      <c r="BU44" s="13"/>
      <c r="BW44" s="48" t="e">
        <f t="shared" si="156"/>
        <v>#N/A</v>
      </c>
      <c r="BX44" s="12" t="e">
        <f t="shared" si="157"/>
        <v>#N/A</v>
      </c>
      <c r="BY44" s="15" t="e">
        <f t="shared" si="158"/>
        <v>#N/A</v>
      </c>
      <c r="BZ44" s="14" t="e">
        <f t="shared" si="159"/>
        <v>#N/A</v>
      </c>
      <c r="CE44" s="40">
        <v>200</v>
      </c>
      <c r="CF44" s="39">
        <f t="shared" si="112"/>
        <v>141983999.99999997</v>
      </c>
      <c r="CG44" s="40">
        <v>350</v>
      </c>
      <c r="CH44" s="39">
        <f t="shared" si="113"/>
        <v>32978999.99999997</v>
      </c>
      <c r="CJ44" s="13"/>
      <c r="CK44" s="13"/>
      <c r="CL44" s="48" t="e">
        <f t="shared" si="160"/>
        <v>#N/A</v>
      </c>
      <c r="CM44" s="12" t="e">
        <f t="shared" si="161"/>
        <v>#N/A</v>
      </c>
      <c r="CN44" s="49" t="e">
        <f t="shared" si="162"/>
        <v>#N/A</v>
      </c>
      <c r="CO44" s="49" t="e">
        <f t="shared" si="163"/>
        <v>#N/A</v>
      </c>
      <c r="CT44" s="40">
        <v>200</v>
      </c>
      <c r="CU44" s="39">
        <f t="shared" si="114"/>
        <v>141983999.99999997</v>
      </c>
      <c r="CV44" s="40">
        <v>350</v>
      </c>
      <c r="CW44" s="39">
        <f t="shared" si="115"/>
        <v>32978999.99999997</v>
      </c>
      <c r="CY44" s="13"/>
      <c r="DA44" s="48" t="e">
        <f t="shared" si="164"/>
        <v>#N/A</v>
      </c>
      <c r="DB44" s="12" t="e">
        <f t="shared" si="165"/>
        <v>#N/A</v>
      </c>
      <c r="DC44" s="15" t="e">
        <f t="shared" si="166"/>
        <v>#N/A</v>
      </c>
      <c r="DD44" s="14" t="e">
        <f t="shared" si="167"/>
        <v>#N/A</v>
      </c>
      <c r="DI44" s="40">
        <v>200</v>
      </c>
      <c r="DJ44" s="39">
        <f t="shared" si="116"/>
        <v>141983999.99999997</v>
      </c>
      <c r="DK44" s="40">
        <v>350</v>
      </c>
      <c r="DL44" s="39">
        <f t="shared" si="117"/>
        <v>32978999.99999997</v>
      </c>
      <c r="DN44" s="13"/>
      <c r="DO44" s="13"/>
      <c r="DP44" s="48" t="e">
        <f t="shared" si="168"/>
        <v>#N/A</v>
      </c>
      <c r="DQ44" s="12" t="e">
        <f t="shared" si="169"/>
        <v>#N/A</v>
      </c>
      <c r="DR44" s="15" t="e">
        <f t="shared" si="170"/>
        <v>#N/A</v>
      </c>
      <c r="DS44" s="14" t="e">
        <f t="shared" si="171"/>
        <v>#N/A</v>
      </c>
      <c r="DX44" s="40">
        <v>200</v>
      </c>
      <c r="DY44" s="39">
        <f t="shared" si="118"/>
        <v>141983999.99999997</v>
      </c>
      <c r="DZ44" s="40">
        <v>350</v>
      </c>
      <c r="EA44" s="39">
        <f t="shared" si="119"/>
        <v>32978999.99999997</v>
      </c>
      <c r="EC44" s="13"/>
      <c r="ED44" s="13"/>
      <c r="EE44" s="40">
        <v>200</v>
      </c>
      <c r="EF44" s="39">
        <f t="shared" si="120"/>
        <v>136887000</v>
      </c>
      <c r="EG44" s="40">
        <v>350</v>
      </c>
      <c r="EH44" s="39">
        <f t="shared" si="121"/>
        <v>155321999.99999997</v>
      </c>
      <c r="EJ44" s="13"/>
      <c r="EK44" s="13"/>
      <c r="EL44" s="47" t="str">
        <f t="shared" si="172"/>
        <v>FY18-40</v>
      </c>
      <c r="EM44" s="16">
        <v>43195</v>
      </c>
      <c r="EN44" s="15">
        <v>18375711.785406243</v>
      </c>
      <c r="EO44" s="14">
        <f t="shared" si="173"/>
        <v>6000000</v>
      </c>
      <c r="EQ44" s="1">
        <v>2</v>
      </c>
      <c r="ER44" s="1">
        <v>6</v>
      </c>
      <c r="ET44" s="40">
        <v>200</v>
      </c>
      <c r="EU44" s="39">
        <f t="shared" si="122"/>
        <v>471139999.99999994</v>
      </c>
      <c r="EV44" s="40">
        <v>350</v>
      </c>
      <c r="EW44" s="39">
        <f t="shared" si="123"/>
        <v>1240775000</v>
      </c>
      <c r="EX44" s="13"/>
      <c r="EY44" s="13"/>
      <c r="EZ44" s="13"/>
      <c r="FA44" s="16" t="s">
        <v>33</v>
      </c>
      <c r="FB44" s="16">
        <v>43559</v>
      </c>
      <c r="FC44" s="15">
        <v>13585177.795655672</v>
      </c>
      <c r="FD44" s="14">
        <v>3000000</v>
      </c>
      <c r="FF44" s="1">
        <v>40000000</v>
      </c>
      <c r="FI44" s="40">
        <v>200</v>
      </c>
      <c r="FJ44" s="39">
        <f t="shared" si="124"/>
        <v>560717000</v>
      </c>
      <c r="FK44" s="40">
        <v>350</v>
      </c>
      <c r="FL44" s="39">
        <f t="shared" si="125"/>
        <v>1630967000</v>
      </c>
      <c r="FN44" s="13"/>
      <c r="FO44" s="13"/>
      <c r="FP44" s="40">
        <v>200</v>
      </c>
      <c r="FQ44" s="39">
        <f t="shared" si="126"/>
        <v>394055000</v>
      </c>
      <c r="FR44" s="40">
        <v>350</v>
      </c>
      <c r="FS44" s="39">
        <f t="shared" si="127"/>
        <v>1042010000</v>
      </c>
      <c r="FU44" s="13"/>
      <c r="FV44" s="13"/>
      <c r="FW44" s="16" t="s">
        <v>39</v>
      </c>
      <c r="FX44" s="16">
        <v>43923</v>
      </c>
      <c r="FY44" s="15">
        <v>15454267.436910914</v>
      </c>
      <c r="FZ44" s="14">
        <v>3000000</v>
      </c>
      <c r="GB44" s="14">
        <v>80000000</v>
      </c>
      <c r="GC44" s="14">
        <v>60000000</v>
      </c>
      <c r="GD44" s="14">
        <v>60000000</v>
      </c>
      <c r="GF44" s="40">
        <v>200</v>
      </c>
      <c r="GG44" s="39">
        <f t="shared" si="128"/>
        <v>320762000.00000006</v>
      </c>
      <c r="GH44" s="40">
        <v>350</v>
      </c>
      <c r="GI44" s="39">
        <f t="shared" si="129"/>
        <v>821177000</v>
      </c>
      <c r="GK44" s="13"/>
      <c r="GL44" s="13"/>
      <c r="GM44" s="40">
        <v>200</v>
      </c>
      <c r="GN44" s="39">
        <f t="shared" si="130"/>
        <v>136887000</v>
      </c>
      <c r="GO44" s="40">
        <v>350</v>
      </c>
      <c r="GP44" s="39">
        <f t="shared" si="131"/>
        <v>155321999.99999997</v>
      </c>
      <c r="GR44" s="13"/>
      <c r="GS44" s="13"/>
      <c r="GT44" s="16" t="s">
        <v>38</v>
      </c>
      <c r="GU44" s="16">
        <v>44287</v>
      </c>
      <c r="GV44" s="15">
        <v>37212500.334448159</v>
      </c>
      <c r="GW44" s="14">
        <v>20000000</v>
      </c>
      <c r="HB44" s="40">
        <v>200</v>
      </c>
      <c r="HC44" s="39">
        <f t="shared" si="132"/>
        <v>309002999.99999994</v>
      </c>
      <c r="HD44" s="40">
        <v>350</v>
      </c>
      <c r="HE44" s="39">
        <f t="shared" si="133"/>
        <v>653853000</v>
      </c>
      <c r="HG44" s="13"/>
      <c r="HH44" s="13"/>
      <c r="HI44" s="16" t="s">
        <v>35</v>
      </c>
      <c r="HJ44" s="16">
        <v>44651</v>
      </c>
      <c r="HK44" s="15">
        <v>27161959.98783825</v>
      </c>
      <c r="HL44" s="14">
        <v>8000000</v>
      </c>
      <c r="HQ44" s="40">
        <v>200</v>
      </c>
      <c r="HR44" s="39">
        <f t="shared" si="134"/>
        <v>566327000</v>
      </c>
      <c r="HS44" s="40">
        <v>350</v>
      </c>
      <c r="HT44" s="39">
        <f t="shared" si="135"/>
        <v>1598582000</v>
      </c>
      <c r="HV44" s="13"/>
      <c r="HW44" s="13"/>
      <c r="HX44" s="40">
        <v>200</v>
      </c>
      <c r="HY44" s="39">
        <f t="shared" si="136"/>
        <v>368522999.99999994</v>
      </c>
      <c r="HZ44" s="40">
        <v>350</v>
      </c>
      <c r="IA44" s="39">
        <f t="shared" si="137"/>
        <v>882618000</v>
      </c>
      <c r="IC44" s="13"/>
      <c r="ID44" s="13"/>
      <c r="IE44" s="16" t="s">
        <v>37</v>
      </c>
      <c r="IF44" s="16">
        <v>45022</v>
      </c>
      <c r="IG44" s="15">
        <v>41047026.208574027</v>
      </c>
      <c r="IH44" s="14">
        <v>20000000</v>
      </c>
      <c r="IM44" s="40">
        <v>200</v>
      </c>
      <c r="IN44" s="39">
        <f t="shared" si="138"/>
        <v>407480000</v>
      </c>
      <c r="IO44" s="40">
        <v>350</v>
      </c>
      <c r="IP44" s="39">
        <f t="shared" si="139"/>
        <v>932135000.00000012</v>
      </c>
      <c r="IR44" s="13"/>
      <c r="IS44" s="13"/>
      <c r="IT44" s="40"/>
      <c r="IU44" s="39"/>
      <c r="IV44" s="40"/>
      <c r="IW44" s="39"/>
      <c r="IY44" s="13"/>
      <c r="IZ44" s="13"/>
      <c r="JA44" s="16" t="s">
        <v>115</v>
      </c>
      <c r="JB44" s="16">
        <v>45386</v>
      </c>
      <c r="JC44" s="15">
        <v>33664848.752315573</v>
      </c>
      <c r="JD44" s="14">
        <v>20000000</v>
      </c>
      <c r="JI44" s="40">
        <v>200</v>
      </c>
      <c r="JJ44" s="39">
        <f t="shared" si="140"/>
        <v>407480000</v>
      </c>
      <c r="JK44" s="40">
        <v>350</v>
      </c>
      <c r="JL44" s="39">
        <f t="shared" si="141"/>
        <v>932135000.00000012</v>
      </c>
      <c r="JN44" s="13"/>
      <c r="JO44" s="13"/>
      <c r="JU44" s="13"/>
      <c r="JV44" s="13"/>
      <c r="MY44" s="16" t="s">
        <v>34</v>
      </c>
      <c r="MZ44" s="16">
        <v>43111</v>
      </c>
      <c r="NA44" s="15">
        <v>80262600</v>
      </c>
      <c r="NB44" s="14">
        <v>55000000</v>
      </c>
      <c r="NG44" s="40">
        <v>200</v>
      </c>
      <c r="NH44" s="39">
        <f t="shared" si="142"/>
        <v>257924000.00000003</v>
      </c>
      <c r="NI44" s="40">
        <v>350</v>
      </c>
      <c r="NJ44" s="39">
        <f t="shared" si="143"/>
        <v>475154000</v>
      </c>
      <c r="NL44" s="13"/>
      <c r="NN44" s="16" t="s">
        <v>33</v>
      </c>
      <c r="NO44" s="16">
        <v>43482</v>
      </c>
      <c r="NP44" s="15">
        <v>171745068</v>
      </c>
      <c r="NQ44" s="14">
        <v>100000000</v>
      </c>
      <c r="NV44" s="40">
        <v>200</v>
      </c>
      <c r="NW44" s="39">
        <f t="shared" si="144"/>
        <v>530447000</v>
      </c>
      <c r="NX44" s="40">
        <v>350</v>
      </c>
      <c r="NY44" s="39">
        <f t="shared" si="145"/>
        <v>1531082000</v>
      </c>
      <c r="OA44" s="13"/>
      <c r="OB44" s="1"/>
    </row>
    <row r="45" spans="2:392" x14ac:dyDescent="0.2">
      <c r="B45" s="5"/>
      <c r="C45" s="5"/>
      <c r="D45" s="5"/>
      <c r="F45" s="58" t="s">
        <v>54</v>
      </c>
      <c r="G45" s="57"/>
      <c r="H45" s="57"/>
      <c r="I45" s="57"/>
      <c r="K45" s="7">
        <v>41</v>
      </c>
      <c r="M45" s="5" t="str" cm="1">
        <f t="array" ref="M45">LOOKUP(2,1/($G$19:$G$35&lt;=$V45)/($H$19:$H$35&gt;=$V45),$F$19:$F$35)</f>
        <v>1H18</v>
      </c>
      <c r="N45" s="5" t="str" cm="1">
        <f t="array" ref="N45">LOOKUP(2,1/($G$8:$G$16&lt;=$V45)/($H$8:$H$16&gt;=$V45),$F$8:$F$16)</f>
        <v>FY18</v>
      </c>
      <c r="O45" s="5" t="str">
        <f>IFERROR(N45&amp;"-"&amp;COUNTIF($N$5:N45,N45),NA())</f>
        <v>FY18-15</v>
      </c>
      <c r="P45" s="5">
        <f>COUNTIF(V$5:V45,"&gt;="&amp;MAX($V:$V)-183)</f>
        <v>0</v>
      </c>
      <c r="Q45" s="5">
        <f>COUNTIF(V$5:V45,"&gt;="&amp;MAX($V:$V)-365)</f>
        <v>0</v>
      </c>
      <c r="R45" s="5" cm="1">
        <f t="array" ref="R45">LOOKUP(2,1/($G$46:$G$50&lt;=$V45)/($H$46:$H$50&gt;=$V45),$F$46:$F$50)</f>
        <v>0</v>
      </c>
      <c r="S45" s="5" cm="1">
        <f t="array" ref="S45">LOOKUP(2,1/($G$53:$G$56&lt;=$V45)/($H$53:$H$56&gt;=$V45),$F$53:$F$56)</f>
        <v>0</v>
      </c>
      <c r="T45" s="5" t="e">
        <f>IFERROR(IF($R45&gt;0,$R45&amp;"-"&amp;COUNTIF($R$5:$R45,$R45),NA()),NA())</f>
        <v>#N/A</v>
      </c>
      <c r="U45" s="5" t="e">
        <f>IFERROR(IF($S45&gt;0,$S45&amp;"-"&amp;COUNTIF($S$5:$S45,$S45),NA()),NA())</f>
        <v>#N/A</v>
      </c>
      <c r="V45" s="10">
        <v>43020</v>
      </c>
      <c r="W45" s="9">
        <v>25339796.894945659</v>
      </c>
      <c r="X45" s="9">
        <v>23541938.305249263</v>
      </c>
      <c r="Y45" s="8">
        <v>10000000</v>
      </c>
      <c r="AA45" s="48" t="e">
        <f t="shared" si="174"/>
        <v>#N/A</v>
      </c>
      <c r="AB45" s="12" t="e">
        <f t="shared" si="149"/>
        <v>#N/A</v>
      </c>
      <c r="AC45" s="15" t="e">
        <f t="shared" si="150"/>
        <v>#N/A</v>
      </c>
      <c r="AD45" s="14" t="e">
        <f t="shared" si="151"/>
        <v>#N/A</v>
      </c>
      <c r="AN45" s="13"/>
      <c r="AO45" s="13"/>
      <c r="AP45" s="40"/>
      <c r="AQ45" s="39"/>
      <c r="AR45" s="40"/>
      <c r="AS45" s="39"/>
      <c r="AU45" s="13"/>
      <c r="AW45" s="48">
        <f t="shared" si="175"/>
        <v>41</v>
      </c>
      <c r="AX45" s="12">
        <f t="shared" si="152"/>
        <v>45386</v>
      </c>
      <c r="AY45" s="15">
        <f t="shared" si="153"/>
        <v>33664848.752315573</v>
      </c>
      <c r="AZ45" s="14">
        <f t="shared" si="154"/>
        <v>20000000</v>
      </c>
      <c r="BB45" s="115">
        <v>30000000</v>
      </c>
      <c r="BC45" s="2">
        <f t="shared" si="176"/>
        <v>2</v>
      </c>
      <c r="BD45" s="39">
        <f t="shared" si="177"/>
        <v>41358095.020159096</v>
      </c>
      <c r="BE45" s="39">
        <f t="shared" si="178"/>
        <v>43191841.179034546</v>
      </c>
      <c r="BF45" s="39">
        <f t="shared" si="179"/>
        <v>45025587.337910004</v>
      </c>
      <c r="BG45" s="121">
        <f t="shared" si="180"/>
        <v>43.191841179034547</v>
      </c>
      <c r="BN45" s="13"/>
      <c r="BO45" s="13"/>
      <c r="BP45" s="40">
        <v>250</v>
      </c>
      <c r="BQ45" s="39">
        <f>($BQ$8*BP45^2+$BR$8*BP45+$BS$8)*1000000</f>
        <v>288116000</v>
      </c>
      <c r="BR45" s="110"/>
      <c r="BS45" s="39"/>
      <c r="BU45" s="13"/>
      <c r="BW45" s="48" t="e">
        <f t="shared" si="156"/>
        <v>#N/A</v>
      </c>
      <c r="BX45" s="12" t="e">
        <f t="shared" si="157"/>
        <v>#N/A</v>
      </c>
      <c r="BY45" s="15" t="e">
        <f t="shared" si="158"/>
        <v>#N/A</v>
      </c>
      <c r="BZ45" s="14" t="e">
        <f t="shared" si="159"/>
        <v>#N/A</v>
      </c>
      <c r="CJ45" s="13"/>
      <c r="CK45" s="13"/>
      <c r="CL45" s="48" t="e">
        <f t="shared" si="160"/>
        <v>#N/A</v>
      </c>
      <c r="CM45" s="12" t="e">
        <f t="shared" si="161"/>
        <v>#N/A</v>
      </c>
      <c r="CN45" s="49" t="e">
        <f t="shared" si="162"/>
        <v>#N/A</v>
      </c>
      <c r="CO45" s="49" t="e">
        <f t="shared" si="163"/>
        <v>#N/A</v>
      </c>
      <c r="CY45" s="13"/>
      <c r="DA45" s="48" t="e">
        <f t="shared" si="164"/>
        <v>#N/A</v>
      </c>
      <c r="DB45" s="12" t="e">
        <f t="shared" si="165"/>
        <v>#N/A</v>
      </c>
      <c r="DC45" s="15" t="e">
        <f t="shared" si="166"/>
        <v>#N/A</v>
      </c>
      <c r="DD45" s="14" t="e">
        <f t="shared" si="167"/>
        <v>#N/A</v>
      </c>
      <c r="DN45" s="13"/>
      <c r="DO45" s="13"/>
      <c r="DP45" s="48" t="e">
        <f t="shared" si="168"/>
        <v>#N/A</v>
      </c>
      <c r="DQ45" s="12" t="e">
        <f t="shared" si="169"/>
        <v>#N/A</v>
      </c>
      <c r="DR45" s="15" t="e">
        <f t="shared" si="170"/>
        <v>#N/A</v>
      </c>
      <c r="DS45" s="14" t="e">
        <f t="shared" si="171"/>
        <v>#N/A</v>
      </c>
      <c r="EC45" s="13"/>
      <c r="ED45" s="13"/>
      <c r="EE45" s="40"/>
      <c r="EF45" s="39"/>
      <c r="EG45" s="40"/>
      <c r="EH45" s="39"/>
      <c r="EJ45" s="13"/>
      <c r="EK45" s="13"/>
      <c r="EL45" s="47" t="str">
        <f t="shared" si="172"/>
        <v>FY18-41</v>
      </c>
      <c r="EM45" s="46">
        <v>43202</v>
      </c>
      <c r="EN45" s="45">
        <v>12839845.696049679</v>
      </c>
      <c r="EO45" s="44">
        <f t="shared" si="173"/>
        <v>3000000</v>
      </c>
      <c r="EQ45" s="1">
        <v>3</v>
      </c>
      <c r="ER45" s="1">
        <v>10</v>
      </c>
      <c r="EX45" s="13"/>
      <c r="EY45" s="13"/>
      <c r="EZ45" s="13"/>
      <c r="FA45" s="16" t="s">
        <v>33</v>
      </c>
      <c r="FB45" s="16">
        <v>43566</v>
      </c>
      <c r="FC45" s="15">
        <v>17744063.617798131</v>
      </c>
      <c r="FD45" s="14">
        <v>8000000</v>
      </c>
      <c r="FF45" s="1">
        <v>50000000</v>
      </c>
      <c r="FN45" s="13"/>
      <c r="FO45" s="13"/>
      <c r="FP45" s="40"/>
      <c r="FQ45" s="39"/>
      <c r="FR45" s="40"/>
      <c r="FS45" s="39"/>
      <c r="FU45" s="13"/>
      <c r="FV45" s="13"/>
      <c r="FW45" s="16" t="s">
        <v>39</v>
      </c>
      <c r="FX45" s="16">
        <v>43930</v>
      </c>
      <c r="FY45" s="15">
        <v>21964242.505320761</v>
      </c>
      <c r="FZ45" s="14">
        <v>8000000</v>
      </c>
      <c r="GB45" s="14">
        <v>100000000</v>
      </c>
      <c r="GC45" s="14">
        <v>80000000</v>
      </c>
      <c r="GD45" s="14">
        <v>80000000</v>
      </c>
      <c r="GK45" s="13"/>
      <c r="GL45" s="13"/>
      <c r="GM45" s="40"/>
      <c r="GN45" s="39"/>
      <c r="GO45" s="40"/>
      <c r="GP45" s="39"/>
      <c r="GR45" s="13"/>
      <c r="GS45" s="13"/>
      <c r="GT45" s="16" t="s">
        <v>38</v>
      </c>
      <c r="GU45" s="16">
        <v>44294</v>
      </c>
      <c r="GV45" s="15">
        <v>41866552.508361198</v>
      </c>
      <c r="GW45" s="14">
        <v>30000000</v>
      </c>
      <c r="HG45" s="13"/>
      <c r="HH45" s="13"/>
      <c r="HI45" s="16" t="s">
        <v>35</v>
      </c>
      <c r="HJ45" s="16">
        <v>44658</v>
      </c>
      <c r="HK45" s="15">
        <v>42925571.784736998</v>
      </c>
      <c r="HL45" s="14">
        <v>20000000</v>
      </c>
      <c r="HV45" s="13"/>
      <c r="HW45" s="13"/>
      <c r="HX45" s="40"/>
      <c r="HY45" s="39"/>
      <c r="HZ45" s="40"/>
      <c r="IA45" s="39"/>
      <c r="IC45" s="13"/>
      <c r="ID45" s="13"/>
      <c r="IE45" s="16" t="s">
        <v>37</v>
      </c>
      <c r="IF45" s="16">
        <v>45029</v>
      </c>
      <c r="IG45" s="15">
        <v>49471698.145332925</v>
      </c>
      <c r="IH45" s="14">
        <v>30000000</v>
      </c>
      <c r="IM45" s="40"/>
      <c r="IN45" s="39"/>
      <c r="IO45" s="40"/>
      <c r="IP45" s="39"/>
      <c r="IR45" s="13"/>
      <c r="IS45" s="13"/>
      <c r="IT45" s="40"/>
      <c r="IU45" s="39"/>
      <c r="IV45" s="40"/>
      <c r="IW45" s="39"/>
      <c r="IY45" s="13"/>
      <c r="IZ45" s="13"/>
      <c r="JA45" s="16" t="s">
        <v>115</v>
      </c>
      <c r="JB45" s="16">
        <v>45393</v>
      </c>
      <c r="JC45" s="15">
        <v>19709566.198103961</v>
      </c>
      <c r="JD45" s="14">
        <v>4000000</v>
      </c>
      <c r="JI45" s="40"/>
      <c r="JJ45" s="39"/>
      <c r="JK45" s="40"/>
      <c r="JL45" s="39"/>
      <c r="JN45" s="13"/>
      <c r="JO45" s="13"/>
      <c r="JP45" s="2" t="s">
        <v>41</v>
      </c>
      <c r="JQ45" s="2" t="s">
        <v>25</v>
      </c>
      <c r="JU45" s="13"/>
      <c r="JV45" s="13"/>
      <c r="LH45" s="1" t="s">
        <v>53</v>
      </c>
      <c r="MY45" s="16" t="s">
        <v>34</v>
      </c>
      <c r="MZ45" s="16">
        <v>43118</v>
      </c>
      <c r="NA45" s="15">
        <v>14454220</v>
      </c>
      <c r="NB45" s="14">
        <v>3000000</v>
      </c>
      <c r="NG45" s="40"/>
      <c r="NH45" s="39"/>
      <c r="NI45" s="40"/>
      <c r="NJ45" s="39"/>
      <c r="NL45" s="13"/>
      <c r="NN45" s="16" t="s">
        <v>33</v>
      </c>
      <c r="NO45" s="16">
        <v>43489</v>
      </c>
      <c r="NP45" s="15">
        <v>14073378</v>
      </c>
      <c r="NQ45" s="14">
        <v>3000000</v>
      </c>
      <c r="NV45" s="40"/>
      <c r="NW45" s="39"/>
      <c r="NX45" s="40"/>
      <c r="NY45" s="39"/>
      <c r="OA45" s="13"/>
      <c r="OB45" s="1"/>
    </row>
    <row r="46" spans="2:392" x14ac:dyDescent="0.2">
      <c r="B46" s="5"/>
      <c r="C46" s="5"/>
      <c r="D46" s="5"/>
      <c r="F46" s="5">
        <v>0</v>
      </c>
      <c r="G46" s="53">
        <v>42736</v>
      </c>
      <c r="H46" s="51">
        <f>G47-7</f>
        <v>44105</v>
      </c>
      <c r="I46" s="50"/>
      <c r="K46" s="7">
        <v>42</v>
      </c>
      <c r="M46" s="5" t="str" cm="1">
        <f t="array" ref="M46">LOOKUP(2,1/($G$19:$G$35&lt;=$V46)/($H$19:$H$35&gt;=$V46),$F$19:$F$35)</f>
        <v>1H18</v>
      </c>
      <c r="N46" s="5" t="str" cm="1">
        <f t="array" ref="N46">LOOKUP(2,1/($G$8:$G$16&lt;=$V46)/($H$8:$H$16&gt;=$V46),$F$8:$F$16)</f>
        <v>FY18</v>
      </c>
      <c r="O46" s="5" t="str">
        <f>IFERROR(N46&amp;"-"&amp;COUNTIF($N$5:N46,N46),NA())</f>
        <v>FY18-16</v>
      </c>
      <c r="P46" s="5">
        <f>COUNTIF(V$5:V46,"&gt;="&amp;MAX($V:$V)-183)</f>
        <v>0</v>
      </c>
      <c r="Q46" s="5">
        <f>COUNTIF(V$5:V46,"&gt;="&amp;MAX($V:$V)-365)</f>
        <v>0</v>
      </c>
      <c r="R46" s="5" cm="1">
        <f t="array" ref="R46">LOOKUP(2,1/($G$46:$G$50&lt;=$V46)/($H$46:$H$50&gt;=$V46),$F$46:$F$50)</f>
        <v>0</v>
      </c>
      <c r="S46" s="5" cm="1">
        <f t="array" ref="S46">LOOKUP(2,1/($G$53:$G$56&lt;=$V46)/($H$53:$H$56&gt;=$V46),$F$53:$F$56)</f>
        <v>0</v>
      </c>
      <c r="T46" s="5" t="e">
        <f>IFERROR(IF($R46&gt;0,$R46&amp;"-"&amp;COUNTIF($R$5:$R46,$R46),NA()),NA())</f>
        <v>#N/A</v>
      </c>
      <c r="U46" s="5" t="e">
        <f>IFERROR(IF($S46&gt;0,$S46&amp;"-"&amp;COUNTIF($S$5:$S46,$S46),NA()),NA())</f>
        <v>#N/A</v>
      </c>
      <c r="V46" s="10">
        <v>43027</v>
      </c>
      <c r="W46" s="9">
        <v>28458439.261687078</v>
      </c>
      <c r="X46" s="9">
        <v>26439312.996070378</v>
      </c>
      <c r="Y46" s="8">
        <v>15000000</v>
      </c>
      <c r="AA46" s="48" t="e">
        <f t="shared" si="174"/>
        <v>#N/A</v>
      </c>
      <c r="AB46" s="12" t="e">
        <f t="shared" si="149"/>
        <v>#N/A</v>
      </c>
      <c r="AC46" s="15" t="e">
        <f t="shared" si="150"/>
        <v>#N/A</v>
      </c>
      <c r="AD46" s="14" t="e">
        <f t="shared" si="151"/>
        <v>#N/A</v>
      </c>
      <c r="AI46" s="38" t="s">
        <v>48</v>
      </c>
      <c r="AJ46" s="38" t="s">
        <v>26</v>
      </c>
      <c r="AK46" s="38" t="s">
        <v>25</v>
      </c>
      <c r="AL46" s="38" t="s">
        <v>24</v>
      </c>
      <c r="AN46" s="13"/>
      <c r="AO46" s="13"/>
      <c r="AP46" s="2" t="s">
        <v>28</v>
      </c>
      <c r="AQ46" s="42">
        <v>100000000</v>
      </c>
      <c r="AR46" s="40"/>
      <c r="AS46" s="39"/>
      <c r="AU46" s="13"/>
      <c r="AW46" s="48">
        <f t="shared" si="175"/>
        <v>42</v>
      </c>
      <c r="AX46" s="12">
        <f t="shared" si="152"/>
        <v>45393</v>
      </c>
      <c r="AY46" s="15">
        <f t="shared" si="153"/>
        <v>19709566.198103961</v>
      </c>
      <c r="AZ46" s="14">
        <f t="shared" si="154"/>
        <v>4000000</v>
      </c>
      <c r="BB46" s="115">
        <v>40000000</v>
      </c>
      <c r="BC46" s="2">
        <f t="shared" si="176"/>
        <v>7</v>
      </c>
      <c r="BD46" s="39">
        <f t="shared" si="177"/>
        <v>52908046.96523919</v>
      </c>
      <c r="BE46" s="39">
        <f t="shared" si="178"/>
        <v>56920915.643145129</v>
      </c>
      <c r="BF46" s="39">
        <f t="shared" si="179"/>
        <v>60836962.188078903</v>
      </c>
      <c r="BG46" s="121">
        <f t="shared" si="180"/>
        <v>56.920915643145129</v>
      </c>
      <c r="BI46" s="38" t="s">
        <v>52</v>
      </c>
      <c r="BJ46" s="38" t="s">
        <v>26</v>
      </c>
      <c r="BK46" s="38" t="s">
        <v>25</v>
      </c>
      <c r="BL46" s="38" t="s">
        <v>24</v>
      </c>
      <c r="BN46" s="13"/>
      <c r="BO46" s="13"/>
      <c r="BP46" s="40">
        <v>350</v>
      </c>
      <c r="BQ46" s="39">
        <f>($BQ$8*BP46^2+$BR$8*BP46+$BS$8)*1000000</f>
        <v>396736000</v>
      </c>
      <c r="BR46" s="110"/>
      <c r="BS46" s="39"/>
      <c r="BU46" s="13"/>
      <c r="BW46" s="48" t="e">
        <f t="shared" si="156"/>
        <v>#N/A</v>
      </c>
      <c r="BX46" s="12" t="e">
        <f t="shared" si="157"/>
        <v>#N/A</v>
      </c>
      <c r="BY46" s="15" t="e">
        <f t="shared" si="158"/>
        <v>#N/A</v>
      </c>
      <c r="BZ46" s="14" t="e">
        <f t="shared" si="159"/>
        <v>#N/A</v>
      </c>
      <c r="CE46" s="38" t="s">
        <v>48</v>
      </c>
      <c r="CF46" s="38" t="s">
        <v>26</v>
      </c>
      <c r="CG46" s="38" t="s">
        <v>25</v>
      </c>
      <c r="CH46" s="38" t="s">
        <v>24</v>
      </c>
      <c r="CJ46" s="13"/>
      <c r="CK46" s="13"/>
      <c r="CL46" s="48" t="e">
        <f t="shared" si="160"/>
        <v>#N/A</v>
      </c>
      <c r="CM46" s="12" t="e">
        <f t="shared" si="161"/>
        <v>#N/A</v>
      </c>
      <c r="CN46" s="49" t="e">
        <f t="shared" si="162"/>
        <v>#N/A</v>
      </c>
      <c r="CO46" s="49" t="e">
        <f t="shared" si="163"/>
        <v>#N/A</v>
      </c>
      <c r="CT46" s="38" t="s">
        <v>48</v>
      </c>
      <c r="CU46" s="38" t="s">
        <v>26</v>
      </c>
      <c r="CV46" s="38" t="s">
        <v>25</v>
      </c>
      <c r="CW46" s="38" t="s">
        <v>24</v>
      </c>
      <c r="CY46" s="13"/>
      <c r="DA46" s="48" t="e">
        <f t="shared" si="164"/>
        <v>#N/A</v>
      </c>
      <c r="DB46" s="12" t="e">
        <f t="shared" si="165"/>
        <v>#N/A</v>
      </c>
      <c r="DC46" s="15" t="e">
        <f t="shared" si="166"/>
        <v>#N/A</v>
      </c>
      <c r="DD46" s="14" t="e">
        <f t="shared" si="167"/>
        <v>#N/A</v>
      </c>
      <c r="DI46" s="38" t="s">
        <v>48</v>
      </c>
      <c r="DJ46" s="38" t="s">
        <v>26</v>
      </c>
      <c r="DK46" s="38" t="s">
        <v>25</v>
      </c>
      <c r="DL46" s="38" t="s">
        <v>24</v>
      </c>
      <c r="DN46" s="13"/>
      <c r="DO46" s="13"/>
      <c r="DP46" s="48" t="e">
        <f t="shared" si="168"/>
        <v>#N/A</v>
      </c>
      <c r="DQ46" s="12" t="e">
        <f t="shared" si="169"/>
        <v>#N/A</v>
      </c>
      <c r="DR46" s="15" t="e">
        <f t="shared" si="170"/>
        <v>#N/A</v>
      </c>
      <c r="DS46" s="14" t="e">
        <f t="shared" si="171"/>
        <v>#N/A</v>
      </c>
      <c r="DX46" s="38" t="s">
        <v>48</v>
      </c>
      <c r="DY46" s="38" t="s">
        <v>26</v>
      </c>
      <c r="DZ46" s="38" t="s">
        <v>25</v>
      </c>
      <c r="EA46" s="38" t="s">
        <v>24</v>
      </c>
      <c r="EC46" s="13"/>
      <c r="ED46" s="13"/>
      <c r="EE46" s="2" t="s">
        <v>28</v>
      </c>
      <c r="EF46" s="42">
        <v>100000000</v>
      </c>
      <c r="EG46" s="40"/>
      <c r="EH46" s="39"/>
      <c r="EJ46" s="13"/>
      <c r="EK46" s="13"/>
      <c r="EL46" s="47" t="str">
        <f t="shared" si="172"/>
        <v>FY18-42</v>
      </c>
      <c r="EM46" s="46">
        <v>43209</v>
      </c>
      <c r="EN46" s="45">
        <v>17183138.970120784</v>
      </c>
      <c r="EO46" s="44">
        <f t="shared" si="173"/>
        <v>8000000</v>
      </c>
      <c r="EQ46" s="1">
        <v>4</v>
      </c>
      <c r="ER46" s="1">
        <v>15</v>
      </c>
      <c r="ET46" s="38" t="s">
        <v>27</v>
      </c>
      <c r="EU46" s="38" t="s">
        <v>26</v>
      </c>
      <c r="EV46" s="38" t="s">
        <v>25</v>
      </c>
      <c r="EW46" s="38" t="s">
        <v>24</v>
      </c>
      <c r="EX46" s="13"/>
      <c r="EY46" s="13"/>
      <c r="EZ46" s="13"/>
      <c r="FA46" s="16" t="s">
        <v>33</v>
      </c>
      <c r="FB46" s="16">
        <v>43573</v>
      </c>
      <c r="FC46" s="15">
        <v>22274509.066155083</v>
      </c>
      <c r="FD46" s="14">
        <v>12000000</v>
      </c>
      <c r="FF46" s="1">
        <v>80000000</v>
      </c>
      <c r="FI46" s="38" t="s">
        <v>27</v>
      </c>
      <c r="FJ46" s="38" t="s">
        <v>26</v>
      </c>
      <c r="FK46" s="38" t="s">
        <v>25</v>
      </c>
      <c r="FL46" s="38" t="s">
        <v>24</v>
      </c>
      <c r="FN46" s="13"/>
      <c r="FO46" s="13"/>
      <c r="FP46" s="2" t="s">
        <v>28</v>
      </c>
      <c r="FQ46" s="42">
        <v>100000000</v>
      </c>
      <c r="FR46" s="40"/>
      <c r="FS46" s="39"/>
      <c r="FU46" s="13"/>
      <c r="FV46" s="13"/>
      <c r="FW46" s="16" t="s">
        <v>39</v>
      </c>
      <c r="FX46" s="16">
        <v>43937</v>
      </c>
      <c r="FY46" s="15">
        <v>28686509.212526601</v>
      </c>
      <c r="FZ46" s="14">
        <v>12000000</v>
      </c>
      <c r="GB46" s="14">
        <v>150000000</v>
      </c>
      <c r="GC46" s="14">
        <v>100000000</v>
      </c>
      <c r="GD46" s="14">
        <v>100000000</v>
      </c>
      <c r="GF46" s="38" t="s">
        <v>27</v>
      </c>
      <c r="GG46" s="38" t="s">
        <v>26</v>
      </c>
      <c r="GH46" s="38" t="s">
        <v>25</v>
      </c>
      <c r="GI46" s="38" t="s">
        <v>24</v>
      </c>
      <c r="GK46" s="13"/>
      <c r="GL46" s="13"/>
      <c r="GM46" s="2" t="s">
        <v>28</v>
      </c>
      <c r="GN46" s="42">
        <v>100000000</v>
      </c>
      <c r="GO46" s="40"/>
      <c r="GP46" s="39"/>
      <c r="GR46" s="13"/>
      <c r="GS46" s="13"/>
      <c r="GT46" s="16" t="s">
        <v>38</v>
      </c>
      <c r="GU46" s="16">
        <v>44301</v>
      </c>
      <c r="GV46" s="15">
        <v>63615309.698996648</v>
      </c>
      <c r="GW46" s="14">
        <v>50000000</v>
      </c>
      <c r="HB46" s="38" t="s">
        <v>27</v>
      </c>
      <c r="HC46" s="38" t="s">
        <v>26</v>
      </c>
      <c r="HD46" s="38" t="s">
        <v>25</v>
      </c>
      <c r="HE46" s="38" t="s">
        <v>24</v>
      </c>
      <c r="HG46" s="13"/>
      <c r="HH46" s="13"/>
      <c r="HI46" s="16" t="s">
        <v>35</v>
      </c>
      <c r="HJ46" s="16">
        <v>44665</v>
      </c>
      <c r="HK46" s="15">
        <v>20606947.765278194</v>
      </c>
      <c r="HL46" s="14">
        <v>4000000</v>
      </c>
      <c r="HQ46" s="38" t="s">
        <v>27</v>
      </c>
      <c r="HR46" s="38" t="s">
        <v>26</v>
      </c>
      <c r="HS46" s="38" t="s">
        <v>25</v>
      </c>
      <c r="HT46" s="38" t="s">
        <v>24</v>
      </c>
      <c r="HV46" s="13"/>
      <c r="HW46" s="13"/>
      <c r="HX46" s="2" t="s">
        <v>28</v>
      </c>
      <c r="HY46" s="42">
        <v>100000000</v>
      </c>
      <c r="HZ46" s="40"/>
      <c r="IA46" s="39"/>
      <c r="IC46" s="13"/>
      <c r="ID46" s="13"/>
      <c r="IE46" s="16" t="s">
        <v>37</v>
      </c>
      <c r="IF46" s="16">
        <v>45036</v>
      </c>
      <c r="IG46" s="15">
        <v>21741040.681058068</v>
      </c>
      <c r="IH46" s="14">
        <v>4000000</v>
      </c>
      <c r="IM46" s="60" t="s">
        <v>51</v>
      </c>
      <c r="IN46" s="39"/>
      <c r="IO46" s="40"/>
      <c r="IP46" s="39"/>
      <c r="IR46" s="13"/>
      <c r="IS46" s="13"/>
      <c r="IT46" s="40"/>
      <c r="IU46" s="39"/>
      <c r="IY46" s="13"/>
      <c r="IZ46" s="13"/>
      <c r="JA46" s="16" t="s">
        <v>115</v>
      </c>
      <c r="JB46" s="16">
        <v>45400</v>
      </c>
      <c r="JC46" s="15">
        <v>30895473.575242456</v>
      </c>
      <c r="JD46" s="14">
        <v>12000000</v>
      </c>
      <c r="JI46" s="122" t="s">
        <v>51</v>
      </c>
      <c r="JJ46" s="39"/>
      <c r="JK46" s="40"/>
      <c r="JL46" s="39"/>
      <c r="JN46" s="13"/>
      <c r="JO46" s="13"/>
      <c r="JP46" s="40">
        <v>60</v>
      </c>
      <c r="JQ46" s="39">
        <f t="shared" ref="JQ46:JQ60" si="182">($IU$47*JP46^2+$IV$47*JP46+$IW$47)*1000000</f>
        <v>83587000</v>
      </c>
      <c r="JR46" s="40">
        <v>210</v>
      </c>
      <c r="JS46" s="39">
        <f t="shared" ref="JS46:JS60" si="183">($IU$47*JR46^2+$IV$47*JR46+$IW$47)*1000000</f>
        <v>205072000</v>
      </c>
      <c r="JU46" s="13"/>
      <c r="JV46" s="13"/>
      <c r="MY46" s="16" t="s">
        <v>34</v>
      </c>
      <c r="MZ46" s="16">
        <v>43125</v>
      </c>
      <c r="NA46" s="15">
        <v>15978930</v>
      </c>
      <c r="NB46" s="14">
        <v>3000000</v>
      </c>
      <c r="NG46" s="38" t="s">
        <v>27</v>
      </c>
      <c r="NH46" s="38" t="s">
        <v>26</v>
      </c>
      <c r="NI46" s="38" t="s">
        <v>25</v>
      </c>
      <c r="NJ46" s="38" t="s">
        <v>24</v>
      </c>
      <c r="NL46" s="13"/>
      <c r="NN46" s="16" t="s">
        <v>33</v>
      </c>
      <c r="NO46" s="16">
        <v>43496</v>
      </c>
      <c r="NP46" s="15">
        <v>18353082</v>
      </c>
      <c r="NQ46" s="14">
        <v>8000000</v>
      </c>
      <c r="NV46" s="38" t="s">
        <v>27</v>
      </c>
      <c r="NW46" s="38" t="s">
        <v>26</v>
      </c>
      <c r="NX46" s="38" t="s">
        <v>25</v>
      </c>
      <c r="NY46" s="38" t="s">
        <v>24</v>
      </c>
      <c r="OA46" s="13"/>
      <c r="OB46" s="1"/>
    </row>
    <row r="47" spans="2:392" x14ac:dyDescent="0.2">
      <c r="B47" s="5"/>
      <c r="C47" s="5"/>
      <c r="D47" s="5"/>
      <c r="F47" s="5" t="s">
        <v>50</v>
      </c>
      <c r="G47" s="51">
        <f>H47-(I48-1)*7</f>
        <v>44112</v>
      </c>
      <c r="H47" s="51">
        <f>G48-7</f>
        <v>44217</v>
      </c>
      <c r="I47" s="50">
        <f>I48</f>
        <v>16</v>
      </c>
      <c r="K47" s="7">
        <v>43</v>
      </c>
      <c r="M47" s="5" t="str" cm="1">
        <f t="array" ref="M47">LOOKUP(2,1/($G$19:$G$35&lt;=$V47)/($H$19:$H$35&gt;=$V47),$F$19:$F$35)</f>
        <v>1H18</v>
      </c>
      <c r="N47" s="5" t="str" cm="1">
        <f t="array" ref="N47">LOOKUP(2,1/($G$8:$G$16&lt;=$V47)/($H$8:$H$16&gt;=$V47),$F$8:$F$16)</f>
        <v>FY18</v>
      </c>
      <c r="O47" s="5" t="str">
        <f>IFERROR(N47&amp;"-"&amp;COUNTIF($N$5:N47,N47),NA())</f>
        <v>FY18-17</v>
      </c>
      <c r="P47" s="5">
        <f>COUNTIF(V$5:V47,"&gt;="&amp;MAX($V:$V)-183)</f>
        <v>0</v>
      </c>
      <c r="Q47" s="5">
        <f>COUNTIF(V$5:V47,"&gt;="&amp;MAX($V:$V)-365)</f>
        <v>0</v>
      </c>
      <c r="R47" s="5" cm="1">
        <f t="array" ref="R47">LOOKUP(2,1/($G$46:$G$50&lt;=$V47)/($H$46:$H$50&gt;=$V47),$F$46:$F$50)</f>
        <v>0</v>
      </c>
      <c r="S47" s="5" cm="1">
        <f t="array" ref="S47">LOOKUP(2,1/($G$53:$G$56&lt;=$V47)/($H$53:$H$56&gt;=$V47),$F$53:$F$56)</f>
        <v>0</v>
      </c>
      <c r="T47" s="5" t="e">
        <f>IFERROR(IF($R47&gt;0,$R47&amp;"-"&amp;COUNTIF($R$5:$R47,$R47),NA()),NA())</f>
        <v>#N/A</v>
      </c>
      <c r="U47" s="5" t="e">
        <f>IFERROR(IF($S47&gt;0,$S47&amp;"-"&amp;COUNTIF($S$5:$S47,$S47),NA()),NA())</f>
        <v>#N/A</v>
      </c>
      <c r="V47" s="10">
        <v>43034</v>
      </c>
      <c r="W47" s="9">
        <v>12752664.964636879</v>
      </c>
      <c r="X47" s="9">
        <v>11847863.385395892</v>
      </c>
      <c r="Y47" s="8">
        <v>3000000</v>
      </c>
      <c r="AA47" s="48" t="e">
        <f t="shared" si="174"/>
        <v>#N/A</v>
      </c>
      <c r="AB47" s="12" t="e">
        <f t="shared" si="149"/>
        <v>#N/A</v>
      </c>
      <c r="AC47" s="15" t="e">
        <f t="shared" si="150"/>
        <v>#N/A</v>
      </c>
      <c r="AD47" s="14" t="e">
        <f t="shared" si="151"/>
        <v>#N/A</v>
      </c>
      <c r="AI47" s="18">
        <f t="shared" ref="AI47:AI73" si="184">AA5</f>
        <v>1</v>
      </c>
      <c r="AJ47" s="12">
        <f t="shared" ref="AJ47:AJ73" si="185">AB5</f>
        <v>45288</v>
      </c>
      <c r="AK47" s="11">
        <f t="shared" ref="AK47:AK73" si="186">AC5/1000000</f>
        <v>34.197531001416586</v>
      </c>
      <c r="AL47" s="11">
        <f t="shared" ref="AL47:AL73" si="187">AD5/1000000</f>
        <v>20</v>
      </c>
      <c r="AN47" s="13"/>
      <c r="AO47" s="13"/>
      <c r="AP47" s="40"/>
      <c r="AQ47" s="39"/>
      <c r="AR47" s="40"/>
      <c r="AS47" s="39"/>
      <c r="AU47" s="13"/>
      <c r="AW47" s="48">
        <f t="shared" si="175"/>
        <v>43</v>
      </c>
      <c r="AX47" s="12">
        <f t="shared" si="152"/>
        <v>45400</v>
      </c>
      <c r="AY47" s="15">
        <f t="shared" si="153"/>
        <v>30895473.575242456</v>
      </c>
      <c r="AZ47" s="14">
        <f t="shared" si="154"/>
        <v>12000000</v>
      </c>
      <c r="BB47" s="115">
        <v>50000000</v>
      </c>
      <c r="BC47" s="2">
        <f t="shared" si="176"/>
        <v>1</v>
      </c>
      <c r="BD47" s="39">
        <f t="shared" si="177"/>
        <v>67199002.942137957</v>
      </c>
      <c r="BE47" s="39">
        <f t="shared" si="178"/>
        <v>67199002.942137957</v>
      </c>
      <c r="BF47" s="39">
        <f t="shared" si="179"/>
        <v>67199002.942137957</v>
      </c>
      <c r="BG47" s="121">
        <f t="shared" si="180"/>
        <v>67.199002942137952</v>
      </c>
      <c r="BI47" s="18">
        <f t="shared" ref="BI47:BI78" si="188">AW5</f>
        <v>1</v>
      </c>
      <c r="BJ47" s="12">
        <f t="shared" ref="BJ47:BJ78" si="189">AX5</f>
        <v>45106</v>
      </c>
      <c r="BK47" s="11">
        <f t="shared" ref="BK47:BK78" si="190">AY5/1000000</f>
        <v>19.52442312302496</v>
      </c>
      <c r="BL47" s="11">
        <f t="shared" ref="BL47:BL78" si="191">AZ5/1000000</f>
        <v>4</v>
      </c>
      <c r="BN47" s="13"/>
      <c r="BO47" s="13"/>
      <c r="BP47" s="40">
        <v>450</v>
      </c>
      <c r="BQ47" s="39">
        <f t="shared" ref="BQ47" si="192">($BQ$8*BP47^2+$BR$8*BP47+$BS$8)*1000000</f>
        <v>505356000</v>
      </c>
      <c r="BR47" s="110"/>
      <c r="BS47" s="39"/>
      <c r="BU47" s="13"/>
      <c r="BW47" s="48" t="e">
        <f t="shared" si="156"/>
        <v>#N/A</v>
      </c>
      <c r="BX47" s="12" t="e">
        <f t="shared" si="157"/>
        <v>#N/A</v>
      </c>
      <c r="BY47" s="15" t="e">
        <f t="shared" si="158"/>
        <v>#N/A</v>
      </c>
      <c r="BZ47" s="14" t="e">
        <f t="shared" si="159"/>
        <v>#N/A</v>
      </c>
      <c r="CE47" s="18" t="str">
        <f t="shared" ref="CE47:CE78" si="193">BW5</f>
        <v>N1-1</v>
      </c>
      <c r="CF47" s="12">
        <f t="shared" ref="CF47:CF78" si="194">BX5</f>
        <v>44112</v>
      </c>
      <c r="CG47" s="11">
        <f t="shared" ref="CG47:CG78" si="195">BY5/1000000</f>
        <v>42.908867619337187</v>
      </c>
      <c r="CH47" s="11">
        <f t="shared" ref="CH47:CH78" si="196">BZ5/1000000</f>
        <v>20</v>
      </c>
      <c r="CJ47" s="13"/>
      <c r="CK47" s="13"/>
      <c r="CL47" s="48" t="e">
        <f t="shared" si="160"/>
        <v>#N/A</v>
      </c>
      <c r="CM47" s="12" t="e">
        <f t="shared" si="161"/>
        <v>#N/A</v>
      </c>
      <c r="CN47" s="49" t="e">
        <f t="shared" si="162"/>
        <v>#N/A</v>
      </c>
      <c r="CO47" s="49" t="e">
        <f t="shared" si="163"/>
        <v>#N/A</v>
      </c>
      <c r="CT47" s="18" t="str">
        <f t="shared" ref="CT47:CT78" si="197">CL5</f>
        <v>A1-1</v>
      </c>
      <c r="CU47" s="12">
        <f t="shared" ref="CU47:CU78" si="198">CM5</f>
        <v>44224</v>
      </c>
      <c r="CV47" s="11">
        <f t="shared" ref="CV47:CV78" si="199">CN5/1000000</f>
        <v>22.19027935542718</v>
      </c>
      <c r="CW47" s="11">
        <f t="shared" ref="CW47:CW78" si="200">CO5/1000000</f>
        <v>8</v>
      </c>
      <c r="CY47" s="13"/>
      <c r="DA47" s="48" t="e">
        <f t="shared" si="164"/>
        <v>#N/A</v>
      </c>
      <c r="DB47" s="12" t="e">
        <f t="shared" si="165"/>
        <v>#N/A</v>
      </c>
      <c r="DC47" s="15" t="e">
        <f t="shared" si="166"/>
        <v>#N/A</v>
      </c>
      <c r="DD47" s="14" t="e">
        <f t="shared" si="167"/>
        <v>#N/A</v>
      </c>
      <c r="DI47" s="18" t="str">
        <f t="shared" ref="DI47:DI78" si="201">DA5</f>
        <v>N2-1</v>
      </c>
      <c r="DJ47" s="12">
        <f t="shared" ref="DJ47:DJ78" si="202">DB5</f>
        <v>44707</v>
      </c>
      <c r="DK47" s="11">
        <f t="shared" ref="DK47:DK78" si="203">DC5/1000000</f>
        <v>21.016983155974454</v>
      </c>
      <c r="DL47" s="11">
        <f t="shared" ref="DL47:DL78" si="204">DD5/1000000</f>
        <v>4</v>
      </c>
      <c r="DN47" s="13"/>
      <c r="DO47" s="13"/>
      <c r="DP47" s="48" t="e">
        <f t="shared" si="168"/>
        <v>#N/A</v>
      </c>
      <c r="DQ47" s="12" t="e">
        <f t="shared" si="169"/>
        <v>#N/A</v>
      </c>
      <c r="DR47" s="15" t="e">
        <f t="shared" si="170"/>
        <v>#N/A</v>
      </c>
      <c r="DS47" s="14" t="e">
        <f t="shared" si="171"/>
        <v>#N/A</v>
      </c>
      <c r="DX47" s="18" t="str">
        <f t="shared" ref="DX47:DX78" si="205">DP5</f>
        <v>A2-1</v>
      </c>
      <c r="DY47" s="12">
        <f t="shared" ref="DY47:DY78" si="206">DQ5</f>
        <v>44819</v>
      </c>
      <c r="DZ47" s="11">
        <f t="shared" ref="DZ47:DZ78" si="207">DR5/1000000</f>
        <v>25.008818485861962</v>
      </c>
      <c r="EA47" s="11">
        <f t="shared" ref="EA47:EA78" si="208">DS5/1000000</f>
        <v>8</v>
      </c>
      <c r="EC47" s="13"/>
      <c r="ED47" s="13"/>
      <c r="EE47" s="40"/>
      <c r="EF47" s="39"/>
      <c r="EG47" s="40"/>
      <c r="EH47" s="39"/>
      <c r="EJ47" s="13"/>
      <c r="EK47" s="13"/>
      <c r="EL47" s="47" t="str">
        <f t="shared" si="172"/>
        <v>FY18-43</v>
      </c>
      <c r="EM47" s="46">
        <v>43216</v>
      </c>
      <c r="EN47" s="45">
        <v>11440443.356643355</v>
      </c>
      <c r="EO47" s="44">
        <f t="shared" si="173"/>
        <v>3000000</v>
      </c>
      <c r="EQ47" s="1">
        <v>5</v>
      </c>
      <c r="ER47" s="1">
        <v>30</v>
      </c>
      <c r="ET47" s="12" t="str">
        <f t="shared" ref="ET47:ET78" si="209">EL5</f>
        <v>FY18-1</v>
      </c>
      <c r="EU47" s="12">
        <f t="shared" ref="EU47:EU78" si="210">EM5</f>
        <v>42922</v>
      </c>
      <c r="EV47" s="11">
        <f t="shared" ref="EV47:EV78" si="211">EN5/1000000</f>
        <v>14.311103305157838</v>
      </c>
      <c r="EW47" s="11">
        <f t="shared" ref="EW47:EW78" si="212">EO5/1000000</f>
        <v>3</v>
      </c>
      <c r="EX47" s="13"/>
      <c r="EY47" s="13"/>
      <c r="EZ47" s="13"/>
      <c r="FA47" s="16" t="s">
        <v>33</v>
      </c>
      <c r="FB47" s="16">
        <v>43580</v>
      </c>
      <c r="FC47" s="15">
        <v>22688576.025744166</v>
      </c>
      <c r="FD47" s="14">
        <v>20000000</v>
      </c>
      <c r="FF47" s="1">
        <v>100000000</v>
      </c>
      <c r="FI47" s="12" t="str">
        <f t="shared" ref="FI47:FI78" si="213">FA5</f>
        <v>FY19</v>
      </c>
      <c r="FJ47" s="12">
        <f t="shared" ref="FJ47:FJ78" si="214">FB5</f>
        <v>43286</v>
      </c>
      <c r="FK47" s="11">
        <f t="shared" ref="FK47:FK78" si="215">FC5/1000000</f>
        <v>20.852316083916079</v>
      </c>
      <c r="FL47" s="11">
        <f t="shared" ref="FL47:FL78" si="216">FD5/1000000</f>
        <v>12</v>
      </c>
      <c r="FN47" s="13"/>
      <c r="FO47" s="13"/>
      <c r="FP47" s="40"/>
      <c r="FQ47" s="39"/>
      <c r="FR47" s="40"/>
      <c r="FS47" s="39"/>
      <c r="FU47" s="13"/>
      <c r="FV47" s="13"/>
      <c r="FW47" s="16" t="s">
        <v>39</v>
      </c>
      <c r="FX47" s="16">
        <v>43944</v>
      </c>
      <c r="FY47" s="15">
        <v>40886779.446640313</v>
      </c>
      <c r="FZ47" s="14">
        <v>20000000</v>
      </c>
      <c r="GB47" s="14">
        <v>200000000</v>
      </c>
      <c r="GC47" s="14">
        <v>150000000</v>
      </c>
      <c r="GD47" s="14">
        <v>150000000</v>
      </c>
      <c r="GF47" s="12" t="str">
        <f t="shared" ref="GF47:GF78" si="217">FW5</f>
        <v>FY20</v>
      </c>
      <c r="GG47" s="12">
        <f t="shared" ref="GG47:GG78" si="218">FX5</f>
        <v>43650</v>
      </c>
      <c r="GH47" s="11">
        <f t="shared" ref="GH47:GH78" si="219">FY5/1000000</f>
        <v>52.868604987932429</v>
      </c>
      <c r="GI47" s="11">
        <f t="shared" ref="GI47:GI78" si="220">FZ5/1000000</f>
        <v>60</v>
      </c>
      <c r="GK47" s="13"/>
      <c r="GL47" s="13"/>
      <c r="GM47" s="40"/>
      <c r="GN47" s="39"/>
      <c r="GO47" s="40"/>
      <c r="GP47" s="39"/>
      <c r="GR47" s="13"/>
      <c r="GS47" s="13"/>
      <c r="GT47" s="16" t="s">
        <v>38</v>
      </c>
      <c r="GU47" s="16">
        <v>44308</v>
      </c>
      <c r="GV47" s="15">
        <v>118500310.611128</v>
      </c>
      <c r="GW47" s="14">
        <v>80000000</v>
      </c>
      <c r="HB47" s="12" t="str">
        <f t="shared" ref="HB47:HB78" si="221">GT5</f>
        <v>FY21</v>
      </c>
      <c r="HC47" s="12">
        <f t="shared" ref="HC47:HC78" si="222">GU5</f>
        <v>44014</v>
      </c>
      <c r="HD47" s="11">
        <f t="shared" ref="HD47:HD78" si="223">GV5/1000000</f>
        <v>69.318618911523259</v>
      </c>
      <c r="HE47" s="11">
        <f t="shared" ref="HE47:HE78" si="224">GW5/1000000</f>
        <v>50</v>
      </c>
      <c r="HG47" s="13"/>
      <c r="HH47" s="13"/>
      <c r="HI47" s="16" t="s">
        <v>35</v>
      </c>
      <c r="HJ47" s="16">
        <v>44672</v>
      </c>
      <c r="HK47" s="15">
        <v>24232711.705685619</v>
      </c>
      <c r="HL47" s="14">
        <v>8000000</v>
      </c>
      <c r="HQ47" s="12" t="str">
        <f t="shared" ref="HQ47:HQ78" si="225">HI5</f>
        <v>FY22</v>
      </c>
      <c r="HR47" s="12">
        <f t="shared" ref="HR47:HR78" si="226">HJ5</f>
        <v>44378</v>
      </c>
      <c r="HS47" s="11">
        <f t="shared" ref="HS47:HS78" si="227">HK5/1000000</f>
        <v>77.623219458802055</v>
      </c>
      <c r="HT47" s="11">
        <f t="shared" ref="HT47:HT78" si="228">HL5/1000000</f>
        <v>60</v>
      </c>
      <c r="HV47" s="13"/>
      <c r="HW47" s="13"/>
      <c r="HX47" s="40"/>
      <c r="HY47" s="39"/>
      <c r="HZ47" s="40"/>
      <c r="IA47" s="39"/>
      <c r="IC47" s="13"/>
      <c r="ID47" s="13"/>
      <c r="IE47" s="16" t="s">
        <v>37</v>
      </c>
      <c r="IF47" s="16">
        <v>45043</v>
      </c>
      <c r="IG47" s="15">
        <v>27045895.28732137</v>
      </c>
      <c r="IH47" s="14">
        <v>8000000</v>
      </c>
      <c r="IM47" s="59">
        <v>-6.0000000000000002E-5</v>
      </c>
      <c r="IN47" s="59">
        <v>1.67E-2</v>
      </c>
      <c r="IO47" s="59">
        <v>0.48</v>
      </c>
      <c r="IP47" s="59">
        <v>20.736999999999998</v>
      </c>
      <c r="IR47" s="13"/>
      <c r="IS47" s="13"/>
      <c r="IT47" s="60" t="s">
        <v>90</v>
      </c>
      <c r="IU47" s="59">
        <v>-1.5E-3</v>
      </c>
      <c r="IV47" s="59">
        <v>1.2149000000000001</v>
      </c>
      <c r="IW47" s="59">
        <v>16.093</v>
      </c>
      <c r="IY47" s="13"/>
      <c r="IZ47" s="13"/>
      <c r="JA47" s="16" t="s">
        <v>115</v>
      </c>
      <c r="JB47" s="16">
        <v>45407</v>
      </c>
      <c r="JC47" s="15">
        <v>37208673.640623301</v>
      </c>
      <c r="JD47" s="14">
        <v>20000000</v>
      </c>
      <c r="JI47" s="59">
        <v>-6.0000000000000002E-5</v>
      </c>
      <c r="JJ47" s="59">
        <v>1.67E-2</v>
      </c>
      <c r="JK47" s="59">
        <v>0.48</v>
      </c>
      <c r="JL47" s="59">
        <v>20.736999999999998</v>
      </c>
      <c r="JN47" s="13"/>
      <c r="JO47" s="13"/>
      <c r="JP47" s="40">
        <v>70</v>
      </c>
      <c r="JQ47" s="39">
        <f t="shared" si="182"/>
        <v>93786000.000000015</v>
      </c>
      <c r="JR47" s="40">
        <v>220</v>
      </c>
      <c r="JS47" s="39">
        <f t="shared" si="183"/>
        <v>210771000</v>
      </c>
      <c r="JU47" s="13"/>
      <c r="JV47" s="13"/>
      <c r="MY47" s="16" t="s">
        <v>34</v>
      </c>
      <c r="MZ47" s="16">
        <v>43132</v>
      </c>
      <c r="NA47" s="15">
        <v>12804440</v>
      </c>
      <c r="NB47" s="14">
        <v>3000000</v>
      </c>
      <c r="NG47" s="12" t="str">
        <f t="shared" ref="NG47:NG82" si="229">MY5</f>
        <v>FY17</v>
      </c>
      <c r="NH47" s="12">
        <f t="shared" ref="NH47:NH82" si="230">MZ5</f>
        <v>42838</v>
      </c>
      <c r="NI47" s="11">
        <f t="shared" ref="NI47:NI82" si="231">NA5/1000000</f>
        <v>17.646640000000001</v>
      </c>
      <c r="NJ47" s="11">
        <f t="shared" ref="NJ47:NJ82" si="232">NB5/1000000</f>
        <v>6</v>
      </c>
      <c r="NL47" s="13"/>
      <c r="NN47" s="16" t="s">
        <v>33</v>
      </c>
      <c r="NO47" s="16">
        <v>43503</v>
      </c>
      <c r="NP47" s="15">
        <v>25782900</v>
      </c>
      <c r="NQ47" s="14">
        <v>12000000</v>
      </c>
      <c r="NV47" s="12" t="str">
        <f t="shared" ref="NV47:NV82" si="233">NN5</f>
        <v>FY18</v>
      </c>
      <c r="NW47" s="12">
        <f t="shared" ref="NW47:NW82" si="234">NO5</f>
        <v>43209</v>
      </c>
      <c r="NX47" s="11">
        <f t="shared" ref="NX47:NX82" si="235">NP5/1000000</f>
        <v>18.243324000000001</v>
      </c>
      <c r="NY47" s="11">
        <f t="shared" ref="NY47:NY82" si="236">NQ5/1000000</f>
        <v>8</v>
      </c>
      <c r="OA47" s="13"/>
      <c r="OB47" s="1"/>
    </row>
    <row r="48" spans="2:392" x14ac:dyDescent="0.2">
      <c r="B48" s="5"/>
      <c r="C48" s="5"/>
      <c r="D48" s="5"/>
      <c r="F48" s="5" t="s">
        <v>49</v>
      </c>
      <c r="G48" s="53">
        <v>44224</v>
      </c>
      <c r="H48" s="53">
        <v>44329</v>
      </c>
      <c r="I48" s="50">
        <f>INT((WEEKDAY($G48-5)-$G48+$H48)/7)</f>
        <v>16</v>
      </c>
      <c r="K48" s="7">
        <v>44</v>
      </c>
      <c r="M48" s="5" t="str" cm="1">
        <f t="array" ref="M48">LOOKUP(2,1/($G$19:$G$35&lt;=$V48)/($H$19:$H$35&gt;=$V48),$F$19:$F$35)</f>
        <v>1H18</v>
      </c>
      <c r="N48" s="5" t="str" cm="1">
        <f t="array" ref="N48">LOOKUP(2,1/($G$8:$G$16&lt;=$V48)/($H$8:$H$16&gt;=$V48),$F$8:$F$16)</f>
        <v>FY18</v>
      </c>
      <c r="O48" s="5" t="str">
        <f>IFERROR(N48&amp;"-"&amp;COUNTIF($N$5:N48,N48),NA())</f>
        <v>FY18-18</v>
      </c>
      <c r="P48" s="5">
        <f>COUNTIF(V$5:V48,"&gt;="&amp;MAX($V:$V)-183)</f>
        <v>0</v>
      </c>
      <c r="Q48" s="5">
        <f>COUNTIF(V$5:V48,"&gt;="&amp;MAX($V:$V)-365)</f>
        <v>0</v>
      </c>
      <c r="R48" s="5" cm="1">
        <f t="array" ref="R48">LOOKUP(2,1/($G$46:$G$50&lt;=$V48)/($H$46:$H$50&gt;=$V48),$F$46:$F$50)</f>
        <v>0</v>
      </c>
      <c r="S48" s="5" cm="1">
        <f t="array" ref="S48">LOOKUP(2,1/($G$53:$G$56&lt;=$V48)/($H$53:$H$56&gt;=$V48),$F$53:$F$56)</f>
        <v>0</v>
      </c>
      <c r="T48" s="5" t="e">
        <f>IFERROR(IF($R48&gt;0,$R48&amp;"-"&amp;COUNTIF($R$5:$R48,$R48),NA()),NA())</f>
        <v>#N/A</v>
      </c>
      <c r="U48" s="5" t="e">
        <f>IFERROR(IF($S48&gt;0,$S48&amp;"-"&amp;COUNTIF($S$5:$S48,$S48),NA()),NA())</f>
        <v>#N/A</v>
      </c>
      <c r="V48" s="10">
        <v>43041</v>
      </c>
      <c r="W48" s="9">
        <v>16170259.991374848</v>
      </c>
      <c r="X48" s="9">
        <v>15022980.044986801</v>
      </c>
      <c r="Y48" s="8">
        <v>6000000</v>
      </c>
      <c r="AA48" s="48" t="e">
        <f t="shared" si="174"/>
        <v>#N/A</v>
      </c>
      <c r="AB48" s="12" t="e">
        <f t="shared" si="149"/>
        <v>#N/A</v>
      </c>
      <c r="AC48" s="15" t="e">
        <f t="shared" si="150"/>
        <v>#N/A</v>
      </c>
      <c r="AD48" s="14" t="e">
        <f t="shared" si="151"/>
        <v>#N/A</v>
      </c>
      <c r="AI48" s="18">
        <f t="shared" si="184"/>
        <v>2</v>
      </c>
      <c r="AJ48" s="12">
        <f t="shared" si="185"/>
        <v>45295</v>
      </c>
      <c r="AK48" s="11">
        <f t="shared" si="186"/>
        <v>45.025587337910004</v>
      </c>
      <c r="AL48" s="11">
        <f t="shared" si="187"/>
        <v>30</v>
      </c>
      <c r="AN48" s="13"/>
      <c r="AO48" s="13"/>
      <c r="AP48" s="38" t="s">
        <v>48</v>
      </c>
      <c r="AQ48" s="38" t="s">
        <v>26</v>
      </c>
      <c r="AR48" s="38" t="s">
        <v>25</v>
      </c>
      <c r="AS48" s="38" t="s">
        <v>24</v>
      </c>
      <c r="AU48" s="13"/>
      <c r="AW48" s="48">
        <f t="shared" si="175"/>
        <v>44</v>
      </c>
      <c r="AX48" s="12">
        <f t="shared" si="152"/>
        <v>45407</v>
      </c>
      <c r="AY48" s="15">
        <f t="shared" si="153"/>
        <v>37208673.640623301</v>
      </c>
      <c r="AZ48" s="14">
        <f t="shared" si="154"/>
        <v>20000000</v>
      </c>
      <c r="BB48" s="115">
        <v>60000000</v>
      </c>
      <c r="BC48" s="2">
        <f t="shared" si="176"/>
        <v>3</v>
      </c>
      <c r="BD48" s="39">
        <f t="shared" si="177"/>
        <v>77952955.649994567</v>
      </c>
      <c r="BE48" s="39">
        <f t="shared" si="178"/>
        <v>82659230.394827664</v>
      </c>
      <c r="BF48" s="39">
        <f t="shared" si="179"/>
        <v>85385106.4618067</v>
      </c>
      <c r="BG48" s="121">
        <f t="shared" si="180"/>
        <v>82.659230394827659</v>
      </c>
      <c r="BI48" s="18">
        <f t="shared" si="188"/>
        <v>2</v>
      </c>
      <c r="BJ48" s="12">
        <f t="shared" si="189"/>
        <v>45113</v>
      </c>
      <c r="BK48" s="11">
        <f t="shared" si="190"/>
        <v>31.154789255748071</v>
      </c>
      <c r="BL48" s="11">
        <f t="shared" si="191"/>
        <v>12</v>
      </c>
      <c r="BN48" s="13"/>
      <c r="BO48" s="13"/>
      <c r="BP48" s="40"/>
      <c r="BQ48" s="39"/>
      <c r="BR48" s="110"/>
      <c r="BS48" s="39"/>
      <c r="BU48" s="13"/>
      <c r="BW48" s="48" t="e">
        <f t="shared" si="156"/>
        <v>#N/A</v>
      </c>
      <c r="BX48" s="12" t="e">
        <f t="shared" si="157"/>
        <v>#N/A</v>
      </c>
      <c r="BY48" s="15" t="e">
        <f t="shared" si="158"/>
        <v>#N/A</v>
      </c>
      <c r="BZ48" s="14" t="e">
        <f t="shared" si="159"/>
        <v>#N/A</v>
      </c>
      <c r="CE48" s="18" t="str">
        <f t="shared" si="193"/>
        <v>N1-2</v>
      </c>
      <c r="CF48" s="12">
        <f t="shared" si="194"/>
        <v>44119</v>
      </c>
      <c r="CG48" s="11">
        <f t="shared" si="195"/>
        <v>61.499423776223779</v>
      </c>
      <c r="CH48" s="11">
        <f t="shared" si="196"/>
        <v>40</v>
      </c>
      <c r="CJ48" s="13"/>
      <c r="CK48" s="13"/>
      <c r="CL48" s="48" t="e">
        <f t="shared" si="160"/>
        <v>#N/A</v>
      </c>
      <c r="CM48" s="12" t="e">
        <f t="shared" si="161"/>
        <v>#N/A</v>
      </c>
      <c r="CN48" s="49" t="e">
        <f t="shared" si="162"/>
        <v>#N/A</v>
      </c>
      <c r="CO48" s="49" t="e">
        <f t="shared" si="163"/>
        <v>#N/A</v>
      </c>
      <c r="CT48" s="18" t="str">
        <f t="shared" si="197"/>
        <v>A1-2</v>
      </c>
      <c r="CU48" s="12">
        <f t="shared" si="198"/>
        <v>44231</v>
      </c>
      <c r="CV48" s="11">
        <f t="shared" si="199"/>
        <v>36.953457707509884</v>
      </c>
      <c r="CW48" s="11">
        <f t="shared" si="200"/>
        <v>20</v>
      </c>
      <c r="CY48" s="13"/>
      <c r="DA48" s="48" t="e">
        <f t="shared" si="164"/>
        <v>#N/A</v>
      </c>
      <c r="DB48" s="12" t="e">
        <f t="shared" si="165"/>
        <v>#N/A</v>
      </c>
      <c r="DC48" s="15" t="e">
        <f t="shared" si="166"/>
        <v>#N/A</v>
      </c>
      <c r="DD48" s="14" t="e">
        <f t="shared" si="167"/>
        <v>#N/A</v>
      </c>
      <c r="DI48" s="18" t="str">
        <f t="shared" si="201"/>
        <v>N2-2</v>
      </c>
      <c r="DJ48" s="12">
        <f t="shared" si="202"/>
        <v>44714</v>
      </c>
      <c r="DK48" s="11">
        <f t="shared" si="203"/>
        <v>21.125759318941927</v>
      </c>
      <c r="DL48" s="11">
        <f t="shared" si="204"/>
        <v>4</v>
      </c>
      <c r="DN48" s="13"/>
      <c r="DO48" s="13"/>
      <c r="DP48" s="48" t="e">
        <f t="shared" si="168"/>
        <v>#N/A</v>
      </c>
      <c r="DQ48" s="12" t="e">
        <f t="shared" si="169"/>
        <v>#N/A</v>
      </c>
      <c r="DR48" s="15" t="e">
        <f t="shared" si="170"/>
        <v>#N/A</v>
      </c>
      <c r="DS48" s="14" t="e">
        <f t="shared" si="171"/>
        <v>#N/A</v>
      </c>
      <c r="DX48" s="18" t="str">
        <f t="shared" si="205"/>
        <v>A2-2</v>
      </c>
      <c r="DY48" s="12">
        <f t="shared" si="206"/>
        <v>44826</v>
      </c>
      <c r="DZ48" s="11">
        <f t="shared" si="207"/>
        <v>22.65982973548191</v>
      </c>
      <c r="EA48" s="11">
        <f t="shared" si="208"/>
        <v>8</v>
      </c>
      <c r="EC48" s="13"/>
      <c r="ED48" s="13"/>
      <c r="EE48" s="38" t="s">
        <v>27</v>
      </c>
      <c r="EF48" s="38" t="s">
        <v>26</v>
      </c>
      <c r="EG48" s="38" t="s">
        <v>25</v>
      </c>
      <c r="EH48" s="38" t="s">
        <v>24</v>
      </c>
      <c r="EJ48" s="13"/>
      <c r="EK48" s="13"/>
      <c r="EL48" s="47" t="str">
        <f t="shared" si="172"/>
        <v>FY18-44</v>
      </c>
      <c r="EM48" s="46">
        <v>43223</v>
      </c>
      <c r="EN48" s="45">
        <v>15861424.030514937</v>
      </c>
      <c r="EO48" s="44">
        <f t="shared" si="173"/>
        <v>8000000</v>
      </c>
      <c r="EQ48" s="1">
        <v>6</v>
      </c>
      <c r="ER48" s="1">
        <v>40</v>
      </c>
      <c r="ET48" s="12" t="str">
        <f t="shared" si="209"/>
        <v>FY18-2</v>
      </c>
      <c r="EU48" s="12">
        <f t="shared" si="210"/>
        <v>42929</v>
      </c>
      <c r="EV48" s="11">
        <f t="shared" si="211"/>
        <v>15.800128126617214</v>
      </c>
      <c r="EW48" s="11">
        <f t="shared" si="212"/>
        <v>6</v>
      </c>
      <c r="EX48" s="13"/>
      <c r="EY48" s="13"/>
      <c r="EZ48" s="13"/>
      <c r="FA48" s="16" t="s">
        <v>33</v>
      </c>
      <c r="FB48" s="16">
        <v>43587</v>
      </c>
      <c r="FC48" s="15">
        <v>34273410.483321987</v>
      </c>
      <c r="FD48" s="14">
        <v>30000000</v>
      </c>
      <c r="FI48" s="12" t="str">
        <f t="shared" si="213"/>
        <v>FY19</v>
      </c>
      <c r="FJ48" s="12">
        <f t="shared" si="214"/>
        <v>43293</v>
      </c>
      <c r="FK48" s="11">
        <f t="shared" si="215"/>
        <v>26.842498410680225</v>
      </c>
      <c r="FL48" s="11">
        <f t="shared" si="216"/>
        <v>20</v>
      </c>
      <c r="FN48" s="13"/>
      <c r="FO48" s="13"/>
      <c r="FP48" s="38" t="s">
        <v>27</v>
      </c>
      <c r="FQ48" s="38" t="s">
        <v>26</v>
      </c>
      <c r="FR48" s="38" t="s">
        <v>25</v>
      </c>
      <c r="FS48" s="38" t="s">
        <v>24</v>
      </c>
      <c r="FU48" s="13"/>
      <c r="FV48" s="13"/>
      <c r="FW48" s="16" t="s">
        <v>39</v>
      </c>
      <c r="FX48" s="16">
        <v>43951</v>
      </c>
      <c r="FY48" s="15">
        <v>17546634.478564911</v>
      </c>
      <c r="FZ48" s="14">
        <v>3000000</v>
      </c>
      <c r="GF48" s="12" t="str">
        <f t="shared" si="217"/>
        <v>FY20</v>
      </c>
      <c r="GG48" s="12">
        <f t="shared" si="218"/>
        <v>43657</v>
      </c>
      <c r="GH48" s="11">
        <f t="shared" si="219"/>
        <v>73.766786311034096</v>
      </c>
      <c r="GI48" s="11">
        <f t="shared" si="220"/>
        <v>80</v>
      </c>
      <c r="GK48" s="13"/>
      <c r="GL48" s="13"/>
      <c r="GM48" s="38" t="s">
        <v>27</v>
      </c>
      <c r="GN48" s="38" t="s">
        <v>26</v>
      </c>
      <c r="GO48" s="38" t="s">
        <v>25</v>
      </c>
      <c r="GP48" s="38" t="s">
        <v>24</v>
      </c>
      <c r="GR48" s="13"/>
      <c r="GS48" s="13"/>
      <c r="GT48" s="16" t="s">
        <v>38</v>
      </c>
      <c r="GU48" s="16">
        <v>44315</v>
      </c>
      <c r="GV48" s="15">
        <v>24573953.906962603</v>
      </c>
      <c r="GW48" s="14">
        <v>8000000</v>
      </c>
      <c r="HB48" s="12" t="str">
        <f t="shared" si="221"/>
        <v>FY21</v>
      </c>
      <c r="HC48" s="12">
        <f t="shared" si="222"/>
        <v>44021</v>
      </c>
      <c r="HD48" s="11">
        <f t="shared" si="223"/>
        <v>107.88941027667983</v>
      </c>
      <c r="HE48" s="11">
        <f t="shared" si="224"/>
        <v>80</v>
      </c>
      <c r="HG48" s="13"/>
      <c r="HH48" s="13"/>
      <c r="HI48" s="16" t="s">
        <v>35</v>
      </c>
      <c r="HJ48" s="16">
        <v>44679</v>
      </c>
      <c r="HK48" s="15">
        <v>39401901.124961987</v>
      </c>
      <c r="HL48" s="14">
        <v>20000000</v>
      </c>
      <c r="HQ48" s="12" t="str">
        <f t="shared" si="225"/>
        <v>FY22</v>
      </c>
      <c r="HR48" s="12">
        <f t="shared" si="226"/>
        <v>44385</v>
      </c>
      <c r="HS48" s="11">
        <f t="shared" si="227"/>
        <v>18.162558102766802</v>
      </c>
      <c r="HT48" s="11">
        <f t="shared" si="228"/>
        <v>3</v>
      </c>
      <c r="HV48" s="13"/>
      <c r="HW48" s="13"/>
      <c r="HX48" s="38" t="s">
        <v>27</v>
      </c>
      <c r="HY48" s="38" t="s">
        <v>26</v>
      </c>
      <c r="HZ48" s="38" t="s">
        <v>25</v>
      </c>
      <c r="IA48" s="38" t="s">
        <v>24</v>
      </c>
      <c r="IC48" s="13"/>
      <c r="ID48" s="13"/>
      <c r="IE48" s="16" t="s">
        <v>37</v>
      </c>
      <c r="IF48" s="16">
        <v>45050</v>
      </c>
      <c r="IG48" s="15">
        <v>41813564.487686224</v>
      </c>
      <c r="IH48" s="14">
        <v>20000000</v>
      </c>
      <c r="IR48" s="13"/>
      <c r="IS48" s="13"/>
      <c r="IY48" s="13"/>
      <c r="IZ48" s="13"/>
      <c r="JA48" s="16" t="s">
        <v>115</v>
      </c>
      <c r="JB48" s="16">
        <v>45414</v>
      </c>
      <c r="JC48" s="15">
        <v>54983203.443391085</v>
      </c>
      <c r="JD48" s="14">
        <v>40000000</v>
      </c>
      <c r="JN48" s="13"/>
      <c r="JO48" s="13"/>
      <c r="JP48" s="40">
        <v>80</v>
      </c>
      <c r="JQ48" s="39">
        <f t="shared" si="182"/>
        <v>103685000.00000001</v>
      </c>
      <c r="JR48" s="40">
        <v>230</v>
      </c>
      <c r="JS48" s="39">
        <f t="shared" si="183"/>
        <v>216170000</v>
      </c>
      <c r="JU48" s="13"/>
      <c r="JV48" s="13"/>
      <c r="MY48" s="16" t="s">
        <v>34</v>
      </c>
      <c r="MZ48" s="16">
        <v>43139</v>
      </c>
      <c r="NA48" s="15">
        <v>16166920</v>
      </c>
      <c r="NB48" s="14">
        <v>6000000</v>
      </c>
      <c r="NG48" s="12" t="str">
        <f t="shared" si="229"/>
        <v>FY17</v>
      </c>
      <c r="NH48" s="12">
        <f t="shared" si="230"/>
        <v>42845</v>
      </c>
      <c r="NI48" s="11">
        <f t="shared" si="231"/>
        <v>23.499739999999999</v>
      </c>
      <c r="NJ48" s="11">
        <f t="shared" si="232"/>
        <v>10</v>
      </c>
      <c r="NL48" s="13"/>
      <c r="NN48" s="16" t="s">
        <v>33</v>
      </c>
      <c r="NO48" s="16">
        <v>43510</v>
      </c>
      <c r="NP48" s="15">
        <v>32237898</v>
      </c>
      <c r="NQ48" s="14">
        <v>20000000</v>
      </c>
      <c r="NV48" s="12" t="str">
        <f t="shared" si="233"/>
        <v>FY18</v>
      </c>
      <c r="NW48" s="12">
        <f t="shared" si="234"/>
        <v>43216</v>
      </c>
      <c r="NX48" s="11">
        <f t="shared" si="235"/>
        <v>11.782121999999999</v>
      </c>
      <c r="NY48" s="11">
        <f t="shared" si="236"/>
        <v>3</v>
      </c>
      <c r="OA48" s="13"/>
      <c r="OB48" s="1"/>
    </row>
    <row r="49" spans="2:392" x14ac:dyDescent="0.2">
      <c r="B49" s="5"/>
      <c r="C49" s="5"/>
      <c r="D49" s="5"/>
      <c r="F49" s="5" t="s">
        <v>47</v>
      </c>
      <c r="G49" s="51">
        <f>H48+7</f>
        <v>44336</v>
      </c>
      <c r="H49" s="51">
        <f>H48+(I47*7)</f>
        <v>44441</v>
      </c>
      <c r="I49" s="50">
        <f>I48</f>
        <v>16</v>
      </c>
      <c r="K49" s="7">
        <v>45</v>
      </c>
      <c r="M49" s="5" t="str" cm="1">
        <f t="array" ref="M49">LOOKUP(2,1/($G$19:$G$35&lt;=$V49)/($H$19:$H$35&gt;=$V49),$F$19:$F$35)</f>
        <v>1H18</v>
      </c>
      <c r="N49" s="5" t="str" cm="1">
        <f t="array" ref="N49">LOOKUP(2,1/($G$8:$G$16&lt;=$V49)/($H$8:$H$16&gt;=$V49),$F$8:$F$16)</f>
        <v>FY18</v>
      </c>
      <c r="O49" s="5" t="str">
        <f>IFERROR(N49&amp;"-"&amp;COUNTIF($N$5:N49,N49),NA())</f>
        <v>FY18-19</v>
      </c>
      <c r="P49" s="5">
        <f>COUNTIF(V$5:V49,"&gt;="&amp;MAX($V:$V)-183)</f>
        <v>0</v>
      </c>
      <c r="Q49" s="5">
        <f>COUNTIF(V$5:V49,"&gt;="&amp;MAX($V:$V)-365)</f>
        <v>0</v>
      </c>
      <c r="R49" s="5" cm="1">
        <f t="array" ref="R49">LOOKUP(2,1/($G$46:$G$50&lt;=$V49)/($H$46:$H$50&gt;=$V49),$F$46:$F$50)</f>
        <v>0</v>
      </c>
      <c r="S49" s="5" cm="1">
        <f t="array" ref="S49">LOOKUP(2,1/($G$53:$G$56&lt;=$V49)/($H$53:$H$56&gt;=$V49),$F$53:$F$56)</f>
        <v>0</v>
      </c>
      <c r="T49" s="5" t="e">
        <f>IFERROR(IF($R49&gt;0,$R49&amp;"-"&amp;COUNTIF($R$5:$R49,$R49),NA()),NA())</f>
        <v>#N/A</v>
      </c>
      <c r="U49" s="5" t="e">
        <f>IFERROR(IF($S49&gt;0,$S49&amp;"-"&amp;COUNTIF($S$5:$S49,$S49),NA()),NA())</f>
        <v>#N/A</v>
      </c>
      <c r="V49" s="10">
        <v>43048</v>
      </c>
      <c r="W49" s="9">
        <v>13079537.52975677</v>
      </c>
      <c r="X49" s="9">
        <v>12151544.342020527</v>
      </c>
      <c r="Y49" s="8">
        <v>3000000</v>
      </c>
      <c r="AA49" s="48" t="e">
        <f t="shared" si="174"/>
        <v>#N/A</v>
      </c>
      <c r="AB49" s="12" t="e">
        <f t="shared" si="149"/>
        <v>#N/A</v>
      </c>
      <c r="AC49" s="15" t="e">
        <f t="shared" si="150"/>
        <v>#N/A</v>
      </c>
      <c r="AD49" s="14" t="e">
        <f t="shared" si="151"/>
        <v>#N/A</v>
      </c>
      <c r="AI49" s="18">
        <f t="shared" si="184"/>
        <v>3</v>
      </c>
      <c r="AJ49" s="12">
        <f t="shared" si="185"/>
        <v>45302</v>
      </c>
      <c r="AK49" s="11">
        <f t="shared" si="186"/>
        <v>67.199002942137952</v>
      </c>
      <c r="AL49" s="11">
        <f t="shared" si="187"/>
        <v>50</v>
      </c>
      <c r="AN49" s="13"/>
      <c r="AO49" s="13"/>
      <c r="AP49" s="18">
        <f t="shared" ref="AP49:AP80" si="237">IF(OR(ISBLANK(AA5),$AD5&gt;=$AQ$46),NA(),AA5)</f>
        <v>1</v>
      </c>
      <c r="AQ49" s="12">
        <f t="shared" ref="AQ49:AQ80" si="238">IF(OR(ISBLANK(AB5),$AD5&gt;=$AQ$46),NA(),AB5)</f>
        <v>45288</v>
      </c>
      <c r="AR49" s="11">
        <f t="shared" ref="AR49:AR80" si="239">IF(OR(ISBLANK(AC5),$AD5&gt;=$AQ$46),NA(),AC5/1000000)</f>
        <v>34.197531001416586</v>
      </c>
      <c r="AS49" s="11">
        <f t="shared" ref="AS49:AS80" si="240">IF(OR(ISBLANK(AD5),$AD5&gt;=$AQ$46),NA(),AD5/1000000)</f>
        <v>20</v>
      </c>
      <c r="AU49" s="13"/>
      <c r="AW49" s="48">
        <f t="shared" si="175"/>
        <v>45</v>
      </c>
      <c r="AX49" s="12">
        <f t="shared" si="152"/>
        <v>45414</v>
      </c>
      <c r="AY49" s="15">
        <f t="shared" si="153"/>
        <v>54983203.443391085</v>
      </c>
      <c r="AZ49" s="14">
        <f t="shared" si="154"/>
        <v>40000000</v>
      </c>
      <c r="BB49" s="115">
        <v>100000000</v>
      </c>
      <c r="BC49" s="2">
        <f t="shared" si="176"/>
        <v>3</v>
      </c>
      <c r="BD49" s="39">
        <f t="shared" si="177"/>
        <v>140290075.73281032</v>
      </c>
      <c r="BE49" s="39">
        <f t="shared" si="178"/>
        <v>150732235.11677748</v>
      </c>
      <c r="BF49" s="39">
        <f t="shared" si="179"/>
        <v>156823488.17696416</v>
      </c>
      <c r="BG49" s="121">
        <f t="shared" si="180"/>
        <v>150.73223511677747</v>
      </c>
      <c r="BI49" s="18">
        <f t="shared" si="188"/>
        <v>3</v>
      </c>
      <c r="BJ49" s="12">
        <f t="shared" si="189"/>
        <v>45120</v>
      </c>
      <c r="BK49" s="11">
        <f t="shared" si="190"/>
        <v>40.570238531110391</v>
      </c>
      <c r="BL49" s="11">
        <f t="shared" si="191"/>
        <v>20</v>
      </c>
      <c r="BN49" s="13"/>
      <c r="BO49" s="13"/>
      <c r="BP49" s="40"/>
      <c r="BQ49" s="39"/>
      <c r="BR49" s="110"/>
      <c r="BS49" s="39"/>
      <c r="BU49" s="13"/>
      <c r="BW49" s="48" t="e">
        <f t="shared" si="156"/>
        <v>#N/A</v>
      </c>
      <c r="BX49" s="12" t="e">
        <f t="shared" si="157"/>
        <v>#N/A</v>
      </c>
      <c r="BY49" s="15" t="e">
        <f t="shared" si="158"/>
        <v>#N/A</v>
      </c>
      <c r="BZ49" s="14" t="e">
        <f t="shared" si="159"/>
        <v>#N/A</v>
      </c>
      <c r="CE49" s="18" t="str">
        <f t="shared" si="193"/>
        <v>N1-3</v>
      </c>
      <c r="CF49" s="12">
        <f t="shared" si="194"/>
        <v>44126</v>
      </c>
      <c r="CG49" s="11">
        <f t="shared" si="195"/>
        <v>19.054887686226817</v>
      </c>
      <c r="CH49" s="11">
        <f t="shared" si="196"/>
        <v>3</v>
      </c>
      <c r="CJ49" s="13"/>
      <c r="CK49" s="13"/>
      <c r="CL49" s="48" t="e">
        <f t="shared" si="160"/>
        <v>#N/A</v>
      </c>
      <c r="CM49" s="12" t="e">
        <f t="shared" si="161"/>
        <v>#N/A</v>
      </c>
      <c r="CN49" s="49" t="e">
        <f t="shared" si="162"/>
        <v>#N/A</v>
      </c>
      <c r="CO49" s="49" t="e">
        <f t="shared" si="163"/>
        <v>#N/A</v>
      </c>
      <c r="CT49" s="18" t="str">
        <f t="shared" si="197"/>
        <v>A1-3</v>
      </c>
      <c r="CU49" s="12">
        <f t="shared" si="198"/>
        <v>44238</v>
      </c>
      <c r="CV49" s="11">
        <f t="shared" si="199"/>
        <v>48.994890605047111</v>
      </c>
      <c r="CW49" s="11">
        <f t="shared" si="200"/>
        <v>30</v>
      </c>
      <c r="CY49" s="13"/>
      <c r="DA49" s="48" t="e">
        <f t="shared" si="164"/>
        <v>#N/A</v>
      </c>
      <c r="DB49" s="12" t="e">
        <f t="shared" si="165"/>
        <v>#N/A</v>
      </c>
      <c r="DC49" s="15" t="e">
        <f t="shared" si="166"/>
        <v>#N/A</v>
      </c>
      <c r="DD49" s="14" t="e">
        <f t="shared" si="167"/>
        <v>#N/A</v>
      </c>
      <c r="DI49" s="18" t="str">
        <f t="shared" si="201"/>
        <v>N2-3</v>
      </c>
      <c r="DJ49" s="12">
        <f t="shared" si="202"/>
        <v>44721</v>
      </c>
      <c r="DK49" s="11">
        <f t="shared" si="203"/>
        <v>27.291882760717545</v>
      </c>
      <c r="DL49" s="11">
        <f t="shared" si="204"/>
        <v>8</v>
      </c>
      <c r="DN49" s="13"/>
      <c r="DO49" s="13"/>
      <c r="DP49" s="48" t="e">
        <f t="shared" si="168"/>
        <v>#N/A</v>
      </c>
      <c r="DQ49" s="12" t="e">
        <f t="shared" si="169"/>
        <v>#N/A</v>
      </c>
      <c r="DR49" s="15" t="e">
        <f t="shared" si="170"/>
        <v>#N/A</v>
      </c>
      <c r="DS49" s="14" t="e">
        <f t="shared" si="171"/>
        <v>#N/A</v>
      </c>
      <c r="DX49" s="18" t="str">
        <f t="shared" si="205"/>
        <v>A2-3</v>
      </c>
      <c r="DY49" s="12">
        <f t="shared" si="206"/>
        <v>44833</v>
      </c>
      <c r="DZ49" s="11">
        <f t="shared" si="207"/>
        <v>35.905405655214345</v>
      </c>
      <c r="EA49" s="11">
        <f t="shared" si="208"/>
        <v>20</v>
      </c>
      <c r="EC49" s="13"/>
      <c r="ED49" s="13"/>
      <c r="EE49" s="12" t="str">
        <f t="shared" ref="EE49:EE80" si="241">IF(OR(ISBLANK(DP5),$DS5&gt;=$EF$46),NA(),DP5)</f>
        <v>A2-1</v>
      </c>
      <c r="EF49" s="12">
        <f t="shared" ref="EF49:EF80" si="242">IF(OR(ISBLANK(DQ5),$DS5&gt;=$EF$46),NA(),DQ5)</f>
        <v>44819</v>
      </c>
      <c r="EG49" s="11">
        <f t="shared" ref="EG49:EG80" si="243">IF(OR(ISBLANK(DR5),$DS5&gt;=$EF$46),NA(),DR5/1000000)</f>
        <v>25.008818485861962</v>
      </c>
      <c r="EH49" s="11">
        <f t="shared" ref="EH49:EH80" si="244">IF(OR(ISBLANK(DS5),$DS5&gt;=$EF$46),NA(),DS5/1000000)</f>
        <v>8</v>
      </c>
      <c r="EJ49" s="13"/>
      <c r="EK49" s="13"/>
      <c r="EL49" s="47" t="str">
        <f t="shared" si="172"/>
        <v>FY18-45</v>
      </c>
      <c r="EM49" s="46">
        <v>43230</v>
      </c>
      <c r="EN49" s="45">
        <v>17697270.947234582</v>
      </c>
      <c r="EO49" s="44">
        <f t="shared" si="173"/>
        <v>12000000</v>
      </c>
      <c r="EQ49" s="1">
        <v>7</v>
      </c>
      <c r="ER49" s="1">
        <v>55</v>
      </c>
      <c r="ET49" s="12" t="str">
        <f t="shared" si="209"/>
        <v>FY18-3</v>
      </c>
      <c r="EU49" s="12">
        <f t="shared" si="210"/>
        <v>42936</v>
      </c>
      <c r="EV49" s="11">
        <f t="shared" si="211"/>
        <v>13.695982549594616</v>
      </c>
      <c r="EW49" s="11">
        <f t="shared" si="212"/>
        <v>3</v>
      </c>
      <c r="EX49" s="13"/>
      <c r="EY49" s="13"/>
      <c r="EZ49" s="13"/>
      <c r="FA49" s="16" t="s">
        <v>33</v>
      </c>
      <c r="FB49" s="16">
        <v>43594</v>
      </c>
      <c r="FC49" s="15">
        <v>12230604.616622316</v>
      </c>
      <c r="FD49" s="14">
        <v>3000000</v>
      </c>
      <c r="FI49" s="12" t="str">
        <f t="shared" si="213"/>
        <v>FY19</v>
      </c>
      <c r="FJ49" s="12">
        <f t="shared" si="214"/>
        <v>43300</v>
      </c>
      <c r="FK49" s="11">
        <f t="shared" si="215"/>
        <v>32.449661792752693</v>
      </c>
      <c r="FL49" s="11">
        <f t="shared" si="216"/>
        <v>30</v>
      </c>
      <c r="FN49" s="13"/>
      <c r="FO49" s="13"/>
      <c r="FP49" s="12" t="str">
        <f t="shared" ref="FP49:FP80" si="245">IF(OR(ISBLANK(FA5),$FD5&gt;=$FQ$46),NA(),FA5)</f>
        <v>FY19</v>
      </c>
      <c r="FQ49" s="12">
        <f t="shared" ref="FQ49:FQ80" si="246">IF(OR(ISBLANK(FB5),$FD5&gt;=$FQ$46),NA(),FB5)</f>
        <v>43286</v>
      </c>
      <c r="FR49" s="11">
        <f t="shared" ref="FR49:FR80" si="247">IF(OR(ISBLANK(FC5),$FD5&gt;=$FQ$46),NA(),FC5/1000000)</f>
        <v>20.852316083916079</v>
      </c>
      <c r="FS49" s="11">
        <f t="shared" ref="FS49:FS80" si="248">IF(OR(ISBLANK(FD5),$FD5&gt;=$FQ$46),NA(),FD5/1000000)</f>
        <v>12</v>
      </c>
      <c r="FU49" s="13"/>
      <c r="FV49" s="13"/>
      <c r="FW49" s="16" t="s">
        <v>39</v>
      </c>
      <c r="FX49" s="16">
        <v>43958</v>
      </c>
      <c r="FY49" s="15">
        <v>22952706.354515053</v>
      </c>
      <c r="FZ49" s="14">
        <v>8000000</v>
      </c>
      <c r="GF49" s="12" t="str">
        <f t="shared" si="217"/>
        <v>FY20</v>
      </c>
      <c r="GG49" s="12">
        <f t="shared" si="218"/>
        <v>43664</v>
      </c>
      <c r="GH49" s="11">
        <f t="shared" si="219"/>
        <v>149.65972894362272</v>
      </c>
      <c r="GI49" s="11">
        <f t="shared" si="220"/>
        <v>110</v>
      </c>
      <c r="GK49" s="13"/>
      <c r="GL49" s="13"/>
      <c r="GM49" s="12" t="str">
        <f t="shared" ref="GM49:GM80" si="249">IF(OR(ISBLANK(FW5),$FZ5&gt;=$GN$46),NA(),FW5)</f>
        <v>FY20</v>
      </c>
      <c r="GN49" s="12">
        <f t="shared" ref="GN49:GN80" si="250">IF(OR(ISBLANK(FX5),$FZ5&gt;=$GN$46),NA(),FX5)</f>
        <v>43650</v>
      </c>
      <c r="GO49" s="11">
        <f t="shared" ref="GO49:GO80" si="251">IF(OR(ISBLANK(FY5),$FZ5&gt;=$GN$46),NA(),FY5/1000000)</f>
        <v>52.868604987932429</v>
      </c>
      <c r="GP49" s="11">
        <f t="shared" ref="GP49:GP80" si="252">IF(OR(ISBLANK(FZ5),$FZ5&gt;=$GN$46),NA(),FZ5/1000000)</f>
        <v>60</v>
      </c>
      <c r="GR49" s="13"/>
      <c r="GS49" s="13"/>
      <c r="GT49" s="16" t="s">
        <v>38</v>
      </c>
      <c r="GU49" s="16">
        <v>44322</v>
      </c>
      <c r="GV49" s="15">
        <v>37110605.290361807</v>
      </c>
      <c r="GW49" s="14">
        <v>20000000</v>
      </c>
      <c r="HB49" s="12" t="str">
        <f t="shared" si="221"/>
        <v>FY21</v>
      </c>
      <c r="HC49" s="12">
        <f t="shared" si="222"/>
        <v>44028</v>
      </c>
      <c r="HD49" s="11">
        <f t="shared" si="223"/>
        <v>20.009448707813924</v>
      </c>
      <c r="HE49" s="11">
        <f t="shared" si="224"/>
        <v>3</v>
      </c>
      <c r="HG49" s="13"/>
      <c r="HH49" s="13"/>
      <c r="HI49" s="16" t="s">
        <v>35</v>
      </c>
      <c r="HJ49" s="16">
        <v>44686</v>
      </c>
      <c r="HK49" s="15">
        <v>58067244.025539674</v>
      </c>
      <c r="HL49" s="14">
        <v>40000000</v>
      </c>
      <c r="HQ49" s="12" t="str">
        <f t="shared" si="225"/>
        <v>FY22</v>
      </c>
      <c r="HR49" s="12">
        <f t="shared" si="226"/>
        <v>44392</v>
      </c>
      <c r="HS49" s="11">
        <f t="shared" si="227"/>
        <v>25.998846336272418</v>
      </c>
      <c r="HT49" s="11">
        <f t="shared" si="228"/>
        <v>8</v>
      </c>
      <c r="HV49" s="13"/>
      <c r="HW49" s="13"/>
      <c r="HX49" s="12" t="str">
        <f t="shared" ref="HX49:HX80" si="253">IF(OR(ISBLANK(HI5),$HL5&gt;=$HY$46),NA(),HI5)</f>
        <v>FY22</v>
      </c>
      <c r="HY49" s="12">
        <f t="shared" ref="HY49:HY80" si="254">IF(OR(ISBLANK(HJ5),$HL5&gt;=$HY$46),NA(),HJ5)</f>
        <v>44378</v>
      </c>
      <c r="HZ49" s="11">
        <f t="shared" ref="HZ49:HZ80" si="255">IF(OR(ISBLANK(HK5),$HL5&gt;=$HY$46),NA(),HK5/1000000)</f>
        <v>77.623219458802055</v>
      </c>
      <c r="IA49" s="11">
        <f t="shared" ref="IA49:IA80" si="256">IF(OR(ISBLANK(HL5),$HL5&gt;=$HY$46),NA(),HL5/1000000)</f>
        <v>60</v>
      </c>
      <c r="IC49" s="13"/>
      <c r="ID49" s="13"/>
      <c r="IE49" s="16" t="s">
        <v>37</v>
      </c>
      <c r="IF49" s="16">
        <v>45057</v>
      </c>
      <c r="IG49" s="15">
        <v>19348700.760109454</v>
      </c>
      <c r="IH49" s="14">
        <v>4000000</v>
      </c>
      <c r="IM49" s="2" t="s">
        <v>41</v>
      </c>
      <c r="IN49" s="2" t="s">
        <v>25</v>
      </c>
      <c r="IR49" s="13"/>
      <c r="IS49" s="13"/>
      <c r="IT49" s="2" t="s">
        <v>41</v>
      </c>
      <c r="IU49" s="2" t="s">
        <v>25</v>
      </c>
      <c r="IY49" s="13"/>
      <c r="IZ49" s="13"/>
      <c r="JA49" s="16" t="s">
        <v>115</v>
      </c>
      <c r="JB49" s="16">
        <v>45421</v>
      </c>
      <c r="JC49" s="15">
        <v>77952955.649994567</v>
      </c>
      <c r="JD49" s="14">
        <v>60000000</v>
      </c>
      <c r="JI49" s="100" t="s">
        <v>41</v>
      </c>
      <c r="JJ49" s="2" t="s">
        <v>25</v>
      </c>
      <c r="JN49" s="13"/>
      <c r="JO49" s="13"/>
      <c r="JP49" s="40">
        <v>90</v>
      </c>
      <c r="JQ49" s="39">
        <f t="shared" si="182"/>
        <v>113284000</v>
      </c>
      <c r="JR49" s="40">
        <v>240</v>
      </c>
      <c r="JS49" s="39">
        <f t="shared" si="183"/>
        <v>221269000</v>
      </c>
      <c r="JU49" s="13"/>
      <c r="JV49" s="13"/>
      <c r="MY49" s="16" t="s">
        <v>34</v>
      </c>
      <c r="MZ49" s="16">
        <v>43146</v>
      </c>
      <c r="NA49" s="15">
        <v>14281960</v>
      </c>
      <c r="NB49" s="14">
        <v>3000000</v>
      </c>
      <c r="NG49" s="12" t="str">
        <f t="shared" si="229"/>
        <v>FY17</v>
      </c>
      <c r="NH49" s="12">
        <f t="shared" si="230"/>
        <v>42852</v>
      </c>
      <c r="NI49" s="11">
        <f t="shared" si="231"/>
        <v>26.247979999999998</v>
      </c>
      <c r="NJ49" s="11">
        <f t="shared" si="232"/>
        <v>15</v>
      </c>
      <c r="NL49" s="13"/>
      <c r="NN49" s="16" t="s">
        <v>33</v>
      </c>
      <c r="NO49" s="16">
        <v>43517</v>
      </c>
      <c r="NP49" s="15">
        <v>39329268</v>
      </c>
      <c r="NQ49" s="14">
        <v>30000000</v>
      </c>
      <c r="NV49" s="12" t="str">
        <f t="shared" si="233"/>
        <v>FY18</v>
      </c>
      <c r="NW49" s="12">
        <f t="shared" si="234"/>
        <v>43223</v>
      </c>
      <c r="NX49" s="11">
        <f t="shared" si="235"/>
        <v>16.804853999999999</v>
      </c>
      <c r="NY49" s="11">
        <f t="shared" si="236"/>
        <v>8</v>
      </c>
      <c r="OA49" s="13"/>
      <c r="OB49" s="1"/>
    </row>
    <row r="50" spans="2:392" x14ac:dyDescent="0.2">
      <c r="B50" s="5"/>
      <c r="C50" s="5"/>
      <c r="D50" s="5"/>
      <c r="F50" s="5">
        <v>0</v>
      </c>
      <c r="G50" s="51">
        <f>H49+1</f>
        <v>44442</v>
      </c>
      <c r="H50" s="51">
        <f>EOMONTH(MAX($V:$V),0)</f>
        <v>45473</v>
      </c>
      <c r="I50" s="50"/>
      <c r="K50" s="7">
        <v>46</v>
      </c>
      <c r="M50" s="5" t="str" cm="1">
        <f t="array" ref="M50">LOOKUP(2,1/($G$19:$G$35&lt;=$V50)/($H$19:$H$35&gt;=$V50),$F$19:$F$35)</f>
        <v>1H18</v>
      </c>
      <c r="N50" s="5" t="str" cm="1">
        <f t="array" ref="N50">LOOKUP(2,1/($G$8:$G$16&lt;=$V50)/($H$8:$H$16&gt;=$V50),$F$8:$F$16)</f>
        <v>FY18</v>
      </c>
      <c r="O50" s="5" t="str">
        <f>IFERROR(N50&amp;"-"&amp;COUNTIF($N$5:N50,N50),NA())</f>
        <v>FY18-20</v>
      </c>
      <c r="P50" s="5">
        <f>COUNTIF(V$5:V50,"&gt;="&amp;MAX($V:$V)-183)</f>
        <v>0</v>
      </c>
      <c r="Q50" s="5">
        <f>COUNTIF(V$5:V50,"&gt;="&amp;MAX($V:$V)-365)</f>
        <v>0</v>
      </c>
      <c r="R50" s="5" cm="1">
        <f t="array" ref="R50">LOOKUP(2,1/($G$46:$G$50&lt;=$V50)/($H$46:$H$50&gt;=$V50),$F$46:$F$50)</f>
        <v>0</v>
      </c>
      <c r="S50" s="5" cm="1">
        <f t="array" ref="S50">LOOKUP(2,1/($G$53:$G$56&lt;=$V50)/($H$53:$H$56&gt;=$V50),$F$53:$F$56)</f>
        <v>0</v>
      </c>
      <c r="T50" s="5" t="e">
        <f>IFERROR(IF($R50&gt;0,$R50&amp;"-"&amp;COUNTIF($R$5:$R50,$R50),NA()),NA())</f>
        <v>#N/A</v>
      </c>
      <c r="U50" s="5" t="e">
        <f>IFERROR(IF($S50&gt;0,$S50&amp;"-"&amp;COUNTIF($S$5:$S50,$S50),NA()),NA())</f>
        <v>#N/A</v>
      </c>
      <c r="V50" s="10">
        <v>43055</v>
      </c>
      <c r="W50" s="9">
        <v>17451375.32171813</v>
      </c>
      <c r="X50" s="9">
        <v>16213200.242642228</v>
      </c>
      <c r="Y50" s="8">
        <v>6000000</v>
      </c>
      <c r="AA50" s="48" t="e">
        <f t="shared" si="174"/>
        <v>#N/A</v>
      </c>
      <c r="AB50" s="12" t="e">
        <f t="shared" si="149"/>
        <v>#N/A</v>
      </c>
      <c r="AC50" s="15" t="e">
        <f t="shared" si="150"/>
        <v>#N/A</v>
      </c>
      <c r="AD50" s="14" t="e">
        <f t="shared" si="151"/>
        <v>#N/A</v>
      </c>
      <c r="AI50" s="18">
        <f t="shared" si="184"/>
        <v>4</v>
      </c>
      <c r="AJ50" s="12">
        <f t="shared" si="185"/>
        <v>45309</v>
      </c>
      <c r="AK50" s="11">
        <f t="shared" si="186"/>
        <v>155.08314144055797</v>
      </c>
      <c r="AL50" s="11">
        <f t="shared" si="187"/>
        <v>100</v>
      </c>
      <c r="AN50" s="13"/>
      <c r="AO50" s="13"/>
      <c r="AP50" s="18">
        <f t="shared" si="237"/>
        <v>2</v>
      </c>
      <c r="AQ50" s="12">
        <f t="shared" si="238"/>
        <v>45295</v>
      </c>
      <c r="AR50" s="11">
        <f t="shared" si="239"/>
        <v>45.025587337910004</v>
      </c>
      <c r="AS50" s="11">
        <f t="shared" si="240"/>
        <v>30</v>
      </c>
      <c r="AU50" s="13"/>
      <c r="AW50" s="48">
        <f t="shared" si="175"/>
        <v>46</v>
      </c>
      <c r="AX50" s="12">
        <f t="shared" si="152"/>
        <v>45421</v>
      </c>
      <c r="AY50" s="15">
        <f t="shared" si="153"/>
        <v>77952955.649994567</v>
      </c>
      <c r="AZ50" s="14">
        <f t="shared" si="154"/>
        <v>60000000</v>
      </c>
      <c r="BI50" s="18">
        <f t="shared" si="188"/>
        <v>4</v>
      </c>
      <c r="BJ50" s="12">
        <f t="shared" si="189"/>
        <v>45127</v>
      </c>
      <c r="BK50" s="11">
        <f t="shared" si="190"/>
        <v>60.8369621880789</v>
      </c>
      <c r="BL50" s="11">
        <f t="shared" si="191"/>
        <v>40</v>
      </c>
      <c r="BN50" s="13"/>
      <c r="BO50" s="13"/>
      <c r="BP50" s="111">
        <v>4</v>
      </c>
      <c r="BQ50" s="39">
        <f t="shared" ref="BQ50:BQ79" si="257">($BQ$8*BP50^2+$BR$8*BP50+$BS$8)*1000000</f>
        <v>20910800</v>
      </c>
      <c r="BR50" s="120">
        <f>BQ50/1000000</f>
        <v>20.910799999999998</v>
      </c>
      <c r="BS50" s="39"/>
      <c r="BU50" s="13"/>
      <c r="BW50" s="48" t="e">
        <f t="shared" si="156"/>
        <v>#N/A</v>
      </c>
      <c r="BX50" s="12" t="e">
        <f t="shared" si="157"/>
        <v>#N/A</v>
      </c>
      <c r="BY50" s="15" t="e">
        <f t="shared" si="158"/>
        <v>#N/A</v>
      </c>
      <c r="BZ50" s="14" t="e">
        <f t="shared" si="159"/>
        <v>#N/A</v>
      </c>
      <c r="CE50" s="18" t="str">
        <f t="shared" si="193"/>
        <v>N1-4</v>
      </c>
      <c r="CF50" s="12">
        <f t="shared" si="194"/>
        <v>44133</v>
      </c>
      <c r="CG50" s="11">
        <f t="shared" si="195"/>
        <v>24.929902341137119</v>
      </c>
      <c r="CH50" s="11">
        <f t="shared" si="196"/>
        <v>8</v>
      </c>
      <c r="CJ50" s="13"/>
      <c r="CK50" s="13"/>
      <c r="CL50" s="48" t="e">
        <f t="shared" si="160"/>
        <v>#N/A</v>
      </c>
      <c r="CM50" s="12" t="e">
        <f t="shared" si="161"/>
        <v>#N/A</v>
      </c>
      <c r="CN50" s="49" t="e">
        <f t="shared" si="162"/>
        <v>#N/A</v>
      </c>
      <c r="CO50" s="49" t="e">
        <f t="shared" si="163"/>
        <v>#N/A</v>
      </c>
      <c r="CT50" s="18" t="str">
        <f t="shared" si="197"/>
        <v>A1-4</v>
      </c>
      <c r="CU50" s="12">
        <f t="shared" si="198"/>
        <v>44245</v>
      </c>
      <c r="CV50" s="11">
        <f t="shared" si="199"/>
        <v>78.306876740650651</v>
      </c>
      <c r="CW50" s="11">
        <f t="shared" si="200"/>
        <v>50</v>
      </c>
      <c r="CY50" s="13"/>
      <c r="DA50" s="48" t="e">
        <f t="shared" si="164"/>
        <v>#N/A</v>
      </c>
      <c r="DB50" s="12" t="e">
        <f t="shared" si="165"/>
        <v>#N/A</v>
      </c>
      <c r="DC50" s="15" t="e">
        <f t="shared" si="166"/>
        <v>#N/A</v>
      </c>
      <c r="DD50" s="14" t="e">
        <f t="shared" si="167"/>
        <v>#N/A</v>
      </c>
      <c r="DI50" s="18" t="str">
        <f t="shared" si="201"/>
        <v>N2-4</v>
      </c>
      <c r="DJ50" s="12">
        <f t="shared" si="202"/>
        <v>44728</v>
      </c>
      <c r="DK50" s="11">
        <f t="shared" si="203"/>
        <v>41.963661416844026</v>
      </c>
      <c r="DL50" s="11">
        <f t="shared" si="204"/>
        <v>20</v>
      </c>
      <c r="DN50" s="13"/>
      <c r="DO50" s="13"/>
      <c r="DP50" s="48" t="e">
        <f t="shared" si="168"/>
        <v>#N/A</v>
      </c>
      <c r="DQ50" s="12" t="e">
        <f t="shared" si="169"/>
        <v>#N/A</v>
      </c>
      <c r="DR50" s="15" t="e">
        <f t="shared" si="170"/>
        <v>#N/A</v>
      </c>
      <c r="DS50" s="14" t="e">
        <f t="shared" si="171"/>
        <v>#N/A</v>
      </c>
      <c r="DX50" s="18" t="str">
        <f t="shared" si="205"/>
        <v>A2-4</v>
      </c>
      <c r="DY50" s="12">
        <f t="shared" si="206"/>
        <v>44840</v>
      </c>
      <c r="DZ50" s="11">
        <f t="shared" si="207"/>
        <v>47.423181270903001</v>
      </c>
      <c r="EA50" s="11">
        <f t="shared" si="208"/>
        <v>30</v>
      </c>
      <c r="EC50" s="13"/>
      <c r="ED50" s="13"/>
      <c r="EE50" s="12" t="str">
        <f t="shared" si="241"/>
        <v>A2-2</v>
      </c>
      <c r="EF50" s="12">
        <f t="shared" si="242"/>
        <v>44826</v>
      </c>
      <c r="EG50" s="11">
        <f t="shared" si="243"/>
        <v>22.65982973548191</v>
      </c>
      <c r="EH50" s="11">
        <f t="shared" si="244"/>
        <v>8</v>
      </c>
      <c r="EJ50" s="13"/>
      <c r="EK50" s="13"/>
      <c r="EL50" s="47" t="str">
        <f t="shared" si="172"/>
        <v>FY18-46</v>
      </c>
      <c r="EM50" s="46">
        <v>43237</v>
      </c>
      <c r="EN50" s="45">
        <v>26087560.584869672</v>
      </c>
      <c r="EO50" s="44">
        <f t="shared" si="173"/>
        <v>20000000</v>
      </c>
      <c r="EQ50" s="1">
        <v>8</v>
      </c>
      <c r="ER50" s="56">
        <v>80</v>
      </c>
      <c r="ET50" s="12" t="str">
        <f t="shared" si="209"/>
        <v>FY18-4</v>
      </c>
      <c r="EU50" s="12">
        <f t="shared" si="210"/>
        <v>42943</v>
      </c>
      <c r="EV50" s="11">
        <f t="shared" si="211"/>
        <v>12.32912110746938</v>
      </c>
      <c r="EW50" s="11">
        <f t="shared" si="212"/>
        <v>3</v>
      </c>
      <c r="EX50" s="13"/>
      <c r="EY50" s="13"/>
      <c r="EZ50" s="13"/>
      <c r="FA50" s="16" t="s">
        <v>33</v>
      </c>
      <c r="FB50" s="16">
        <v>43601</v>
      </c>
      <c r="FC50" s="15">
        <v>16704121.542174639</v>
      </c>
      <c r="FD50" s="14">
        <v>8000000</v>
      </c>
      <c r="FI50" s="12" t="str">
        <f t="shared" si="213"/>
        <v>FY19</v>
      </c>
      <c r="FJ50" s="12">
        <f t="shared" si="214"/>
        <v>43307</v>
      </c>
      <c r="FK50" s="11">
        <f t="shared" si="215"/>
        <v>38.67065225683406</v>
      </c>
      <c r="FL50" s="11">
        <f t="shared" si="216"/>
        <v>40</v>
      </c>
      <c r="FN50" s="13"/>
      <c r="FO50" s="13"/>
      <c r="FP50" s="12" t="str">
        <f t="shared" si="245"/>
        <v>FY19</v>
      </c>
      <c r="FQ50" s="12">
        <f t="shared" si="246"/>
        <v>43293</v>
      </c>
      <c r="FR50" s="11">
        <f t="shared" si="247"/>
        <v>26.842498410680225</v>
      </c>
      <c r="FS50" s="11">
        <f t="shared" si="248"/>
        <v>20</v>
      </c>
      <c r="FU50" s="13"/>
      <c r="FV50" s="13"/>
      <c r="FW50" s="16" t="s">
        <v>39</v>
      </c>
      <c r="FX50" s="16">
        <v>43965</v>
      </c>
      <c r="FY50" s="15">
        <v>17170624.749163877</v>
      </c>
      <c r="FZ50" s="14">
        <v>3000000</v>
      </c>
      <c r="GF50" s="12" t="str">
        <f t="shared" si="217"/>
        <v>FY20</v>
      </c>
      <c r="GG50" s="12">
        <f t="shared" si="218"/>
        <v>43671</v>
      </c>
      <c r="GH50" s="11">
        <f t="shared" si="219"/>
        <v>14.254130329847143</v>
      </c>
      <c r="GI50" s="11">
        <f t="shared" si="220"/>
        <v>3</v>
      </c>
      <c r="GK50" s="13"/>
      <c r="GL50" s="13"/>
      <c r="GM50" s="12" t="str">
        <f t="shared" si="249"/>
        <v>FY20</v>
      </c>
      <c r="GN50" s="12">
        <f t="shared" si="250"/>
        <v>43657</v>
      </c>
      <c r="GO50" s="11">
        <f t="shared" si="251"/>
        <v>73.766786311034096</v>
      </c>
      <c r="GP50" s="11">
        <f t="shared" si="252"/>
        <v>80</v>
      </c>
      <c r="GR50" s="13"/>
      <c r="GS50" s="13"/>
      <c r="GT50" s="16" t="s">
        <v>38</v>
      </c>
      <c r="GU50" s="16">
        <v>44329</v>
      </c>
      <c r="GV50" s="15">
        <v>47890415.81027668</v>
      </c>
      <c r="GW50" s="14">
        <v>30000000</v>
      </c>
      <c r="HB50" s="12" t="str">
        <f t="shared" si="221"/>
        <v>FY21</v>
      </c>
      <c r="HC50" s="12">
        <f t="shared" si="222"/>
        <v>44035</v>
      </c>
      <c r="HD50" s="11">
        <f t="shared" si="223"/>
        <v>25.6119068409851</v>
      </c>
      <c r="HE50" s="11">
        <f t="shared" si="224"/>
        <v>8</v>
      </c>
      <c r="HG50" s="13"/>
      <c r="HH50" s="13"/>
      <c r="HI50" s="16" t="s">
        <v>35</v>
      </c>
      <c r="HJ50" s="16">
        <v>44693</v>
      </c>
      <c r="HK50" s="15">
        <v>83810205.168744296</v>
      </c>
      <c r="HL50" s="14">
        <v>60000000</v>
      </c>
      <c r="HQ50" s="12" t="str">
        <f t="shared" si="225"/>
        <v>FY22</v>
      </c>
      <c r="HR50" s="12">
        <f t="shared" si="226"/>
        <v>44399</v>
      </c>
      <c r="HS50" s="11">
        <f t="shared" si="227"/>
        <v>41.039352751596226</v>
      </c>
      <c r="HT50" s="11">
        <f t="shared" si="228"/>
        <v>20</v>
      </c>
      <c r="HV50" s="13"/>
      <c r="HW50" s="13"/>
      <c r="HX50" s="12" t="str">
        <f t="shared" si="253"/>
        <v>FY22</v>
      </c>
      <c r="HY50" s="12">
        <f t="shared" si="254"/>
        <v>44385</v>
      </c>
      <c r="HZ50" s="11">
        <f t="shared" si="255"/>
        <v>18.162558102766802</v>
      </c>
      <c r="IA50" s="11">
        <f t="shared" si="256"/>
        <v>3</v>
      </c>
      <c r="IC50" s="13"/>
      <c r="ID50" s="13"/>
      <c r="IE50" s="16" t="s">
        <v>37</v>
      </c>
      <c r="IF50" s="16">
        <v>45064</v>
      </c>
      <c r="IG50" s="15">
        <v>19409982.487078138</v>
      </c>
      <c r="IH50" s="14">
        <v>4000000</v>
      </c>
      <c r="IM50" s="40">
        <v>60</v>
      </c>
      <c r="IN50" s="39">
        <f t="shared" ref="IN50:IN64" si="258">($IM$47*IM50^3+$IN$47*IM50^2+$IO$47*IM50+$IP$47)*1000000</f>
        <v>96696999.999999985</v>
      </c>
      <c r="IO50" s="40">
        <v>210</v>
      </c>
      <c r="IP50" s="39">
        <f t="shared" ref="IP50:IP64" si="259">($IM$47*IO50^3+$IN$47*IO50^2+$IO$47*IO50+$IP$47)*1000000</f>
        <v>302347000.00000012</v>
      </c>
      <c r="IR50" s="13"/>
      <c r="IS50" s="13"/>
      <c r="IT50" s="40">
        <v>60</v>
      </c>
      <c r="IU50" s="39">
        <f t="shared" ref="IU50:IU64" si="260">($IU$47*IT50^2+$IV$47*IT50+$IW$47)*1000000</f>
        <v>83587000</v>
      </c>
      <c r="IV50" s="40">
        <v>210</v>
      </c>
      <c r="IW50" s="39">
        <f t="shared" ref="IW50:IW64" si="261">($IU$47*IV50^2+$IV$47*IV50+$IW$47)*1000000</f>
        <v>205072000</v>
      </c>
      <c r="IY50" s="13"/>
      <c r="IZ50" s="13"/>
      <c r="JA50" s="16" t="s">
        <v>115</v>
      </c>
      <c r="JB50" s="16">
        <v>45428</v>
      </c>
      <c r="JC50" s="15">
        <v>140290075.73281032</v>
      </c>
      <c r="JD50" s="14">
        <v>100000000</v>
      </c>
      <c r="JI50" s="40">
        <v>60</v>
      </c>
      <c r="JJ50" s="39">
        <f t="shared" ref="JJ50:JJ64" si="262">($IM$47*JI50^3+$IN$47*JI50^2+$IO$47*JI50+$IP$47)*1000000</f>
        <v>96696999.999999985</v>
      </c>
      <c r="JK50" s="40">
        <v>210</v>
      </c>
      <c r="JL50" s="39">
        <f t="shared" ref="JL50:JL64" si="263">($IM$47*JK50^3+$IN$47*JK50^2+$IO$47*JK50+$IP$47)*1000000</f>
        <v>302347000.00000012</v>
      </c>
      <c r="JN50" s="13"/>
      <c r="JO50" s="13"/>
      <c r="JP50" s="40">
        <v>100</v>
      </c>
      <c r="JQ50" s="39">
        <f t="shared" si="182"/>
        <v>122583000.00000001</v>
      </c>
      <c r="JR50" s="40">
        <v>250</v>
      </c>
      <c r="JS50" s="39">
        <f t="shared" si="183"/>
        <v>226068000</v>
      </c>
      <c r="JU50" s="13"/>
      <c r="JV50" s="13"/>
      <c r="MY50" s="16" t="s">
        <v>34</v>
      </c>
      <c r="MZ50" s="16">
        <v>43153</v>
      </c>
      <c r="NA50" s="15">
        <v>17130740</v>
      </c>
      <c r="NB50" s="14">
        <v>6000000</v>
      </c>
      <c r="NG50" s="12" t="str">
        <f t="shared" si="229"/>
        <v>FY17</v>
      </c>
      <c r="NH50" s="12">
        <f t="shared" si="230"/>
        <v>42859</v>
      </c>
      <c r="NI50" s="11">
        <f t="shared" si="231"/>
        <v>42.723999999999997</v>
      </c>
      <c r="NJ50" s="11">
        <f t="shared" si="232"/>
        <v>30</v>
      </c>
      <c r="NL50" s="13"/>
      <c r="NN50" s="16" t="s">
        <v>33</v>
      </c>
      <c r="NO50" s="16">
        <v>43524</v>
      </c>
      <c r="NP50" s="15">
        <v>45325170</v>
      </c>
      <c r="NQ50" s="14">
        <v>40000000</v>
      </c>
      <c r="NV50" s="12" t="str">
        <f t="shared" si="233"/>
        <v>FY18</v>
      </c>
      <c r="NW50" s="12">
        <f t="shared" si="234"/>
        <v>43230</v>
      </c>
      <c r="NX50" s="11">
        <f t="shared" si="235"/>
        <v>17.618040000000001</v>
      </c>
      <c r="NY50" s="11">
        <f t="shared" si="236"/>
        <v>12</v>
      </c>
      <c r="OA50" s="13"/>
      <c r="OB50" s="1"/>
    </row>
    <row r="51" spans="2:392" x14ac:dyDescent="0.2">
      <c r="B51" s="5"/>
      <c r="C51" s="5"/>
      <c r="D51" s="5"/>
      <c r="F51" s="5"/>
      <c r="G51" s="5"/>
      <c r="H51" s="5"/>
      <c r="I51" s="5"/>
      <c r="K51" s="7">
        <v>47</v>
      </c>
      <c r="M51" s="5" t="str" cm="1">
        <f t="array" ref="M51">LOOKUP(2,1/($G$19:$G$35&lt;=$V51)/($H$19:$H$35&gt;=$V51),$F$19:$F$35)</f>
        <v>1H18</v>
      </c>
      <c r="N51" s="5" t="str" cm="1">
        <f t="array" ref="N51">LOOKUP(2,1/($G$8:$G$16&lt;=$V51)/($H$8:$H$16&gt;=$V51),$F$8:$F$16)</f>
        <v>FY18</v>
      </c>
      <c r="O51" s="5" t="str">
        <f>IFERROR(N51&amp;"-"&amp;COUNTIF($N$5:N51,N51),NA())</f>
        <v>FY18-21</v>
      </c>
      <c r="P51" s="5">
        <f>COUNTIF(V$5:V51,"&gt;="&amp;MAX($V:$V)-183)</f>
        <v>0</v>
      </c>
      <c r="Q51" s="5">
        <f>COUNTIF(V$5:V51,"&gt;="&amp;MAX($V:$V)-365)</f>
        <v>0</v>
      </c>
      <c r="R51" s="5" cm="1">
        <f t="array" ref="R51">LOOKUP(2,1/($G$46:$G$50&lt;=$V51)/($H$46:$H$50&gt;=$V51),$F$46:$F$50)</f>
        <v>0</v>
      </c>
      <c r="S51" s="5" cm="1">
        <f t="array" ref="S51">LOOKUP(2,1/($G$53:$G$56&lt;=$V51)/($H$53:$H$56&gt;=$V51),$F$53:$F$56)</f>
        <v>0</v>
      </c>
      <c r="T51" s="5" t="e">
        <f>IFERROR(IF($R51&gt;0,$R51&amp;"-"&amp;COUNTIF($R$5:$R51,$R51),NA()),NA())</f>
        <v>#N/A</v>
      </c>
      <c r="U51" s="5" t="e">
        <f>IFERROR(IF($S51&gt;0,$S51&amp;"-"&amp;COUNTIF($S$5:$S51,$S51),NA()),NA())</f>
        <v>#N/A</v>
      </c>
      <c r="V51" s="10">
        <v>43062</v>
      </c>
      <c r="W51" s="9">
        <v>25218185.292392615</v>
      </c>
      <c r="X51" s="9">
        <v>23428955.045897357</v>
      </c>
      <c r="Y51" s="8">
        <v>10000000</v>
      </c>
      <c r="AA51" s="48" t="e">
        <f t="shared" si="174"/>
        <v>#N/A</v>
      </c>
      <c r="AB51" s="12" t="e">
        <f t="shared" si="149"/>
        <v>#N/A</v>
      </c>
      <c r="AC51" s="15" t="e">
        <f t="shared" si="150"/>
        <v>#N/A</v>
      </c>
      <c r="AD51" s="14" t="e">
        <f t="shared" si="151"/>
        <v>#N/A</v>
      </c>
      <c r="AI51" s="18">
        <f t="shared" si="184"/>
        <v>5</v>
      </c>
      <c r="AJ51" s="12">
        <f t="shared" si="185"/>
        <v>45316</v>
      </c>
      <c r="AK51" s="11">
        <f t="shared" si="186"/>
        <v>224.51918818786098</v>
      </c>
      <c r="AL51" s="11">
        <f t="shared" si="187"/>
        <v>150</v>
      </c>
      <c r="AN51" s="13"/>
      <c r="AO51" s="13"/>
      <c r="AP51" s="18">
        <f t="shared" si="237"/>
        <v>3</v>
      </c>
      <c r="AQ51" s="12">
        <f t="shared" si="238"/>
        <v>45302</v>
      </c>
      <c r="AR51" s="11">
        <f t="shared" si="239"/>
        <v>67.199002942137952</v>
      </c>
      <c r="AS51" s="11">
        <f t="shared" si="240"/>
        <v>50</v>
      </c>
      <c r="AU51" s="13"/>
      <c r="AW51" s="48">
        <f t="shared" si="175"/>
        <v>47</v>
      </c>
      <c r="AX51" s="12">
        <f t="shared" si="152"/>
        <v>45428</v>
      </c>
      <c r="AY51" s="15">
        <f t="shared" si="153"/>
        <v>140290075.73281032</v>
      </c>
      <c r="AZ51" s="14">
        <f t="shared" si="154"/>
        <v>100000000</v>
      </c>
      <c r="BI51" s="18">
        <f t="shared" si="188"/>
        <v>5</v>
      </c>
      <c r="BJ51" s="12">
        <f t="shared" si="189"/>
        <v>45134</v>
      </c>
      <c r="BK51" s="11">
        <f t="shared" si="190"/>
        <v>84.639629072681714</v>
      </c>
      <c r="BL51" s="11">
        <f t="shared" si="191"/>
        <v>60</v>
      </c>
      <c r="BN51" s="13"/>
      <c r="BO51" s="13"/>
      <c r="BP51" s="111">
        <v>5</v>
      </c>
      <c r="BQ51" s="39">
        <f t="shared" si="257"/>
        <v>21997000</v>
      </c>
      <c r="BR51" s="120">
        <f t="shared" ref="BR51:BR79" si="264">BQ51/1000000</f>
        <v>21.997</v>
      </c>
      <c r="BS51" s="39"/>
      <c r="BU51" s="13"/>
      <c r="BW51" s="48" t="e">
        <f t="shared" si="156"/>
        <v>#N/A</v>
      </c>
      <c r="BX51" s="12" t="e">
        <f t="shared" si="157"/>
        <v>#N/A</v>
      </c>
      <c r="BY51" s="15" t="e">
        <f t="shared" si="158"/>
        <v>#N/A</v>
      </c>
      <c r="BZ51" s="14" t="e">
        <f t="shared" si="159"/>
        <v>#N/A</v>
      </c>
      <c r="CE51" s="18" t="str">
        <f t="shared" si="193"/>
        <v>N1-5</v>
      </c>
      <c r="CF51" s="12">
        <f t="shared" si="194"/>
        <v>44140</v>
      </c>
      <c r="CG51" s="11">
        <f t="shared" si="195"/>
        <v>39.323627363940403</v>
      </c>
      <c r="CH51" s="11">
        <f t="shared" si="196"/>
        <v>20</v>
      </c>
      <c r="CJ51" s="13"/>
      <c r="CK51" s="13"/>
      <c r="CL51" s="48" t="e">
        <f t="shared" si="160"/>
        <v>#N/A</v>
      </c>
      <c r="CM51" s="12" t="e">
        <f t="shared" si="161"/>
        <v>#N/A</v>
      </c>
      <c r="CN51" s="49" t="e">
        <f t="shared" si="162"/>
        <v>#N/A</v>
      </c>
      <c r="CO51" s="49" t="e">
        <f t="shared" si="163"/>
        <v>#N/A</v>
      </c>
      <c r="CT51" s="18" t="str">
        <f t="shared" si="197"/>
        <v>A1-5</v>
      </c>
      <c r="CU51" s="12">
        <f t="shared" si="198"/>
        <v>44252</v>
      </c>
      <c r="CV51" s="11">
        <f t="shared" si="199"/>
        <v>22.972673761021586</v>
      </c>
      <c r="CW51" s="11">
        <f t="shared" si="200"/>
        <v>8</v>
      </c>
      <c r="CY51" s="13"/>
      <c r="DA51" s="48" t="e">
        <f t="shared" si="164"/>
        <v>#N/A</v>
      </c>
      <c r="DB51" s="12" t="e">
        <f t="shared" si="165"/>
        <v>#N/A</v>
      </c>
      <c r="DC51" s="15" t="e">
        <f t="shared" si="166"/>
        <v>#N/A</v>
      </c>
      <c r="DD51" s="14" t="e">
        <f t="shared" si="167"/>
        <v>#N/A</v>
      </c>
      <c r="DI51" s="18" t="str">
        <f t="shared" si="201"/>
        <v>N2-5</v>
      </c>
      <c r="DJ51" s="12">
        <f t="shared" si="202"/>
        <v>44735</v>
      </c>
      <c r="DK51" s="11">
        <f t="shared" si="203"/>
        <v>57.463937245363326</v>
      </c>
      <c r="DL51" s="11">
        <f t="shared" si="204"/>
        <v>40</v>
      </c>
      <c r="DN51" s="13"/>
      <c r="DO51" s="13"/>
      <c r="DP51" s="48" t="e">
        <f t="shared" si="168"/>
        <v>#N/A</v>
      </c>
      <c r="DQ51" s="12" t="e">
        <f t="shared" si="169"/>
        <v>#N/A</v>
      </c>
      <c r="DR51" s="15" t="e">
        <f t="shared" si="170"/>
        <v>#N/A</v>
      </c>
      <c r="DS51" s="14" t="e">
        <f t="shared" si="171"/>
        <v>#N/A</v>
      </c>
      <c r="DX51" s="18" t="str">
        <f t="shared" si="205"/>
        <v>A2-5</v>
      </c>
      <c r="DY51" s="12">
        <f t="shared" si="206"/>
        <v>44847</v>
      </c>
      <c r="DZ51" s="11">
        <f t="shared" si="207"/>
        <v>77.692655761629666</v>
      </c>
      <c r="EA51" s="11">
        <f t="shared" si="208"/>
        <v>50</v>
      </c>
      <c r="EC51" s="13"/>
      <c r="ED51" s="13"/>
      <c r="EE51" s="12" t="str">
        <f t="shared" si="241"/>
        <v>A2-3</v>
      </c>
      <c r="EF51" s="12">
        <f t="shared" si="242"/>
        <v>44833</v>
      </c>
      <c r="EG51" s="11">
        <f t="shared" si="243"/>
        <v>35.905405655214345</v>
      </c>
      <c r="EH51" s="11">
        <f t="shared" si="244"/>
        <v>20</v>
      </c>
      <c r="EJ51" s="13"/>
      <c r="EK51" s="13"/>
      <c r="EL51" s="47" t="str">
        <f t="shared" si="172"/>
        <v>FY18-47</v>
      </c>
      <c r="EM51" s="46">
        <v>43244</v>
      </c>
      <c r="EN51" s="45">
        <v>36432706.166560702</v>
      </c>
      <c r="EO51" s="44">
        <f t="shared" si="173"/>
        <v>30000000</v>
      </c>
      <c r="EQ51" s="1">
        <v>9</v>
      </c>
      <c r="ER51" s="56">
        <v>100</v>
      </c>
      <c r="ET51" s="12" t="str">
        <f t="shared" si="209"/>
        <v>FY18-5</v>
      </c>
      <c r="EU51" s="12">
        <f t="shared" si="210"/>
        <v>42950</v>
      </c>
      <c r="EV51" s="11">
        <f t="shared" si="211"/>
        <v>17.372581597377952</v>
      </c>
      <c r="EW51" s="11">
        <f t="shared" si="212"/>
        <v>6</v>
      </c>
      <c r="EX51" s="13"/>
      <c r="EY51" s="13"/>
      <c r="EZ51" s="13"/>
      <c r="FA51" s="16" t="s">
        <v>33</v>
      </c>
      <c r="FB51" s="16">
        <v>43608</v>
      </c>
      <c r="FC51" s="15">
        <v>12325589.702333063</v>
      </c>
      <c r="FD51" s="14">
        <v>3000000</v>
      </c>
      <c r="FI51" s="12" t="str">
        <f t="shared" si="213"/>
        <v>FY19</v>
      </c>
      <c r="FJ51" s="12">
        <f t="shared" si="214"/>
        <v>43314</v>
      </c>
      <c r="FK51" s="11">
        <f t="shared" si="215"/>
        <v>47.637119898283515</v>
      </c>
      <c r="FL51" s="11">
        <f t="shared" si="216"/>
        <v>50</v>
      </c>
      <c r="FN51" s="13"/>
      <c r="FO51" s="13"/>
      <c r="FP51" s="12" t="str">
        <f t="shared" si="245"/>
        <v>FY19</v>
      </c>
      <c r="FQ51" s="12">
        <f t="shared" si="246"/>
        <v>43300</v>
      </c>
      <c r="FR51" s="11">
        <f t="shared" si="247"/>
        <v>32.449661792752693</v>
      </c>
      <c r="FS51" s="11">
        <f t="shared" si="248"/>
        <v>30</v>
      </c>
      <c r="FU51" s="13"/>
      <c r="FV51" s="13"/>
      <c r="FW51" s="16" t="s">
        <v>39</v>
      </c>
      <c r="FX51" s="16">
        <v>43972</v>
      </c>
      <c r="FY51" s="15">
        <v>24236348.555792037</v>
      </c>
      <c r="FZ51" s="14">
        <v>8000000</v>
      </c>
      <c r="GF51" s="12" t="str">
        <f t="shared" si="217"/>
        <v>FY20</v>
      </c>
      <c r="GG51" s="12">
        <f t="shared" si="218"/>
        <v>43678</v>
      </c>
      <c r="GH51" s="11">
        <f t="shared" si="219"/>
        <v>17.621573612228481</v>
      </c>
      <c r="GI51" s="11">
        <f t="shared" si="220"/>
        <v>8</v>
      </c>
      <c r="GK51" s="13"/>
      <c r="GL51" s="13"/>
      <c r="GM51" s="12" t="e">
        <f t="shared" si="249"/>
        <v>#N/A</v>
      </c>
      <c r="GN51" s="12" t="e">
        <f t="shared" si="250"/>
        <v>#N/A</v>
      </c>
      <c r="GO51" s="11" t="e">
        <f t="shared" si="251"/>
        <v>#N/A</v>
      </c>
      <c r="GP51" s="11" t="e">
        <f t="shared" si="252"/>
        <v>#N/A</v>
      </c>
      <c r="GR51" s="13"/>
      <c r="GS51" s="13"/>
      <c r="GT51" s="16" t="s">
        <v>38</v>
      </c>
      <c r="GU51" s="16">
        <v>44336</v>
      </c>
      <c r="GV51" s="15">
        <v>18569740.589844935</v>
      </c>
      <c r="GW51" s="14">
        <v>3000000</v>
      </c>
      <c r="HB51" s="12" t="str">
        <f t="shared" si="221"/>
        <v>FY21</v>
      </c>
      <c r="HC51" s="12">
        <f t="shared" si="222"/>
        <v>44042</v>
      </c>
      <c r="HD51" s="11">
        <f t="shared" si="223"/>
        <v>44.346019337184551</v>
      </c>
      <c r="HE51" s="11">
        <f t="shared" si="224"/>
        <v>20</v>
      </c>
      <c r="HG51" s="13"/>
      <c r="HH51" s="13"/>
      <c r="HI51" s="16" t="s">
        <v>35</v>
      </c>
      <c r="HJ51" s="16">
        <v>44700</v>
      </c>
      <c r="HK51" s="15">
        <v>116725204.01337792</v>
      </c>
      <c r="HL51" s="14">
        <v>80000000</v>
      </c>
      <c r="HQ51" s="12" t="str">
        <f t="shared" si="225"/>
        <v>FY22</v>
      </c>
      <c r="HR51" s="12">
        <f t="shared" si="226"/>
        <v>44406</v>
      </c>
      <c r="HS51" s="11">
        <f t="shared" si="227"/>
        <v>57.263651200972937</v>
      </c>
      <c r="HT51" s="11">
        <f t="shared" si="228"/>
        <v>40</v>
      </c>
      <c r="HV51" s="13"/>
      <c r="HW51" s="13"/>
      <c r="HX51" s="12" t="str">
        <f t="shared" si="253"/>
        <v>FY22</v>
      </c>
      <c r="HY51" s="12">
        <f t="shared" si="254"/>
        <v>44392</v>
      </c>
      <c r="HZ51" s="11">
        <f t="shared" si="255"/>
        <v>25.998846336272418</v>
      </c>
      <c r="IA51" s="11">
        <f t="shared" si="256"/>
        <v>8</v>
      </c>
      <c r="IC51" s="13"/>
      <c r="ID51" s="13"/>
      <c r="IE51" s="16" t="s">
        <v>37</v>
      </c>
      <c r="IF51" s="16">
        <v>45071</v>
      </c>
      <c r="IG51" s="15">
        <v>30887849.079219788</v>
      </c>
      <c r="IH51" s="14">
        <v>12000000</v>
      </c>
      <c r="IM51" s="40">
        <v>70</v>
      </c>
      <c r="IN51" s="39">
        <f t="shared" si="258"/>
        <v>115586999.99999999</v>
      </c>
      <c r="IO51" s="40">
        <v>220</v>
      </c>
      <c r="IP51" s="39">
        <f t="shared" si="259"/>
        <v>295737000</v>
      </c>
      <c r="IR51" s="13"/>
      <c r="IS51" s="13"/>
      <c r="IT51" s="40">
        <v>70</v>
      </c>
      <c r="IU51" s="39">
        <f t="shared" si="260"/>
        <v>93786000.000000015</v>
      </c>
      <c r="IV51" s="40">
        <v>220</v>
      </c>
      <c r="IW51" s="39">
        <f t="shared" si="261"/>
        <v>210771000</v>
      </c>
      <c r="IY51" s="13"/>
      <c r="IZ51" s="13"/>
      <c r="JA51" s="16" t="s">
        <v>115</v>
      </c>
      <c r="JB51" s="16">
        <v>45435</v>
      </c>
      <c r="JC51" s="15">
        <v>194704917.18426505</v>
      </c>
      <c r="JD51" s="14">
        <v>150000000</v>
      </c>
      <c r="JI51" s="40">
        <v>70</v>
      </c>
      <c r="JJ51" s="39">
        <f t="shared" si="262"/>
        <v>115586999.99999999</v>
      </c>
      <c r="JK51" s="40">
        <v>220</v>
      </c>
      <c r="JL51" s="39">
        <f t="shared" si="263"/>
        <v>295737000</v>
      </c>
      <c r="JN51" s="13"/>
      <c r="JO51" s="13"/>
      <c r="JP51" s="40">
        <v>110</v>
      </c>
      <c r="JQ51" s="39">
        <f t="shared" si="182"/>
        <v>131582000</v>
      </c>
      <c r="JR51" s="40">
        <v>260</v>
      </c>
      <c r="JS51" s="39">
        <f t="shared" si="183"/>
        <v>230567000</v>
      </c>
      <c r="JU51" s="13"/>
      <c r="JV51" s="13"/>
      <c r="MY51" s="16" t="s">
        <v>34</v>
      </c>
      <c r="MZ51" s="16">
        <v>43160</v>
      </c>
      <c r="NA51" s="15">
        <v>21616100</v>
      </c>
      <c r="NB51" s="14">
        <v>10000000</v>
      </c>
      <c r="NG51" s="12" t="str">
        <f t="shared" si="229"/>
        <v>FY17</v>
      </c>
      <c r="NH51" s="12">
        <f t="shared" si="230"/>
        <v>42866</v>
      </c>
      <c r="NI51" s="11">
        <f t="shared" si="231"/>
        <v>67.043239999999997</v>
      </c>
      <c r="NJ51" s="11">
        <f t="shared" si="232"/>
        <v>50</v>
      </c>
      <c r="NL51" s="13"/>
      <c r="NN51" s="16" t="s">
        <v>33</v>
      </c>
      <c r="NO51" s="16">
        <v>43531</v>
      </c>
      <c r="NP51" s="15">
        <v>12844326</v>
      </c>
      <c r="NQ51" s="14">
        <v>3000000</v>
      </c>
      <c r="NV51" s="12" t="str">
        <f t="shared" si="233"/>
        <v>FY18</v>
      </c>
      <c r="NW51" s="12">
        <f t="shared" si="234"/>
        <v>43237</v>
      </c>
      <c r="NX51" s="11">
        <f t="shared" si="235"/>
        <v>26.383103999999999</v>
      </c>
      <c r="NY51" s="11">
        <f t="shared" si="236"/>
        <v>20</v>
      </c>
      <c r="OA51" s="13"/>
      <c r="OB51" s="1"/>
    </row>
    <row r="52" spans="2:392" x14ac:dyDescent="0.2">
      <c r="B52" s="5"/>
      <c r="C52" s="5"/>
      <c r="D52" s="5"/>
      <c r="F52" s="58" t="s">
        <v>46</v>
      </c>
      <c r="G52" s="57"/>
      <c r="H52" s="57"/>
      <c r="I52" s="57"/>
      <c r="K52" s="7">
        <v>48</v>
      </c>
      <c r="M52" s="5" t="str" cm="1">
        <f t="array" ref="M52">LOOKUP(2,1/($G$19:$G$35&lt;=$V52)/($H$19:$H$35&gt;=$V52),$F$19:$F$35)</f>
        <v>1H18</v>
      </c>
      <c r="N52" s="5" t="str" cm="1">
        <f t="array" ref="N52">LOOKUP(2,1/($G$8:$G$16&lt;=$V52)/($H$8:$H$16&gt;=$V52),$F$8:$F$16)</f>
        <v>FY18</v>
      </c>
      <c r="O52" s="5" t="str">
        <f>IFERROR(N52&amp;"-"&amp;COUNTIF($N$5:N52,N52),NA())</f>
        <v>FY18-22</v>
      </c>
      <c r="P52" s="5">
        <f>COUNTIF(V$5:V52,"&gt;="&amp;MAX($V:$V)-183)</f>
        <v>0</v>
      </c>
      <c r="Q52" s="5">
        <f>COUNTIF(V$5:V52,"&gt;="&amp;MAX($V:$V)-365)</f>
        <v>0</v>
      </c>
      <c r="R52" s="5" cm="1">
        <f t="array" ref="R52">LOOKUP(2,1/($G$46:$G$50&lt;=$V52)/($H$46:$H$50&gt;=$V52),$F$46:$F$50)</f>
        <v>0</v>
      </c>
      <c r="S52" s="5" cm="1">
        <f t="array" ref="S52">LOOKUP(2,1/($G$53:$G$56&lt;=$V52)/($H$53:$H$56&gt;=$V52),$F$53:$F$56)</f>
        <v>0</v>
      </c>
      <c r="T52" s="5" t="e">
        <f>IFERROR(IF($R52&gt;0,$R52&amp;"-"&amp;COUNTIF($R$5:$R52,$R52),NA()),NA())</f>
        <v>#N/A</v>
      </c>
      <c r="U52" s="5" t="e">
        <f>IFERROR(IF($S52&gt;0,$S52&amp;"-"&amp;COUNTIF($S$5:$S52,$S52),NA()),NA())</f>
        <v>#N/A</v>
      </c>
      <c r="V52" s="10">
        <v>43069</v>
      </c>
      <c r="W52" s="9">
        <v>13093111.238571674</v>
      </c>
      <c r="X52" s="9">
        <v>12164154.996195013</v>
      </c>
      <c r="Y52" s="8">
        <v>3000000</v>
      </c>
      <c r="AA52" s="48" t="e">
        <f t="shared" si="174"/>
        <v>#N/A</v>
      </c>
      <c r="AB52" s="12" t="e">
        <f t="shared" si="149"/>
        <v>#N/A</v>
      </c>
      <c r="AC52" s="15" t="e">
        <f t="shared" si="150"/>
        <v>#N/A</v>
      </c>
      <c r="AD52" s="14" t="e">
        <f t="shared" si="151"/>
        <v>#N/A</v>
      </c>
      <c r="AI52" s="18">
        <f t="shared" si="184"/>
        <v>6</v>
      </c>
      <c r="AJ52" s="12">
        <f t="shared" si="185"/>
        <v>45323</v>
      </c>
      <c r="AK52" s="11">
        <f t="shared" si="186"/>
        <v>305.33054625694672</v>
      </c>
      <c r="AL52" s="11">
        <f t="shared" si="187"/>
        <v>200</v>
      </c>
      <c r="AN52" s="13"/>
      <c r="AO52" s="13"/>
      <c r="AP52" s="18" t="e">
        <f t="shared" si="237"/>
        <v>#N/A</v>
      </c>
      <c r="AQ52" s="12" t="e">
        <f t="shared" si="238"/>
        <v>#N/A</v>
      </c>
      <c r="AR52" s="11" t="e">
        <f t="shared" si="239"/>
        <v>#N/A</v>
      </c>
      <c r="AS52" s="11" t="e">
        <f t="shared" si="240"/>
        <v>#N/A</v>
      </c>
      <c r="AU52" s="13"/>
      <c r="AW52" s="48">
        <f t="shared" si="175"/>
        <v>48</v>
      </c>
      <c r="AX52" s="12">
        <f t="shared" si="152"/>
        <v>45435</v>
      </c>
      <c r="AY52" s="15">
        <f t="shared" si="153"/>
        <v>194704917.18426505</v>
      </c>
      <c r="AZ52" s="14">
        <f t="shared" si="154"/>
        <v>150000000</v>
      </c>
      <c r="BB52" s="115"/>
      <c r="BC52" s="117">
        <v>44698</v>
      </c>
      <c r="BD52" s="118">
        <v>45064</v>
      </c>
      <c r="BE52" s="117">
        <v>44698</v>
      </c>
      <c r="BF52" s="118">
        <v>45064</v>
      </c>
      <c r="BI52" s="18">
        <f t="shared" si="188"/>
        <v>6</v>
      </c>
      <c r="BJ52" s="12">
        <f t="shared" si="189"/>
        <v>45141</v>
      </c>
      <c r="BK52" s="11">
        <f t="shared" si="190"/>
        <v>156.82348817696416</v>
      </c>
      <c r="BL52" s="11">
        <f t="shared" si="191"/>
        <v>100</v>
      </c>
      <c r="BN52" s="13"/>
      <c r="BO52" s="13"/>
      <c r="BP52" s="111">
        <v>6</v>
      </c>
      <c r="BQ52" s="39">
        <f t="shared" si="257"/>
        <v>23083199.999999996</v>
      </c>
      <c r="BR52" s="120">
        <f t="shared" si="264"/>
        <v>23.083199999999998</v>
      </c>
      <c r="BS52" s="39"/>
      <c r="BU52" s="13"/>
      <c r="BW52" s="48" t="e">
        <f t="shared" si="156"/>
        <v>#N/A</v>
      </c>
      <c r="BX52" s="12" t="e">
        <f t="shared" si="157"/>
        <v>#N/A</v>
      </c>
      <c r="BY52" s="15" t="e">
        <f t="shared" si="158"/>
        <v>#N/A</v>
      </c>
      <c r="BZ52" s="14" t="e">
        <f t="shared" si="159"/>
        <v>#N/A</v>
      </c>
      <c r="CE52" s="18" t="str">
        <f t="shared" si="193"/>
        <v>N1-6</v>
      </c>
      <c r="CF52" s="12">
        <f t="shared" si="194"/>
        <v>44147</v>
      </c>
      <c r="CG52" s="11">
        <f t="shared" si="195"/>
        <v>17.49003441775616</v>
      </c>
      <c r="CH52" s="11">
        <f t="shared" si="196"/>
        <v>3</v>
      </c>
      <c r="CJ52" s="13"/>
      <c r="CK52" s="13"/>
      <c r="CL52" s="48" t="e">
        <f t="shared" si="160"/>
        <v>#N/A</v>
      </c>
      <c r="CM52" s="12" t="e">
        <f t="shared" si="161"/>
        <v>#N/A</v>
      </c>
      <c r="CN52" s="49" t="e">
        <f t="shared" si="162"/>
        <v>#N/A</v>
      </c>
      <c r="CO52" s="49" t="e">
        <f t="shared" si="163"/>
        <v>#N/A</v>
      </c>
      <c r="CT52" s="18" t="str">
        <f t="shared" si="197"/>
        <v>A1-6</v>
      </c>
      <c r="CU52" s="12">
        <f t="shared" si="198"/>
        <v>44259</v>
      </c>
      <c r="CV52" s="11">
        <f t="shared" si="199"/>
        <v>37.058402918820313</v>
      </c>
      <c r="CW52" s="11">
        <f t="shared" si="200"/>
        <v>20</v>
      </c>
      <c r="CY52" s="13"/>
      <c r="DA52" s="48" t="e">
        <f t="shared" si="164"/>
        <v>#N/A</v>
      </c>
      <c r="DB52" s="12" t="e">
        <f t="shared" si="165"/>
        <v>#N/A</v>
      </c>
      <c r="DC52" s="15" t="e">
        <f t="shared" si="166"/>
        <v>#N/A</v>
      </c>
      <c r="DD52" s="14" t="e">
        <f t="shared" si="167"/>
        <v>#N/A</v>
      </c>
      <c r="DI52" s="18" t="str">
        <f t="shared" si="201"/>
        <v>N2-6</v>
      </c>
      <c r="DJ52" s="12">
        <f t="shared" si="202"/>
        <v>44742</v>
      </c>
      <c r="DK52" s="11">
        <f t="shared" si="203"/>
        <v>77.836461903314074</v>
      </c>
      <c r="DL52" s="11">
        <f t="shared" si="204"/>
        <v>60</v>
      </c>
      <c r="DN52" s="13"/>
      <c r="DO52" s="13"/>
      <c r="DP52" s="48" t="e">
        <f t="shared" si="168"/>
        <v>#N/A</v>
      </c>
      <c r="DQ52" s="12" t="e">
        <f t="shared" si="169"/>
        <v>#N/A</v>
      </c>
      <c r="DR52" s="15" t="e">
        <f t="shared" si="170"/>
        <v>#N/A</v>
      </c>
      <c r="DS52" s="14" t="e">
        <f t="shared" si="171"/>
        <v>#N/A</v>
      </c>
      <c r="DX52" s="18" t="str">
        <f t="shared" si="205"/>
        <v>A2-6</v>
      </c>
      <c r="DY52" s="12">
        <f t="shared" si="206"/>
        <v>44854</v>
      </c>
      <c r="DZ52" s="11">
        <f t="shared" si="207"/>
        <v>183.08447309212528</v>
      </c>
      <c r="EA52" s="11">
        <f t="shared" si="208"/>
        <v>100</v>
      </c>
      <c r="EC52" s="13"/>
      <c r="ED52" s="13"/>
      <c r="EE52" s="12" t="str">
        <f t="shared" si="241"/>
        <v>A2-4</v>
      </c>
      <c r="EF52" s="12">
        <f t="shared" si="242"/>
        <v>44840</v>
      </c>
      <c r="EG52" s="11">
        <f t="shared" si="243"/>
        <v>47.423181270903001</v>
      </c>
      <c r="EH52" s="11">
        <f t="shared" si="244"/>
        <v>30</v>
      </c>
      <c r="EJ52" s="13"/>
      <c r="EK52" s="13"/>
      <c r="EL52" s="47" t="str">
        <f t="shared" si="172"/>
        <v>FY18-48</v>
      </c>
      <c r="EM52" s="46">
        <v>43251</v>
      </c>
      <c r="EN52" s="45">
        <v>46219221.614748873</v>
      </c>
      <c r="EO52" s="44">
        <f t="shared" si="173"/>
        <v>40000000</v>
      </c>
      <c r="EQ52" s="1">
        <v>10</v>
      </c>
      <c r="ER52" s="56">
        <v>150</v>
      </c>
      <c r="ET52" s="12" t="str">
        <f t="shared" si="209"/>
        <v>FY18-6</v>
      </c>
      <c r="EU52" s="12">
        <f t="shared" si="210"/>
        <v>42957</v>
      </c>
      <c r="EV52" s="11">
        <f t="shared" si="211"/>
        <v>13.797288766603414</v>
      </c>
      <c r="EW52" s="11">
        <f t="shared" si="212"/>
        <v>3</v>
      </c>
      <c r="EX52" s="13"/>
      <c r="EY52" s="13"/>
      <c r="EZ52" s="13"/>
      <c r="FA52" s="16" t="s">
        <v>33</v>
      </c>
      <c r="FB52" s="16">
        <v>43615</v>
      </c>
      <c r="FC52" s="15">
        <v>15336385.914969984</v>
      </c>
      <c r="FD52" s="14">
        <v>8000000</v>
      </c>
      <c r="FI52" s="12" t="str">
        <f t="shared" si="213"/>
        <v>FY19</v>
      </c>
      <c r="FJ52" s="12">
        <f t="shared" si="214"/>
        <v>43321</v>
      </c>
      <c r="FK52" s="11">
        <f t="shared" si="215"/>
        <v>89.658851621106137</v>
      </c>
      <c r="FL52" s="11">
        <f t="shared" si="216"/>
        <v>80</v>
      </c>
      <c r="FN52" s="13"/>
      <c r="FO52" s="13"/>
      <c r="FP52" s="12" t="str">
        <f t="shared" si="245"/>
        <v>FY19</v>
      </c>
      <c r="FQ52" s="12">
        <f t="shared" si="246"/>
        <v>43307</v>
      </c>
      <c r="FR52" s="11">
        <f t="shared" si="247"/>
        <v>38.67065225683406</v>
      </c>
      <c r="FS52" s="11">
        <f t="shared" si="248"/>
        <v>40</v>
      </c>
      <c r="FU52" s="13"/>
      <c r="FV52" s="13"/>
      <c r="FW52" s="16" t="s">
        <v>39</v>
      </c>
      <c r="FX52" s="16">
        <v>43979</v>
      </c>
      <c r="FY52" s="15">
        <v>37016112.131346919</v>
      </c>
      <c r="FZ52" s="14">
        <v>15000000</v>
      </c>
      <c r="GF52" s="12" t="str">
        <f t="shared" si="217"/>
        <v>FY20</v>
      </c>
      <c r="GG52" s="12">
        <f t="shared" si="218"/>
        <v>43685</v>
      </c>
      <c r="GH52" s="11">
        <f t="shared" si="219"/>
        <v>22.977947397735008</v>
      </c>
      <c r="GI52" s="11">
        <f t="shared" si="220"/>
        <v>12</v>
      </c>
      <c r="GK52" s="13"/>
      <c r="GL52" s="13"/>
      <c r="GM52" s="12" t="str">
        <f t="shared" si="249"/>
        <v>FY20</v>
      </c>
      <c r="GN52" s="12">
        <f t="shared" si="250"/>
        <v>43671</v>
      </c>
      <c r="GO52" s="11">
        <f t="shared" si="251"/>
        <v>14.254130329847143</v>
      </c>
      <c r="GP52" s="11">
        <f t="shared" si="252"/>
        <v>3</v>
      </c>
      <c r="GR52" s="13"/>
      <c r="GS52" s="13"/>
      <c r="GT52" s="16" t="s">
        <v>38</v>
      </c>
      <c r="GU52" s="16">
        <v>44343</v>
      </c>
      <c r="GV52" s="15">
        <v>25429040.072970506</v>
      </c>
      <c r="GW52" s="14">
        <v>8000000</v>
      </c>
      <c r="HB52" s="12" t="str">
        <f t="shared" si="221"/>
        <v>FY21</v>
      </c>
      <c r="HC52" s="12">
        <f t="shared" si="222"/>
        <v>44049</v>
      </c>
      <c r="HD52" s="11">
        <f t="shared" si="223"/>
        <v>19.730848282152632</v>
      </c>
      <c r="HE52" s="11">
        <f t="shared" si="224"/>
        <v>3</v>
      </c>
      <c r="HG52" s="13"/>
      <c r="HH52" s="13"/>
      <c r="HI52" s="16" t="s">
        <v>35</v>
      </c>
      <c r="HJ52" s="16">
        <v>44707</v>
      </c>
      <c r="HK52" s="15">
        <v>21016983.155974455</v>
      </c>
      <c r="HL52" s="14">
        <v>4000000</v>
      </c>
      <c r="HQ52" s="12" t="str">
        <f t="shared" si="225"/>
        <v>FY22</v>
      </c>
      <c r="HR52" s="12">
        <f t="shared" si="226"/>
        <v>44413</v>
      </c>
      <c r="HS52" s="11">
        <f t="shared" si="227"/>
        <v>80.09238577075098</v>
      </c>
      <c r="HT52" s="11">
        <f t="shared" si="228"/>
        <v>60</v>
      </c>
      <c r="HV52" s="13"/>
      <c r="HW52" s="13"/>
      <c r="HX52" s="12" t="str">
        <f t="shared" si="253"/>
        <v>FY22</v>
      </c>
      <c r="HY52" s="12">
        <f t="shared" si="254"/>
        <v>44399</v>
      </c>
      <c r="HZ52" s="11">
        <f t="shared" si="255"/>
        <v>41.039352751596226</v>
      </c>
      <c r="IA52" s="11">
        <f t="shared" si="256"/>
        <v>20</v>
      </c>
      <c r="IC52" s="13"/>
      <c r="ID52" s="13"/>
      <c r="IE52" s="16" t="s">
        <v>37</v>
      </c>
      <c r="IF52" s="16">
        <v>45078</v>
      </c>
      <c r="IG52" s="15">
        <v>40719506.810504526</v>
      </c>
      <c r="IH52" s="14">
        <v>20000000</v>
      </c>
      <c r="IM52" s="40">
        <v>80</v>
      </c>
      <c r="IN52" s="39">
        <f t="shared" si="258"/>
        <v>135297000</v>
      </c>
      <c r="IO52" s="40">
        <v>230</v>
      </c>
      <c r="IP52" s="39">
        <f t="shared" si="259"/>
        <v>284546999.99999994</v>
      </c>
      <c r="IR52" s="13"/>
      <c r="IS52" s="13"/>
      <c r="IT52" s="40">
        <v>80</v>
      </c>
      <c r="IU52" s="39">
        <f t="shared" si="260"/>
        <v>103685000.00000001</v>
      </c>
      <c r="IV52" s="40">
        <v>230</v>
      </c>
      <c r="IW52" s="39">
        <f t="shared" si="261"/>
        <v>216170000</v>
      </c>
      <c r="IY52" s="13"/>
      <c r="IZ52" s="13"/>
      <c r="JA52" s="16" t="s">
        <v>115</v>
      </c>
      <c r="JB52" s="16">
        <v>45442</v>
      </c>
      <c r="JC52" s="15">
        <v>21155360.575351421</v>
      </c>
      <c r="JD52" s="14">
        <v>4000000</v>
      </c>
      <c r="JI52" s="40">
        <v>80</v>
      </c>
      <c r="JJ52" s="39">
        <f t="shared" si="262"/>
        <v>135297000</v>
      </c>
      <c r="JK52" s="40">
        <v>230</v>
      </c>
      <c r="JL52" s="39">
        <f t="shared" si="263"/>
        <v>284546999.99999994</v>
      </c>
      <c r="JN52" s="13"/>
      <c r="JO52" s="13"/>
      <c r="JP52" s="40">
        <v>120</v>
      </c>
      <c r="JQ52" s="39">
        <f t="shared" si="182"/>
        <v>140281000</v>
      </c>
      <c r="JR52" s="40">
        <v>270</v>
      </c>
      <c r="JS52" s="39">
        <f t="shared" si="183"/>
        <v>234766000</v>
      </c>
      <c r="JU52" s="13"/>
      <c r="JV52" s="13"/>
      <c r="MY52" s="16" t="s">
        <v>34</v>
      </c>
      <c r="MZ52" s="16">
        <v>43167</v>
      </c>
      <c r="NA52" s="15">
        <v>27324110</v>
      </c>
      <c r="NB52" s="14">
        <v>15000000</v>
      </c>
      <c r="NG52" s="12" t="str">
        <f t="shared" si="229"/>
        <v>FY17</v>
      </c>
      <c r="NH52" s="12">
        <f t="shared" si="230"/>
        <v>42873</v>
      </c>
      <c r="NI52" s="11">
        <f t="shared" si="231"/>
        <v>13.68488</v>
      </c>
      <c r="NJ52" s="11">
        <f t="shared" si="232"/>
        <v>3</v>
      </c>
      <c r="NL52" s="13"/>
      <c r="NN52" s="16" t="s">
        <v>33</v>
      </c>
      <c r="NO52" s="16">
        <v>43538</v>
      </c>
      <c r="NP52" s="15">
        <v>16368594</v>
      </c>
      <c r="NQ52" s="14">
        <v>8000000</v>
      </c>
      <c r="NV52" s="12" t="str">
        <f t="shared" si="233"/>
        <v>FY18</v>
      </c>
      <c r="NW52" s="12">
        <f t="shared" si="234"/>
        <v>43244</v>
      </c>
      <c r="NX52" s="11">
        <f t="shared" si="235"/>
        <v>36.245220000000003</v>
      </c>
      <c r="NY52" s="11">
        <f t="shared" si="236"/>
        <v>30</v>
      </c>
      <c r="OA52" s="13"/>
      <c r="OB52" s="1"/>
    </row>
    <row r="53" spans="2:392" x14ac:dyDescent="0.2">
      <c r="B53" s="5"/>
      <c r="C53" s="5"/>
      <c r="D53" s="5"/>
      <c r="F53" s="5">
        <v>0</v>
      </c>
      <c r="G53" s="53">
        <v>42736</v>
      </c>
      <c r="H53" s="51">
        <f>G54-7</f>
        <v>44700</v>
      </c>
      <c r="I53" s="50"/>
      <c r="K53" s="7">
        <v>49</v>
      </c>
      <c r="M53" s="5" t="str" cm="1">
        <f t="array" ref="M53">LOOKUP(2,1/($G$19:$G$35&lt;=$V53)/($H$19:$H$35&gt;=$V53),$F$19:$F$35)</f>
        <v>1H18</v>
      </c>
      <c r="N53" s="5" t="str" cm="1">
        <f t="array" ref="N53">LOOKUP(2,1/($G$8:$G$16&lt;=$V53)/($H$8:$H$16&gt;=$V53),$F$8:$F$16)</f>
        <v>FY18</v>
      </c>
      <c r="O53" s="5" t="str">
        <f>IFERROR(N53&amp;"-"&amp;COUNTIF($N$5:N53,N53),NA())</f>
        <v>FY18-23</v>
      </c>
      <c r="P53" s="5">
        <f>COUNTIF(V$5:V53,"&gt;="&amp;MAX($V:$V)-183)</f>
        <v>0</v>
      </c>
      <c r="Q53" s="5">
        <f>COUNTIF(V$5:V53,"&gt;="&amp;MAX($V:$V)-365)</f>
        <v>0</v>
      </c>
      <c r="R53" s="5" cm="1">
        <f t="array" ref="R53">LOOKUP(2,1/($G$46:$G$50&lt;=$V53)/($H$46:$H$50&gt;=$V53),$F$46:$F$50)</f>
        <v>0</v>
      </c>
      <c r="S53" s="5" cm="1">
        <f t="array" ref="S53">LOOKUP(2,1/($G$53:$G$56&lt;=$V53)/($H$53:$H$56&gt;=$V53),$F$53:$F$56)</f>
        <v>0</v>
      </c>
      <c r="T53" s="5" t="e">
        <f>IFERROR(IF($R53&gt;0,$R53&amp;"-"&amp;COUNTIF($R$5:$R53,$R53),NA()),NA())</f>
        <v>#N/A</v>
      </c>
      <c r="U53" s="5" t="e">
        <f>IFERROR(IF($S53&gt;0,$S53&amp;"-"&amp;COUNTIF($S$5:$S53,$S53),NA()),NA())</f>
        <v>#N/A</v>
      </c>
      <c r="V53" s="10">
        <v>43076</v>
      </c>
      <c r="W53" s="9">
        <v>17159375.04916336</v>
      </c>
      <c r="X53" s="9">
        <v>15941917.389425218</v>
      </c>
      <c r="Y53" s="8">
        <v>6000000</v>
      </c>
      <c r="AA53" s="48" t="e">
        <f t="shared" si="174"/>
        <v>#N/A</v>
      </c>
      <c r="AB53" s="12" t="e">
        <f t="shared" si="149"/>
        <v>#N/A</v>
      </c>
      <c r="AC53" s="15" t="e">
        <f t="shared" si="150"/>
        <v>#N/A</v>
      </c>
      <c r="AD53" s="14" t="e">
        <f t="shared" si="151"/>
        <v>#N/A</v>
      </c>
      <c r="AI53" s="18">
        <f t="shared" si="184"/>
        <v>7</v>
      </c>
      <c r="AJ53" s="12">
        <f t="shared" si="185"/>
        <v>45330</v>
      </c>
      <c r="AK53" s="11">
        <f t="shared" si="186"/>
        <v>22.03278903781192</v>
      </c>
      <c r="AL53" s="11">
        <f t="shared" si="187"/>
        <v>4</v>
      </c>
      <c r="AN53" s="13"/>
      <c r="AO53" s="13"/>
      <c r="AP53" s="18" t="e">
        <f t="shared" si="237"/>
        <v>#N/A</v>
      </c>
      <c r="AQ53" s="12" t="e">
        <f t="shared" si="238"/>
        <v>#N/A</v>
      </c>
      <c r="AR53" s="11" t="e">
        <f t="shared" si="239"/>
        <v>#N/A</v>
      </c>
      <c r="AS53" s="11" t="e">
        <f t="shared" si="240"/>
        <v>#N/A</v>
      </c>
      <c r="AU53" s="13"/>
      <c r="AW53" s="48">
        <f t="shared" si="175"/>
        <v>49</v>
      </c>
      <c r="AX53" s="12">
        <f t="shared" si="152"/>
        <v>45442</v>
      </c>
      <c r="AY53" s="15">
        <f t="shared" si="153"/>
        <v>21155360.575351421</v>
      </c>
      <c r="AZ53" s="14">
        <f t="shared" si="154"/>
        <v>4000000</v>
      </c>
      <c r="BC53" s="117">
        <v>45063</v>
      </c>
      <c r="BD53" s="117">
        <v>45260</v>
      </c>
      <c r="BE53" s="117">
        <v>45063</v>
      </c>
      <c r="BF53" s="117">
        <v>45260</v>
      </c>
      <c r="BI53" s="18">
        <f t="shared" si="188"/>
        <v>7</v>
      </c>
      <c r="BJ53" s="12">
        <f t="shared" si="189"/>
        <v>45148</v>
      </c>
      <c r="BK53" s="11">
        <f t="shared" si="190"/>
        <v>20.677774436090228</v>
      </c>
      <c r="BL53" s="11">
        <f t="shared" si="191"/>
        <v>4</v>
      </c>
      <c r="BN53" s="13"/>
      <c r="BO53" s="13"/>
      <c r="BP53" s="111">
        <v>8</v>
      </c>
      <c r="BQ53" s="39">
        <f t="shared" si="257"/>
        <v>25255600</v>
      </c>
      <c r="BR53" s="120">
        <f t="shared" si="264"/>
        <v>25.255600000000001</v>
      </c>
      <c r="BS53" s="39"/>
      <c r="BU53" s="13"/>
      <c r="BW53" s="48" t="e">
        <f t="shared" si="156"/>
        <v>#N/A</v>
      </c>
      <c r="BX53" s="12" t="e">
        <f t="shared" si="157"/>
        <v>#N/A</v>
      </c>
      <c r="BY53" s="15" t="e">
        <f t="shared" si="158"/>
        <v>#N/A</v>
      </c>
      <c r="BZ53" s="14" t="e">
        <f t="shared" si="159"/>
        <v>#N/A</v>
      </c>
      <c r="CE53" s="18" t="str">
        <f t="shared" si="193"/>
        <v>N1-7</v>
      </c>
      <c r="CF53" s="12">
        <f t="shared" si="194"/>
        <v>44154</v>
      </c>
      <c r="CG53" s="11">
        <f t="shared" si="195"/>
        <v>23.485624323502588</v>
      </c>
      <c r="CH53" s="11">
        <f t="shared" si="196"/>
        <v>8</v>
      </c>
      <c r="CJ53" s="13"/>
      <c r="CK53" s="13"/>
      <c r="CL53" s="48" t="e">
        <f t="shared" si="160"/>
        <v>#N/A</v>
      </c>
      <c r="CM53" s="12" t="e">
        <f t="shared" si="161"/>
        <v>#N/A</v>
      </c>
      <c r="CN53" s="49" t="e">
        <f t="shared" si="162"/>
        <v>#N/A</v>
      </c>
      <c r="CO53" s="49" t="e">
        <f t="shared" si="163"/>
        <v>#N/A</v>
      </c>
      <c r="CT53" s="18" t="str">
        <f t="shared" si="197"/>
        <v>A1-7</v>
      </c>
      <c r="CU53" s="12">
        <f t="shared" si="198"/>
        <v>44266</v>
      </c>
      <c r="CV53" s="11">
        <f t="shared" si="199"/>
        <v>45.393461356035267</v>
      </c>
      <c r="CW53" s="11">
        <f t="shared" si="200"/>
        <v>30</v>
      </c>
      <c r="CY53" s="13"/>
      <c r="DA53" s="48" t="e">
        <f t="shared" si="164"/>
        <v>#N/A</v>
      </c>
      <c r="DB53" s="12" t="e">
        <f t="shared" si="165"/>
        <v>#N/A</v>
      </c>
      <c r="DC53" s="15" t="e">
        <f t="shared" si="166"/>
        <v>#N/A</v>
      </c>
      <c r="DD53" s="14" t="e">
        <f t="shared" si="167"/>
        <v>#N/A</v>
      </c>
      <c r="DI53" s="18" t="str">
        <f t="shared" si="201"/>
        <v>N2-7</v>
      </c>
      <c r="DJ53" s="12">
        <f t="shared" si="202"/>
        <v>44749</v>
      </c>
      <c r="DK53" s="11">
        <f t="shared" si="203"/>
        <v>20.096787838248709</v>
      </c>
      <c r="DL53" s="11">
        <f t="shared" si="204"/>
        <v>4</v>
      </c>
      <c r="DN53" s="13"/>
      <c r="DO53" s="13"/>
      <c r="DP53" s="48" t="e">
        <f t="shared" si="168"/>
        <v>#N/A</v>
      </c>
      <c r="DQ53" s="12" t="e">
        <f t="shared" si="169"/>
        <v>#N/A</v>
      </c>
      <c r="DR53" s="15" t="e">
        <f t="shared" si="170"/>
        <v>#N/A</v>
      </c>
      <c r="DS53" s="14" t="e">
        <f t="shared" si="171"/>
        <v>#N/A</v>
      </c>
      <c r="DX53" s="18" t="str">
        <f t="shared" si="205"/>
        <v>A2-7</v>
      </c>
      <c r="DY53" s="12">
        <f t="shared" si="206"/>
        <v>44861</v>
      </c>
      <c r="DZ53" s="11">
        <f t="shared" si="207"/>
        <v>284.83741380358765</v>
      </c>
      <c r="EA53" s="11">
        <f t="shared" si="208"/>
        <v>160</v>
      </c>
      <c r="EC53" s="13"/>
      <c r="ED53" s="13"/>
      <c r="EE53" s="12" t="str">
        <f t="shared" si="241"/>
        <v>A2-5</v>
      </c>
      <c r="EF53" s="12">
        <f t="shared" si="242"/>
        <v>44847</v>
      </c>
      <c r="EG53" s="11">
        <f t="shared" si="243"/>
        <v>77.692655761629666</v>
      </c>
      <c r="EH53" s="11">
        <f t="shared" si="244"/>
        <v>50</v>
      </c>
      <c r="EJ53" s="13"/>
      <c r="EK53" s="13"/>
      <c r="EL53" s="47" t="str">
        <f t="shared" si="172"/>
        <v>FY18-49</v>
      </c>
      <c r="EM53" s="46">
        <v>43258</v>
      </c>
      <c r="EN53" s="45">
        <v>56921146.598855674</v>
      </c>
      <c r="EO53" s="44">
        <f t="shared" si="173"/>
        <v>50000000</v>
      </c>
      <c r="ET53" s="12" t="str">
        <f t="shared" si="209"/>
        <v>FY18-7</v>
      </c>
      <c r="EU53" s="12">
        <f t="shared" si="210"/>
        <v>42964</v>
      </c>
      <c r="EV53" s="11">
        <f t="shared" si="211"/>
        <v>13.187465068138691</v>
      </c>
      <c r="EW53" s="11">
        <f t="shared" si="212"/>
        <v>3</v>
      </c>
      <c r="EX53" s="13"/>
      <c r="EY53" s="13"/>
      <c r="EZ53" s="13"/>
      <c r="FA53" s="16" t="s">
        <v>33</v>
      </c>
      <c r="FB53" s="16">
        <v>43622</v>
      </c>
      <c r="FC53" s="15">
        <v>18797418.899684388</v>
      </c>
      <c r="FD53" s="14">
        <v>12000000</v>
      </c>
      <c r="FI53" s="12" t="str">
        <f t="shared" si="213"/>
        <v>FY19</v>
      </c>
      <c r="FJ53" s="12">
        <f t="shared" si="214"/>
        <v>43328</v>
      </c>
      <c r="FK53" s="11">
        <f t="shared" si="215"/>
        <v>169.38423649078192</v>
      </c>
      <c r="FL53" s="11">
        <f t="shared" si="216"/>
        <v>100</v>
      </c>
      <c r="FN53" s="13"/>
      <c r="FO53" s="13"/>
      <c r="FP53" s="12" t="str">
        <f t="shared" si="245"/>
        <v>FY19</v>
      </c>
      <c r="FQ53" s="12">
        <f t="shared" si="246"/>
        <v>43314</v>
      </c>
      <c r="FR53" s="11">
        <f t="shared" si="247"/>
        <v>47.637119898283515</v>
      </c>
      <c r="FS53" s="11">
        <f t="shared" si="248"/>
        <v>50</v>
      </c>
      <c r="FU53" s="13"/>
      <c r="FV53" s="13"/>
      <c r="FW53" s="16" t="s">
        <v>39</v>
      </c>
      <c r="FX53" s="16">
        <v>43986</v>
      </c>
      <c r="FY53" s="15">
        <v>18066079.416235939</v>
      </c>
      <c r="FZ53" s="14">
        <v>3000000</v>
      </c>
      <c r="GF53" s="12" t="str">
        <f t="shared" si="217"/>
        <v>FY20</v>
      </c>
      <c r="GG53" s="12">
        <f t="shared" si="218"/>
        <v>43692</v>
      </c>
      <c r="GH53" s="11">
        <f t="shared" si="219"/>
        <v>29.967446995482394</v>
      </c>
      <c r="GI53" s="11">
        <f t="shared" si="220"/>
        <v>20</v>
      </c>
      <c r="GK53" s="13"/>
      <c r="GL53" s="13"/>
      <c r="GM53" s="12" t="str">
        <f t="shared" si="249"/>
        <v>FY20</v>
      </c>
      <c r="GN53" s="12">
        <f t="shared" si="250"/>
        <v>43678</v>
      </c>
      <c r="GO53" s="11">
        <f t="shared" si="251"/>
        <v>17.621573612228481</v>
      </c>
      <c r="GP53" s="11">
        <f t="shared" si="252"/>
        <v>8</v>
      </c>
      <c r="GR53" s="13"/>
      <c r="GS53" s="13"/>
      <c r="GT53" s="16" t="s">
        <v>38</v>
      </c>
      <c r="GU53" s="16">
        <v>44350</v>
      </c>
      <c r="GV53" s="15">
        <v>17730661.964122836</v>
      </c>
      <c r="GW53" s="14">
        <v>3000000</v>
      </c>
      <c r="HB53" s="12" t="str">
        <f t="shared" si="221"/>
        <v>FY21</v>
      </c>
      <c r="HC53" s="12">
        <f t="shared" si="222"/>
        <v>44056</v>
      </c>
      <c r="HD53" s="11">
        <f t="shared" si="223"/>
        <v>26.811783764062021</v>
      </c>
      <c r="HE53" s="11">
        <f t="shared" si="224"/>
        <v>8</v>
      </c>
      <c r="HG53" s="13"/>
      <c r="HH53" s="13"/>
      <c r="HI53" s="16" t="s">
        <v>35</v>
      </c>
      <c r="HJ53" s="16">
        <v>44714</v>
      </c>
      <c r="HK53" s="15">
        <v>21125759.318941928</v>
      </c>
      <c r="HL53" s="14">
        <v>4000000</v>
      </c>
      <c r="HQ53" s="12" t="str">
        <f t="shared" si="225"/>
        <v>FY22</v>
      </c>
      <c r="HR53" s="12">
        <f t="shared" si="226"/>
        <v>44420</v>
      </c>
      <c r="HS53" s="11">
        <f t="shared" si="227"/>
        <v>125.40573986013986</v>
      </c>
      <c r="HT53" s="11">
        <f t="shared" si="228"/>
        <v>80</v>
      </c>
      <c r="HV53" s="13"/>
      <c r="HW53" s="13"/>
      <c r="HX53" s="12" t="str">
        <f t="shared" si="253"/>
        <v>FY22</v>
      </c>
      <c r="HY53" s="12">
        <f t="shared" si="254"/>
        <v>44406</v>
      </c>
      <c r="HZ53" s="11">
        <f t="shared" si="255"/>
        <v>57.263651200972937</v>
      </c>
      <c r="IA53" s="11">
        <f t="shared" si="256"/>
        <v>40</v>
      </c>
      <c r="IC53" s="13"/>
      <c r="ID53" s="13"/>
      <c r="IE53" s="16" t="s">
        <v>37</v>
      </c>
      <c r="IF53" s="16">
        <v>45085</v>
      </c>
      <c r="IG53" s="15">
        <v>56400732.701318517</v>
      </c>
      <c r="IH53" s="14">
        <v>40000000</v>
      </c>
      <c r="IM53" s="40">
        <v>90</v>
      </c>
      <c r="IN53" s="39">
        <f t="shared" si="258"/>
        <v>155466999.99999997</v>
      </c>
      <c r="IO53" s="40">
        <v>240</v>
      </c>
      <c r="IP53" s="39">
        <f t="shared" si="259"/>
        <v>268416999.99999991</v>
      </c>
      <c r="IR53" s="13"/>
      <c r="IS53" s="13"/>
      <c r="IT53" s="40">
        <v>90</v>
      </c>
      <c r="IU53" s="39">
        <f t="shared" si="260"/>
        <v>113284000</v>
      </c>
      <c r="IV53" s="40">
        <v>240</v>
      </c>
      <c r="IW53" s="39">
        <f t="shared" si="261"/>
        <v>221269000</v>
      </c>
      <c r="IY53" s="13"/>
      <c r="IZ53" s="13"/>
      <c r="JA53" s="16" t="s">
        <v>115</v>
      </c>
      <c r="JB53" s="16">
        <v>45449</v>
      </c>
      <c r="JC53" s="15">
        <v>32649363.626457453</v>
      </c>
      <c r="JD53" s="14">
        <v>12000000</v>
      </c>
      <c r="JI53" s="40">
        <v>90</v>
      </c>
      <c r="JJ53" s="39">
        <f t="shared" si="262"/>
        <v>155466999.99999997</v>
      </c>
      <c r="JK53" s="40">
        <v>240</v>
      </c>
      <c r="JL53" s="39">
        <f t="shared" si="263"/>
        <v>268416999.99999991</v>
      </c>
      <c r="JN53" s="13"/>
      <c r="JO53" s="13"/>
      <c r="JP53" s="40">
        <v>130</v>
      </c>
      <c r="JQ53" s="39">
        <f t="shared" si="182"/>
        <v>148680000</v>
      </c>
      <c r="JR53" s="40">
        <v>280</v>
      </c>
      <c r="JS53" s="39">
        <f t="shared" si="183"/>
        <v>238665000</v>
      </c>
      <c r="JU53" s="13"/>
      <c r="JV53" s="13"/>
      <c r="MY53" s="16" t="s">
        <v>34</v>
      </c>
      <c r="MZ53" s="16">
        <v>43174</v>
      </c>
      <c r="NA53" s="15">
        <v>41905380</v>
      </c>
      <c r="NB53" s="14">
        <v>30000000</v>
      </c>
      <c r="NG53" s="12" t="str">
        <f t="shared" si="229"/>
        <v>FY17</v>
      </c>
      <c r="NH53" s="12">
        <f t="shared" si="230"/>
        <v>42880</v>
      </c>
      <c r="NI53" s="11">
        <f t="shared" si="231"/>
        <v>16.170660000000002</v>
      </c>
      <c r="NJ53" s="11">
        <f t="shared" si="232"/>
        <v>6</v>
      </c>
      <c r="NL53" s="13"/>
      <c r="NN53" s="16" t="s">
        <v>33</v>
      </c>
      <c r="NO53" s="16">
        <v>43545</v>
      </c>
      <c r="NP53" s="15">
        <v>21428220</v>
      </c>
      <c r="NQ53" s="14">
        <v>12000000</v>
      </c>
      <c r="NV53" s="12" t="str">
        <f t="shared" si="233"/>
        <v>FY18</v>
      </c>
      <c r="NW53" s="12">
        <f t="shared" si="234"/>
        <v>43251</v>
      </c>
      <c r="NX53" s="11">
        <f t="shared" si="235"/>
        <v>46.268706000000002</v>
      </c>
      <c r="NY53" s="11">
        <f t="shared" si="236"/>
        <v>40</v>
      </c>
      <c r="OA53" s="13"/>
      <c r="OB53" s="1"/>
    </row>
    <row r="54" spans="2:392" x14ac:dyDescent="0.2">
      <c r="B54" s="5"/>
      <c r="C54" s="5"/>
      <c r="D54" s="5"/>
      <c r="F54" s="5" t="s">
        <v>45</v>
      </c>
      <c r="G54" s="51">
        <f>H54-(I55-1)*7</f>
        <v>44707</v>
      </c>
      <c r="H54" s="51">
        <f>G55-7</f>
        <v>44812</v>
      </c>
      <c r="I54" s="50">
        <f>INT((WEEKDAY($G54-5)-$G54+$H54)/7)</f>
        <v>16</v>
      </c>
      <c r="K54" s="7">
        <v>50</v>
      </c>
      <c r="M54" s="5" t="str" cm="1">
        <f t="array" ref="M54">LOOKUP(2,1/($G$19:$G$35&lt;=$V54)/($H$19:$H$35&gt;=$V54),$F$19:$F$35)</f>
        <v>1H18</v>
      </c>
      <c r="N54" s="5" t="str" cm="1">
        <f t="array" ref="N54">LOOKUP(2,1/($G$8:$G$16&lt;=$V54)/($H$8:$H$16&gt;=$V54),$F$8:$F$16)</f>
        <v>FY18</v>
      </c>
      <c r="O54" s="5" t="str">
        <f>IFERROR(N54&amp;"-"&amp;COUNTIF($N$5:N54,N54),NA())</f>
        <v>FY18-24</v>
      </c>
      <c r="P54" s="5">
        <f>COUNTIF(V$5:V54,"&gt;="&amp;MAX($V:$V)-183)</f>
        <v>0</v>
      </c>
      <c r="Q54" s="5">
        <f>COUNTIF(V$5:V54,"&gt;="&amp;MAX($V:$V)-365)</f>
        <v>0</v>
      </c>
      <c r="R54" s="5" cm="1">
        <f t="array" ref="R54">LOOKUP(2,1/($G$46:$G$50&lt;=$V54)/($H$46:$H$50&gt;=$V54),$F$46:$F$50)</f>
        <v>0</v>
      </c>
      <c r="S54" s="5" cm="1">
        <f t="array" ref="S54">LOOKUP(2,1/($G$53:$G$56&lt;=$V54)/($H$53:$H$56&gt;=$V54),$F$53:$F$56)</f>
        <v>0</v>
      </c>
      <c r="T54" s="5" t="e">
        <f>IFERROR(IF($R54&gt;0,$R54&amp;"-"&amp;COUNTIF($R$5:$R54,$R54),NA()),NA())</f>
        <v>#N/A</v>
      </c>
      <c r="U54" s="5" t="e">
        <f>IFERROR(IF($S54&gt;0,$S54&amp;"-"&amp;COUNTIF($S$5:$S54,$S54),NA()),NA())</f>
        <v>#N/A</v>
      </c>
      <c r="V54" s="10">
        <v>43083</v>
      </c>
      <c r="W54" s="9">
        <v>19518000.077626355</v>
      </c>
      <c r="X54" s="9">
        <v>18133197.972118765</v>
      </c>
      <c r="Y54" s="8">
        <v>10000000</v>
      </c>
      <c r="AA54" s="48" t="e">
        <f t="shared" si="174"/>
        <v>#N/A</v>
      </c>
      <c r="AB54" s="12" t="e">
        <f t="shared" si="149"/>
        <v>#N/A</v>
      </c>
      <c r="AC54" s="15" t="e">
        <f t="shared" si="150"/>
        <v>#N/A</v>
      </c>
      <c r="AD54" s="14" t="e">
        <f t="shared" si="151"/>
        <v>#N/A</v>
      </c>
      <c r="AI54" s="18">
        <f t="shared" si="184"/>
        <v>8</v>
      </c>
      <c r="AJ54" s="12">
        <f t="shared" si="185"/>
        <v>45337</v>
      </c>
      <c r="AK54" s="11">
        <f t="shared" si="186"/>
        <v>21.26904805491991</v>
      </c>
      <c r="AL54" s="11">
        <f t="shared" si="187"/>
        <v>4</v>
      </c>
      <c r="AN54" s="13"/>
      <c r="AO54" s="13"/>
      <c r="AP54" s="18" t="e">
        <f t="shared" si="237"/>
        <v>#N/A</v>
      </c>
      <c r="AQ54" s="12" t="e">
        <f t="shared" si="238"/>
        <v>#N/A</v>
      </c>
      <c r="AR54" s="11" t="e">
        <f t="shared" si="239"/>
        <v>#N/A</v>
      </c>
      <c r="AS54" s="11" t="e">
        <f t="shared" si="240"/>
        <v>#N/A</v>
      </c>
      <c r="AU54" s="13"/>
      <c r="AW54" s="48">
        <f t="shared" si="175"/>
        <v>50</v>
      </c>
      <c r="AX54" s="12">
        <f t="shared" si="152"/>
        <v>45449</v>
      </c>
      <c r="AY54" s="15">
        <f t="shared" si="153"/>
        <v>32649363.626457453</v>
      </c>
      <c r="AZ54" s="14">
        <f t="shared" si="154"/>
        <v>12000000</v>
      </c>
      <c r="BB54" s="75" t="s">
        <v>41</v>
      </c>
      <c r="BC54" s="75" t="s">
        <v>125</v>
      </c>
      <c r="BD54" s="75" t="s">
        <v>125</v>
      </c>
      <c r="BE54" s="75" t="s">
        <v>130</v>
      </c>
      <c r="BF54" s="75" t="s">
        <v>130</v>
      </c>
      <c r="BI54" s="18">
        <f t="shared" si="188"/>
        <v>8</v>
      </c>
      <c r="BJ54" s="12">
        <f t="shared" si="189"/>
        <v>45155</v>
      </c>
      <c r="BK54" s="11">
        <f t="shared" si="190"/>
        <v>30.840203334423013</v>
      </c>
      <c r="BL54" s="11">
        <f t="shared" si="191"/>
        <v>12</v>
      </c>
      <c r="BN54" s="13"/>
      <c r="BO54" s="13"/>
      <c r="BP54" s="111">
        <v>12</v>
      </c>
      <c r="BQ54" s="39">
        <f t="shared" si="257"/>
        <v>29600400</v>
      </c>
      <c r="BR54" s="120">
        <f t="shared" si="264"/>
        <v>29.6004</v>
      </c>
      <c r="BS54" s="39"/>
      <c r="BU54" s="13"/>
      <c r="BW54" s="48" t="e">
        <f t="shared" si="156"/>
        <v>#N/A</v>
      </c>
      <c r="BX54" s="12" t="e">
        <f t="shared" si="157"/>
        <v>#N/A</v>
      </c>
      <c r="BY54" s="15" t="e">
        <f t="shared" si="158"/>
        <v>#N/A</v>
      </c>
      <c r="BZ54" s="14" t="e">
        <f t="shared" si="159"/>
        <v>#N/A</v>
      </c>
      <c r="CE54" s="18" t="str">
        <f t="shared" si="193"/>
        <v>N1-8</v>
      </c>
      <c r="CF54" s="12">
        <f t="shared" si="194"/>
        <v>44161</v>
      </c>
      <c r="CG54" s="11">
        <f t="shared" si="195"/>
        <v>40.190379811492861</v>
      </c>
      <c r="CH54" s="11">
        <f t="shared" si="196"/>
        <v>20</v>
      </c>
      <c r="CJ54" s="13"/>
      <c r="CK54" s="13"/>
      <c r="CL54" s="48" t="e">
        <f t="shared" si="160"/>
        <v>#N/A</v>
      </c>
      <c r="CM54" s="12" t="e">
        <f t="shared" si="161"/>
        <v>#N/A</v>
      </c>
      <c r="CN54" s="49" t="e">
        <f t="shared" si="162"/>
        <v>#N/A</v>
      </c>
      <c r="CO54" s="49" t="e">
        <f t="shared" si="163"/>
        <v>#N/A</v>
      </c>
      <c r="CT54" s="18" t="str">
        <f t="shared" si="197"/>
        <v>A1-8</v>
      </c>
      <c r="CU54" s="12">
        <f t="shared" si="198"/>
        <v>44273</v>
      </c>
      <c r="CV54" s="11">
        <f t="shared" si="199"/>
        <v>69.99746646397081</v>
      </c>
      <c r="CW54" s="11">
        <f t="shared" si="200"/>
        <v>50</v>
      </c>
      <c r="CY54" s="13"/>
      <c r="DA54" s="48" t="e">
        <f t="shared" si="164"/>
        <v>#N/A</v>
      </c>
      <c r="DB54" s="12" t="e">
        <f t="shared" si="165"/>
        <v>#N/A</v>
      </c>
      <c r="DC54" s="15" t="e">
        <f t="shared" si="166"/>
        <v>#N/A</v>
      </c>
      <c r="DD54" s="14" t="e">
        <f t="shared" si="167"/>
        <v>#N/A</v>
      </c>
      <c r="DI54" s="18" t="str">
        <f t="shared" si="201"/>
        <v>N2-8</v>
      </c>
      <c r="DJ54" s="12">
        <f t="shared" si="202"/>
        <v>44756</v>
      </c>
      <c r="DK54" s="11">
        <f t="shared" si="203"/>
        <v>27.258635451505018</v>
      </c>
      <c r="DL54" s="11">
        <f t="shared" si="204"/>
        <v>8</v>
      </c>
      <c r="DN54" s="13"/>
      <c r="DO54" s="13"/>
      <c r="DP54" s="48" t="e">
        <f t="shared" si="168"/>
        <v>#N/A</v>
      </c>
      <c r="DQ54" s="12" t="e">
        <f t="shared" si="169"/>
        <v>#N/A</v>
      </c>
      <c r="DR54" s="15" t="e">
        <f t="shared" si="170"/>
        <v>#N/A</v>
      </c>
      <c r="DS54" s="14" t="e">
        <f t="shared" si="171"/>
        <v>#N/A</v>
      </c>
      <c r="DX54" s="18" t="str">
        <f t="shared" si="205"/>
        <v>A2-8</v>
      </c>
      <c r="DY54" s="12">
        <f t="shared" si="206"/>
        <v>44868</v>
      </c>
      <c r="DZ54" s="11">
        <f t="shared" si="207"/>
        <v>27.003392885375497</v>
      </c>
      <c r="EA54" s="11">
        <f t="shared" si="208"/>
        <v>8</v>
      </c>
      <c r="EC54" s="13"/>
      <c r="ED54" s="13"/>
      <c r="EE54" s="12" t="e">
        <f t="shared" si="241"/>
        <v>#N/A</v>
      </c>
      <c r="EF54" s="12" t="e">
        <f t="shared" si="242"/>
        <v>#N/A</v>
      </c>
      <c r="EG54" s="11" t="e">
        <f t="shared" si="243"/>
        <v>#N/A</v>
      </c>
      <c r="EH54" s="11" t="e">
        <f t="shared" si="244"/>
        <v>#N/A</v>
      </c>
      <c r="EJ54" s="13"/>
      <c r="EK54" s="13"/>
      <c r="EL54" s="47" t="str">
        <f t="shared" si="172"/>
        <v>FY18-50</v>
      </c>
      <c r="EM54" s="46">
        <v>43265</v>
      </c>
      <c r="EN54" s="45">
        <v>12004837.380801015</v>
      </c>
      <c r="EO54" s="44">
        <f t="shared" si="173"/>
        <v>3000000</v>
      </c>
      <c r="EQ54" s="55" t="s">
        <v>44</v>
      </c>
      <c r="ER54" s="54"/>
      <c r="ET54" s="12" t="str">
        <f t="shared" si="209"/>
        <v>FY18-8</v>
      </c>
      <c r="EU54" s="12">
        <f t="shared" si="210"/>
        <v>42971</v>
      </c>
      <c r="EV54" s="11">
        <f t="shared" si="211"/>
        <v>16.172577453855439</v>
      </c>
      <c r="EW54" s="11">
        <f t="shared" si="212"/>
        <v>6</v>
      </c>
      <c r="EX54" s="13"/>
      <c r="EY54" s="13"/>
      <c r="EZ54" s="13"/>
      <c r="FA54" s="16" t="s">
        <v>33</v>
      </c>
      <c r="FB54" s="16">
        <v>43629</v>
      </c>
      <c r="FC54" s="15">
        <v>22750507.333374586</v>
      </c>
      <c r="FD54" s="14">
        <v>20000000</v>
      </c>
      <c r="FI54" s="12" t="str">
        <f t="shared" si="213"/>
        <v>FY19</v>
      </c>
      <c r="FJ54" s="12">
        <f t="shared" si="214"/>
        <v>43335</v>
      </c>
      <c r="FK54" s="11">
        <f t="shared" si="215"/>
        <v>14.031852256834073</v>
      </c>
      <c r="FL54" s="11">
        <f t="shared" si="216"/>
        <v>3</v>
      </c>
      <c r="FN54" s="13"/>
      <c r="FO54" s="13"/>
      <c r="FP54" s="12" t="str">
        <f t="shared" si="245"/>
        <v>FY19</v>
      </c>
      <c r="FQ54" s="12">
        <f t="shared" si="246"/>
        <v>43321</v>
      </c>
      <c r="FR54" s="11">
        <f t="shared" si="247"/>
        <v>89.658851621106137</v>
      </c>
      <c r="FS54" s="11">
        <f t="shared" si="248"/>
        <v>80</v>
      </c>
      <c r="FU54" s="13"/>
      <c r="FV54" s="13"/>
      <c r="FW54" s="16" t="s">
        <v>39</v>
      </c>
      <c r="FX54" s="16">
        <v>43993</v>
      </c>
      <c r="FY54" s="15">
        <v>24991572.879294623</v>
      </c>
      <c r="FZ54" s="14">
        <v>8000000</v>
      </c>
      <c r="GF54" s="12" t="str">
        <f t="shared" si="217"/>
        <v>FY20</v>
      </c>
      <c r="GG54" s="12">
        <f t="shared" si="218"/>
        <v>43699</v>
      </c>
      <c r="GH54" s="11">
        <f t="shared" si="219"/>
        <v>39.864962683334355</v>
      </c>
      <c r="GI54" s="11">
        <f t="shared" si="220"/>
        <v>40</v>
      </c>
      <c r="GK54" s="13"/>
      <c r="GL54" s="13"/>
      <c r="GM54" s="12" t="str">
        <f t="shared" si="249"/>
        <v>FY20</v>
      </c>
      <c r="GN54" s="12">
        <f t="shared" si="250"/>
        <v>43685</v>
      </c>
      <c r="GO54" s="11">
        <f t="shared" si="251"/>
        <v>22.977947397735008</v>
      </c>
      <c r="GP54" s="11">
        <f t="shared" si="252"/>
        <v>12</v>
      </c>
      <c r="GR54" s="13"/>
      <c r="GS54" s="13"/>
      <c r="GT54" s="16" t="s">
        <v>38</v>
      </c>
      <c r="GU54" s="16">
        <v>44357</v>
      </c>
      <c r="GV54" s="15">
        <v>23443848.707813926</v>
      </c>
      <c r="GW54" s="14">
        <v>8000000</v>
      </c>
      <c r="HB54" s="12" t="str">
        <f t="shared" si="221"/>
        <v>FY21</v>
      </c>
      <c r="HC54" s="12">
        <f t="shared" si="222"/>
        <v>44063</v>
      </c>
      <c r="HD54" s="11">
        <f t="shared" si="223"/>
        <v>18.946345758589239</v>
      </c>
      <c r="HE54" s="11">
        <f t="shared" si="224"/>
        <v>3</v>
      </c>
      <c r="HG54" s="13"/>
      <c r="HH54" s="13"/>
      <c r="HI54" s="16" t="s">
        <v>35</v>
      </c>
      <c r="HJ54" s="16">
        <v>44721</v>
      </c>
      <c r="HK54" s="15">
        <v>27291882.760717545</v>
      </c>
      <c r="HL54" s="14">
        <v>8000000</v>
      </c>
      <c r="HQ54" s="12" t="str">
        <f t="shared" si="225"/>
        <v>FY22</v>
      </c>
      <c r="HR54" s="12">
        <f t="shared" si="226"/>
        <v>44427</v>
      </c>
      <c r="HS54" s="11">
        <f t="shared" si="227"/>
        <v>20.220383581635755</v>
      </c>
      <c r="HT54" s="11">
        <f t="shared" si="228"/>
        <v>3</v>
      </c>
      <c r="HV54" s="13"/>
      <c r="HW54" s="13"/>
      <c r="HX54" s="12" t="str">
        <f t="shared" si="253"/>
        <v>FY22</v>
      </c>
      <c r="HY54" s="12">
        <f t="shared" si="254"/>
        <v>44413</v>
      </c>
      <c r="HZ54" s="11">
        <f t="shared" si="255"/>
        <v>80.09238577075098</v>
      </c>
      <c r="IA54" s="11">
        <f t="shared" si="256"/>
        <v>60</v>
      </c>
      <c r="IC54" s="13"/>
      <c r="ID54" s="13"/>
      <c r="IE54" s="16" t="s">
        <v>37</v>
      </c>
      <c r="IF54" s="16">
        <v>45092</v>
      </c>
      <c r="IG54" s="15">
        <v>87731429.334205076</v>
      </c>
      <c r="IH54" s="14">
        <v>60000000</v>
      </c>
      <c r="IM54" s="40">
        <v>100</v>
      </c>
      <c r="IN54" s="39">
        <f t="shared" si="258"/>
        <v>175737000</v>
      </c>
      <c r="IO54" s="40">
        <v>250</v>
      </c>
      <c r="IP54" s="39">
        <f t="shared" si="259"/>
        <v>246987000</v>
      </c>
      <c r="IR54" s="13"/>
      <c r="IS54" s="13"/>
      <c r="IT54" s="40">
        <v>100</v>
      </c>
      <c r="IU54" s="39">
        <f t="shared" si="260"/>
        <v>122583000.00000001</v>
      </c>
      <c r="IV54" s="40">
        <v>250</v>
      </c>
      <c r="IW54" s="39">
        <f t="shared" si="261"/>
        <v>226068000</v>
      </c>
      <c r="IY54" s="13"/>
      <c r="IZ54" s="13"/>
      <c r="JA54" s="16" t="s">
        <v>115</v>
      </c>
      <c r="JB54" s="16">
        <v>45456</v>
      </c>
      <c r="JC54" s="15">
        <v>41109275.79819113</v>
      </c>
      <c r="JD54" s="14">
        <v>20000000</v>
      </c>
      <c r="JI54" s="40">
        <v>100</v>
      </c>
      <c r="JJ54" s="39">
        <f t="shared" si="262"/>
        <v>175737000</v>
      </c>
      <c r="JK54" s="40">
        <v>250</v>
      </c>
      <c r="JL54" s="39">
        <f t="shared" si="263"/>
        <v>246987000</v>
      </c>
      <c r="JN54" s="13"/>
      <c r="JO54" s="13"/>
      <c r="JP54" s="40">
        <v>140</v>
      </c>
      <c r="JQ54" s="39">
        <f t="shared" si="182"/>
        <v>156779000</v>
      </c>
      <c r="JR54" s="40">
        <v>290</v>
      </c>
      <c r="JS54" s="39">
        <f t="shared" si="183"/>
        <v>242264000</v>
      </c>
      <c r="JU54" s="13"/>
      <c r="JV54" s="13"/>
      <c r="MY54" s="16" t="s">
        <v>34</v>
      </c>
      <c r="MZ54" s="16">
        <v>43181</v>
      </c>
      <c r="NA54" s="15">
        <v>52143080</v>
      </c>
      <c r="NB54" s="14">
        <v>40000000</v>
      </c>
      <c r="NG54" s="12" t="str">
        <f t="shared" si="229"/>
        <v>FY17</v>
      </c>
      <c r="NH54" s="12">
        <f t="shared" si="230"/>
        <v>42887</v>
      </c>
      <c r="NI54" s="11">
        <f t="shared" si="231"/>
        <v>23.254439999999999</v>
      </c>
      <c r="NJ54" s="11">
        <f t="shared" si="232"/>
        <v>10</v>
      </c>
      <c r="NL54" s="13"/>
      <c r="NN54" s="16" t="s">
        <v>33</v>
      </c>
      <c r="NO54" s="16">
        <v>43552</v>
      </c>
      <c r="NP54" s="15">
        <v>26306280</v>
      </c>
      <c r="NQ54" s="14">
        <v>20000000</v>
      </c>
      <c r="NV54" s="12" t="str">
        <f t="shared" si="233"/>
        <v>FY18</v>
      </c>
      <c r="NW54" s="12">
        <f t="shared" si="234"/>
        <v>43258</v>
      </c>
      <c r="NX54" s="11">
        <f t="shared" si="235"/>
        <v>56.733600000000003</v>
      </c>
      <c r="NY54" s="11">
        <f t="shared" si="236"/>
        <v>50</v>
      </c>
      <c r="OA54" s="13"/>
      <c r="OB54" s="1"/>
    </row>
    <row r="55" spans="2:392" x14ac:dyDescent="0.2">
      <c r="B55" s="5"/>
      <c r="C55" s="5"/>
      <c r="D55" s="5"/>
      <c r="F55" s="5" t="s">
        <v>43</v>
      </c>
      <c r="G55" s="53">
        <v>44819</v>
      </c>
      <c r="H55" s="53">
        <v>44924</v>
      </c>
      <c r="I55" s="50">
        <f>INT((WEEKDAY($G55-5)-$G55+$H55)/7)</f>
        <v>16</v>
      </c>
      <c r="K55" s="7">
        <v>51</v>
      </c>
      <c r="M55" s="5" t="str" cm="1">
        <f t="array" ref="M55">LOOKUP(2,1/($G$19:$G$35&lt;=$V55)/($H$19:$H$35&gt;=$V55),$F$19:$F$35)</f>
        <v>1H18</v>
      </c>
      <c r="N55" s="5" t="str" cm="1">
        <f t="array" ref="N55">LOOKUP(2,1/($G$8:$G$16&lt;=$V55)/($H$8:$H$16&gt;=$V55),$F$8:$F$16)</f>
        <v>FY18</v>
      </c>
      <c r="O55" s="5" t="str">
        <f>IFERROR(N55&amp;"-"&amp;COUNTIF($N$5:N55,N55),NA())</f>
        <v>FY18-25</v>
      </c>
      <c r="P55" s="5">
        <f>COUNTIF(V$5:V55,"&gt;="&amp;MAX($V:$V)-183)</f>
        <v>0</v>
      </c>
      <c r="Q55" s="5">
        <f>COUNTIF(V$5:V55,"&gt;="&amp;MAX($V:$V)-365)</f>
        <v>0</v>
      </c>
      <c r="R55" s="5" cm="1">
        <f t="array" ref="R55">LOOKUP(2,1/($G$46:$G$50&lt;=$V55)/($H$46:$H$50&gt;=$V55),$F$46:$F$50)</f>
        <v>0</v>
      </c>
      <c r="S55" s="5" cm="1">
        <f t="array" ref="S55">LOOKUP(2,1/($G$53:$G$56&lt;=$V55)/($H$53:$H$56&gt;=$V55),$F$53:$F$56)</f>
        <v>0</v>
      </c>
      <c r="T55" s="5" t="e">
        <f>IFERROR(IF($R55&gt;0,$R55&amp;"-"&amp;COUNTIF($R$5:$R55,$R55),NA()),NA())</f>
        <v>#N/A</v>
      </c>
      <c r="U55" s="5" t="e">
        <f>IFERROR(IF($S55&gt;0,$S55&amp;"-"&amp;COUNTIF($S$5:$S55,$S55),NA()),NA())</f>
        <v>#N/A</v>
      </c>
      <c r="V55" s="10">
        <v>43090</v>
      </c>
      <c r="W55" s="9">
        <v>23423034.712782472</v>
      </c>
      <c r="X55" s="9">
        <v>21761170.399910554</v>
      </c>
      <c r="Y55" s="8">
        <v>15000000</v>
      </c>
      <c r="AA55" s="48" t="e">
        <f t="shared" si="174"/>
        <v>#N/A</v>
      </c>
      <c r="AB55" s="12" t="e">
        <f t="shared" si="149"/>
        <v>#N/A</v>
      </c>
      <c r="AC55" s="15" t="e">
        <f t="shared" si="150"/>
        <v>#N/A</v>
      </c>
      <c r="AD55" s="14" t="e">
        <f t="shared" si="151"/>
        <v>#N/A</v>
      </c>
      <c r="AI55" s="18">
        <f t="shared" si="184"/>
        <v>9</v>
      </c>
      <c r="AJ55" s="12">
        <f t="shared" si="185"/>
        <v>45344</v>
      </c>
      <c r="AK55" s="11">
        <f t="shared" si="186"/>
        <v>20.955573934837091</v>
      </c>
      <c r="AL55" s="11">
        <f t="shared" si="187"/>
        <v>4</v>
      </c>
      <c r="AN55" s="13"/>
      <c r="AO55" s="13"/>
      <c r="AP55" s="18">
        <f t="shared" si="237"/>
        <v>7</v>
      </c>
      <c r="AQ55" s="12">
        <f t="shared" si="238"/>
        <v>45330</v>
      </c>
      <c r="AR55" s="11">
        <f t="shared" si="239"/>
        <v>22.03278903781192</v>
      </c>
      <c r="AS55" s="11">
        <f t="shared" si="240"/>
        <v>4</v>
      </c>
      <c r="AU55" s="13"/>
      <c r="AW55" s="48">
        <f t="shared" si="175"/>
        <v>51</v>
      </c>
      <c r="AX55" s="12">
        <f t="shared" si="152"/>
        <v>45456</v>
      </c>
      <c r="AY55" s="15">
        <f t="shared" si="153"/>
        <v>41109275.79819113</v>
      </c>
      <c r="AZ55" s="14">
        <f t="shared" si="154"/>
        <v>20000000</v>
      </c>
      <c r="BB55" s="115">
        <v>4000000</v>
      </c>
      <c r="BC55" s="2">
        <f t="shared" ref="BC55:BD63" si="265">COUNTIFS($Y:$Y,$BB55,$V:$V,"&gt;="&amp;BC$52,$V:$V,"&lt;="&amp;BC$53)</f>
        <v>13</v>
      </c>
      <c r="BD55" s="2">
        <f t="shared" si="265"/>
        <v>5</v>
      </c>
      <c r="BE55" s="39">
        <f>IFERROR(AVERAGEIFS($W:$W,$Y:$Y,$BB55,$V:$V,"&gt;="&amp;BE$52,$V:$V,"&lt;="&amp;BE$53),NA())</f>
        <v>20733043.786982246</v>
      </c>
      <c r="BF55" s="39">
        <f t="shared" ref="BF55:BF63" si="266">IFERROR(AVERAGEIFS($W:$W,$Y:$Y,$BB55,$V:$V,"&gt;="&amp;BF$52,$V:$V,"&lt;="&amp;BF$53),NA())</f>
        <v>19955382.113630079</v>
      </c>
      <c r="BG55" s="119">
        <f>BF55/BE55-1</f>
        <v>-3.7508321563495706E-2</v>
      </c>
      <c r="BI55" s="18">
        <f t="shared" si="188"/>
        <v>9</v>
      </c>
      <c r="BJ55" s="12">
        <f t="shared" si="189"/>
        <v>45162</v>
      </c>
      <c r="BK55" s="11">
        <f t="shared" si="190"/>
        <v>42.995307072027899</v>
      </c>
      <c r="BL55" s="11">
        <f t="shared" si="191"/>
        <v>20</v>
      </c>
      <c r="BN55" s="13"/>
      <c r="BO55" s="13"/>
      <c r="BP55" s="111">
        <v>15</v>
      </c>
      <c r="BQ55" s="39">
        <f t="shared" si="257"/>
        <v>32858999.999999996</v>
      </c>
      <c r="BR55" s="120">
        <f t="shared" si="264"/>
        <v>32.858999999999995</v>
      </c>
      <c r="BS55" s="39"/>
      <c r="BU55" s="13"/>
      <c r="BW55" s="48" t="e">
        <f t="shared" si="156"/>
        <v>#N/A</v>
      </c>
      <c r="BX55" s="12" t="e">
        <f t="shared" si="157"/>
        <v>#N/A</v>
      </c>
      <c r="BY55" s="15" t="e">
        <f t="shared" si="158"/>
        <v>#N/A</v>
      </c>
      <c r="BZ55" s="14" t="e">
        <f t="shared" si="159"/>
        <v>#N/A</v>
      </c>
      <c r="CE55" s="18" t="str">
        <f t="shared" si="193"/>
        <v>N1-9</v>
      </c>
      <c r="CF55" s="12">
        <f t="shared" si="194"/>
        <v>44168</v>
      </c>
      <c r="CG55" s="11">
        <f t="shared" si="195"/>
        <v>17.815226512617816</v>
      </c>
      <c r="CH55" s="11">
        <f t="shared" si="196"/>
        <v>3</v>
      </c>
      <c r="CJ55" s="13"/>
      <c r="CK55" s="13"/>
      <c r="CL55" s="48" t="e">
        <f t="shared" si="160"/>
        <v>#N/A</v>
      </c>
      <c r="CM55" s="12" t="e">
        <f t="shared" si="161"/>
        <v>#N/A</v>
      </c>
      <c r="CN55" s="49" t="e">
        <f t="shared" si="162"/>
        <v>#N/A</v>
      </c>
      <c r="CO55" s="49" t="e">
        <f t="shared" si="163"/>
        <v>#N/A</v>
      </c>
      <c r="CT55" s="18" t="str">
        <f t="shared" si="197"/>
        <v>A1-9</v>
      </c>
      <c r="CU55" s="12">
        <f t="shared" si="198"/>
        <v>44280</v>
      </c>
      <c r="CV55" s="11">
        <f t="shared" si="199"/>
        <v>23.50473821830343</v>
      </c>
      <c r="CW55" s="11">
        <f t="shared" si="200"/>
        <v>8</v>
      </c>
      <c r="CY55" s="13"/>
      <c r="DA55" s="48" t="e">
        <f t="shared" si="164"/>
        <v>#N/A</v>
      </c>
      <c r="DB55" s="12" t="e">
        <f t="shared" si="165"/>
        <v>#N/A</v>
      </c>
      <c r="DC55" s="15" t="e">
        <f t="shared" si="166"/>
        <v>#N/A</v>
      </c>
      <c r="DD55" s="14" t="e">
        <f t="shared" si="167"/>
        <v>#N/A</v>
      </c>
      <c r="DI55" s="18" t="str">
        <f t="shared" si="201"/>
        <v>N2-9</v>
      </c>
      <c r="DJ55" s="12">
        <f t="shared" si="202"/>
        <v>44763</v>
      </c>
      <c r="DK55" s="11">
        <f t="shared" si="203"/>
        <v>20.96840571602311</v>
      </c>
      <c r="DL55" s="11">
        <f t="shared" si="204"/>
        <v>4</v>
      </c>
      <c r="DN55" s="13"/>
      <c r="DO55" s="13"/>
      <c r="DP55" s="48" t="e">
        <f t="shared" si="168"/>
        <v>#N/A</v>
      </c>
      <c r="DQ55" s="12" t="e">
        <f t="shared" si="169"/>
        <v>#N/A</v>
      </c>
      <c r="DR55" s="15" t="e">
        <f t="shared" si="170"/>
        <v>#N/A</v>
      </c>
      <c r="DS55" s="14" t="e">
        <f t="shared" si="171"/>
        <v>#N/A</v>
      </c>
      <c r="DX55" s="18" t="str">
        <f t="shared" si="205"/>
        <v>A2-9</v>
      </c>
      <c r="DY55" s="12">
        <f t="shared" si="206"/>
        <v>44875</v>
      </c>
      <c r="DZ55" s="11">
        <f t="shared" si="207"/>
        <v>44.321005290361803</v>
      </c>
      <c r="EA55" s="11">
        <f t="shared" si="208"/>
        <v>20</v>
      </c>
      <c r="EC55" s="13"/>
      <c r="ED55" s="13"/>
      <c r="EE55" s="12" t="e">
        <f t="shared" si="241"/>
        <v>#N/A</v>
      </c>
      <c r="EF55" s="12" t="e">
        <f t="shared" si="242"/>
        <v>#N/A</v>
      </c>
      <c r="EG55" s="11" t="e">
        <f t="shared" si="243"/>
        <v>#N/A</v>
      </c>
      <c r="EH55" s="11" t="e">
        <f t="shared" si="244"/>
        <v>#N/A</v>
      </c>
      <c r="EJ55" s="13"/>
      <c r="EK55" s="13"/>
      <c r="EL55" s="47" t="str">
        <f t="shared" si="172"/>
        <v>FY18-51</v>
      </c>
      <c r="EM55" s="46">
        <v>43272</v>
      </c>
      <c r="EN55" s="45">
        <v>11422460.775588047</v>
      </c>
      <c r="EO55" s="44">
        <f t="shared" si="173"/>
        <v>3000000</v>
      </c>
      <c r="EQ55" s="52" t="s">
        <v>42</v>
      </c>
      <c r="ER55" s="52" t="s">
        <v>41</v>
      </c>
      <c r="ET55" s="12" t="str">
        <f t="shared" si="209"/>
        <v>FY18-9</v>
      </c>
      <c r="EU55" s="12">
        <f t="shared" si="210"/>
        <v>42978</v>
      </c>
      <c r="EV55" s="11">
        <f t="shared" si="211"/>
        <v>18.730835321718125</v>
      </c>
      <c r="EW55" s="11">
        <f t="shared" si="212"/>
        <v>10</v>
      </c>
      <c r="EX55" s="13"/>
      <c r="EY55" s="13"/>
      <c r="EZ55" s="13"/>
      <c r="FA55" s="16" t="s">
        <v>33</v>
      </c>
      <c r="FB55" s="16">
        <v>43636</v>
      </c>
      <c r="FC55" s="15">
        <v>27826067.454669226</v>
      </c>
      <c r="FD55" s="14">
        <v>30000000</v>
      </c>
      <c r="FI55" s="12" t="str">
        <f t="shared" si="213"/>
        <v>FY19</v>
      </c>
      <c r="FJ55" s="12">
        <f t="shared" si="214"/>
        <v>43342</v>
      </c>
      <c r="FK55" s="11">
        <f t="shared" si="215"/>
        <v>16.733295359186265</v>
      </c>
      <c r="FL55" s="11">
        <f t="shared" si="216"/>
        <v>8</v>
      </c>
      <c r="FN55" s="13"/>
      <c r="FO55" s="13"/>
      <c r="FP55" s="12" t="e">
        <f t="shared" si="245"/>
        <v>#N/A</v>
      </c>
      <c r="FQ55" s="12" t="e">
        <f t="shared" si="246"/>
        <v>#N/A</v>
      </c>
      <c r="FR55" s="11" t="e">
        <f t="shared" si="247"/>
        <v>#N/A</v>
      </c>
      <c r="FS55" s="11" t="e">
        <f t="shared" si="248"/>
        <v>#N/A</v>
      </c>
      <c r="FU55" s="13"/>
      <c r="FV55" s="13"/>
      <c r="FW55" s="16" t="s">
        <v>39</v>
      </c>
      <c r="FX55" s="16">
        <v>44000</v>
      </c>
      <c r="FY55" s="15">
        <v>31885473.031316504</v>
      </c>
      <c r="FZ55" s="14">
        <v>15000000</v>
      </c>
      <c r="GF55" s="12" t="str">
        <f t="shared" si="217"/>
        <v>FY20</v>
      </c>
      <c r="GG55" s="12">
        <f t="shared" si="218"/>
        <v>43706</v>
      </c>
      <c r="GH55" s="11">
        <f t="shared" si="219"/>
        <v>55.027958165728073</v>
      </c>
      <c r="GI55" s="11">
        <f t="shared" si="220"/>
        <v>60</v>
      </c>
      <c r="GK55" s="13"/>
      <c r="GL55" s="13"/>
      <c r="GM55" s="12" t="str">
        <f t="shared" si="249"/>
        <v>FY20</v>
      </c>
      <c r="GN55" s="12">
        <f t="shared" si="250"/>
        <v>43692</v>
      </c>
      <c r="GO55" s="11">
        <f t="shared" si="251"/>
        <v>29.967446995482394</v>
      </c>
      <c r="GP55" s="11">
        <f t="shared" si="252"/>
        <v>20</v>
      </c>
      <c r="GR55" s="13"/>
      <c r="GS55" s="13"/>
      <c r="GT55" s="16" t="s">
        <v>38</v>
      </c>
      <c r="GU55" s="16">
        <v>44364</v>
      </c>
      <c r="GV55" s="15">
        <v>36861438.491942838</v>
      </c>
      <c r="GW55" s="14">
        <v>20000000</v>
      </c>
      <c r="HB55" s="12" t="str">
        <f t="shared" si="221"/>
        <v>FY21</v>
      </c>
      <c r="HC55" s="12">
        <f t="shared" si="222"/>
        <v>44070</v>
      </c>
      <c r="HD55" s="11">
        <f t="shared" si="223"/>
        <v>26.767640012161749</v>
      </c>
      <c r="HE55" s="11">
        <f t="shared" si="224"/>
        <v>8</v>
      </c>
      <c r="HG55" s="13"/>
      <c r="HH55" s="13"/>
      <c r="HI55" s="16" t="s">
        <v>35</v>
      </c>
      <c r="HJ55" s="16">
        <v>44728</v>
      </c>
      <c r="HK55" s="15">
        <v>41963661.416844025</v>
      </c>
      <c r="HL55" s="14">
        <v>20000000</v>
      </c>
      <c r="HQ55" s="12" t="str">
        <f t="shared" si="225"/>
        <v>FY22</v>
      </c>
      <c r="HR55" s="12">
        <f t="shared" si="226"/>
        <v>44434</v>
      </c>
      <c r="HS55" s="11">
        <f t="shared" si="227"/>
        <v>29.212562359379749</v>
      </c>
      <c r="HT55" s="11">
        <f t="shared" si="228"/>
        <v>8</v>
      </c>
      <c r="HV55" s="13"/>
      <c r="HW55" s="13"/>
      <c r="HX55" s="12" t="str">
        <f t="shared" si="253"/>
        <v>FY22</v>
      </c>
      <c r="HY55" s="12">
        <f t="shared" si="254"/>
        <v>44420</v>
      </c>
      <c r="HZ55" s="11">
        <f t="shared" si="255"/>
        <v>125.40573986013986</v>
      </c>
      <c r="IA55" s="11">
        <f t="shared" si="256"/>
        <v>80</v>
      </c>
      <c r="IC55" s="13"/>
      <c r="ID55" s="13"/>
      <c r="IE55" s="16" t="s">
        <v>37</v>
      </c>
      <c r="IF55" s="16">
        <v>45099</v>
      </c>
      <c r="IG55" s="15">
        <v>169147583.30609131</v>
      </c>
      <c r="IH55" s="14">
        <v>100000000</v>
      </c>
      <c r="IM55" s="40">
        <v>110</v>
      </c>
      <c r="IN55" s="39">
        <f t="shared" si="258"/>
        <v>195747000</v>
      </c>
      <c r="IO55" s="40">
        <v>260</v>
      </c>
      <c r="IP55" s="39">
        <f t="shared" si="259"/>
        <v>219897000.00000012</v>
      </c>
      <c r="IR55" s="13"/>
      <c r="IS55" s="13"/>
      <c r="IT55" s="40">
        <v>110</v>
      </c>
      <c r="IU55" s="39">
        <f t="shared" si="260"/>
        <v>131582000</v>
      </c>
      <c r="IV55" s="40">
        <v>260</v>
      </c>
      <c r="IW55" s="39">
        <f t="shared" si="261"/>
        <v>230567000</v>
      </c>
      <c r="IY55" s="13"/>
      <c r="IZ55" s="13"/>
      <c r="JA55" s="16" t="s">
        <v>115</v>
      </c>
      <c r="JB55" s="16">
        <v>45463</v>
      </c>
      <c r="JC55" s="15">
        <v>55077120.627656102</v>
      </c>
      <c r="JD55" s="14">
        <v>40000000</v>
      </c>
      <c r="JI55" s="40">
        <v>110</v>
      </c>
      <c r="JJ55" s="39">
        <f t="shared" si="262"/>
        <v>195747000</v>
      </c>
      <c r="JK55" s="40">
        <v>260</v>
      </c>
      <c r="JL55" s="39">
        <f t="shared" si="263"/>
        <v>219897000.00000012</v>
      </c>
      <c r="JN55" s="13"/>
      <c r="JO55" s="13"/>
      <c r="JP55" s="40">
        <v>150</v>
      </c>
      <c r="JQ55" s="39">
        <f t="shared" si="182"/>
        <v>164578000</v>
      </c>
      <c r="JR55" s="40">
        <v>300</v>
      </c>
      <c r="JS55" s="39">
        <f t="shared" si="183"/>
        <v>245563000.00000003</v>
      </c>
      <c r="JU55" s="13"/>
      <c r="JV55" s="13"/>
      <c r="MY55" s="16" t="s">
        <v>34</v>
      </c>
      <c r="MZ55" s="16">
        <v>43188</v>
      </c>
      <c r="NA55" s="15">
        <v>15080230</v>
      </c>
      <c r="NB55" s="14">
        <v>3000000</v>
      </c>
      <c r="NG55" s="12" t="str">
        <f t="shared" si="229"/>
        <v>FY17</v>
      </c>
      <c r="NH55" s="12">
        <f t="shared" si="230"/>
        <v>42894</v>
      </c>
      <c r="NI55" s="11">
        <f t="shared" si="231"/>
        <v>30.271339999999999</v>
      </c>
      <c r="NJ55" s="11">
        <f t="shared" si="232"/>
        <v>15</v>
      </c>
      <c r="NL55" s="13"/>
      <c r="NN55" s="16" t="s">
        <v>33</v>
      </c>
      <c r="NO55" s="16">
        <v>43559</v>
      </c>
      <c r="NP55" s="15">
        <v>13384866</v>
      </c>
      <c r="NQ55" s="14">
        <v>3000000</v>
      </c>
      <c r="NV55" s="12" t="str">
        <f t="shared" si="233"/>
        <v>FY18</v>
      </c>
      <c r="NW55" s="12">
        <f t="shared" si="234"/>
        <v>43265</v>
      </c>
      <c r="NX55" s="11">
        <f t="shared" si="235"/>
        <v>11.832018</v>
      </c>
      <c r="NY55" s="11">
        <f t="shared" si="236"/>
        <v>3</v>
      </c>
      <c r="OA55" s="13"/>
      <c r="OB55" s="1"/>
    </row>
    <row r="56" spans="2:392" x14ac:dyDescent="0.2">
      <c r="B56" s="5"/>
      <c r="C56" s="5"/>
      <c r="D56" s="5"/>
      <c r="F56" s="5">
        <v>0</v>
      </c>
      <c r="G56" s="51">
        <f>H55+7</f>
        <v>44931</v>
      </c>
      <c r="H56" s="51">
        <f>EOMONTH(MAX($V:$V),0)</f>
        <v>45473</v>
      </c>
      <c r="I56" s="50"/>
      <c r="K56" s="7">
        <v>52</v>
      </c>
      <c r="M56" s="5" t="str" cm="1">
        <f t="array" ref="M56">LOOKUP(2,1/($G$19:$G$35&lt;=$V56)/($H$19:$H$35&gt;=$V56),$F$19:$F$35)</f>
        <v>1H18</v>
      </c>
      <c r="N56" s="5" t="str" cm="1">
        <f t="array" ref="N56">LOOKUP(2,1/($G$8:$G$16&lt;=$V56)/($H$8:$H$16&gt;=$V56),$F$8:$F$16)</f>
        <v>FY18</v>
      </c>
      <c r="O56" s="5" t="str">
        <f>IFERROR(N56&amp;"-"&amp;COUNTIF($N$5:N56,N56),NA())</f>
        <v>FY18-26</v>
      </c>
      <c r="P56" s="5">
        <f>COUNTIF(V$5:V56,"&gt;="&amp;MAX($V:$V)-183)</f>
        <v>0</v>
      </c>
      <c r="Q56" s="5">
        <f>COUNTIF(V$5:V56,"&gt;="&amp;MAX($V:$V)-365)</f>
        <v>0</v>
      </c>
      <c r="R56" s="5" cm="1">
        <f t="array" ref="R56">LOOKUP(2,1/($G$46:$G$50&lt;=$V56)/($H$46:$H$50&gt;=$V56),$F$46:$F$50)</f>
        <v>0</v>
      </c>
      <c r="S56" s="5" cm="1">
        <f t="array" ref="S56">LOOKUP(2,1/($G$53:$G$56&lt;=$V56)/($H$53:$H$56&gt;=$V56),$F$53:$F$56)</f>
        <v>0</v>
      </c>
      <c r="T56" s="5" t="e">
        <f>IFERROR(IF($R56&gt;0,$R56&amp;"-"&amp;COUNTIF($R$5:$R56,$R56),NA()),NA())</f>
        <v>#N/A</v>
      </c>
      <c r="U56" s="5" t="e">
        <f>IFERROR(IF($S56&gt;0,$S56&amp;"-"&amp;COUNTIF($S$5:$S56,$S56),NA()),NA())</f>
        <v>#N/A</v>
      </c>
      <c r="V56" s="10">
        <v>43097</v>
      </c>
      <c r="W56" s="9">
        <v>27652624.450577881</v>
      </c>
      <c r="X56" s="9">
        <v>25690670.74580938</v>
      </c>
      <c r="Y56" s="8">
        <v>25000000</v>
      </c>
      <c r="AA56" s="48" t="e">
        <f t="shared" si="174"/>
        <v>#N/A</v>
      </c>
      <c r="AB56" s="12" t="e">
        <f t="shared" si="149"/>
        <v>#N/A</v>
      </c>
      <c r="AC56" s="15" t="e">
        <f t="shared" si="150"/>
        <v>#N/A</v>
      </c>
      <c r="AD56" s="14" t="e">
        <f t="shared" si="151"/>
        <v>#N/A</v>
      </c>
      <c r="AI56" s="18">
        <f t="shared" si="184"/>
        <v>10</v>
      </c>
      <c r="AJ56" s="12">
        <f t="shared" si="185"/>
        <v>45351</v>
      </c>
      <c r="AK56" s="11">
        <f t="shared" si="186"/>
        <v>33.186050670153648</v>
      </c>
      <c r="AL56" s="11">
        <f t="shared" si="187"/>
        <v>12</v>
      </c>
      <c r="AN56" s="13"/>
      <c r="AO56" s="13"/>
      <c r="AP56" s="18">
        <f t="shared" si="237"/>
        <v>8</v>
      </c>
      <c r="AQ56" s="12">
        <f t="shared" si="238"/>
        <v>45337</v>
      </c>
      <c r="AR56" s="11">
        <f t="shared" si="239"/>
        <v>21.26904805491991</v>
      </c>
      <c r="AS56" s="11">
        <f t="shared" si="240"/>
        <v>4</v>
      </c>
      <c r="AU56" s="13"/>
      <c r="AW56" s="48">
        <f t="shared" si="175"/>
        <v>52</v>
      </c>
      <c r="AX56" s="12">
        <f t="shared" si="152"/>
        <v>45463</v>
      </c>
      <c r="AY56" s="15">
        <f t="shared" si="153"/>
        <v>55077120.627656102</v>
      </c>
      <c r="AZ56" s="14">
        <f t="shared" si="154"/>
        <v>40000000</v>
      </c>
      <c r="BB56" s="115">
        <v>8000000</v>
      </c>
      <c r="BC56" s="2">
        <f t="shared" si="265"/>
        <v>13</v>
      </c>
      <c r="BD56" s="2">
        <f t="shared" si="265"/>
        <v>3</v>
      </c>
      <c r="BE56" s="39">
        <f t="shared" ref="BE56:BE63" si="267">IFERROR(AVERAGEIFS($W:$W,$Y:$Y,$BB56,$V:$V,"&gt;="&amp;BE$52,$V:$V,"&lt;="&amp;BE$53),NA())</f>
        <v>26057631.096662536</v>
      </c>
      <c r="BF56" s="39">
        <f t="shared" si="266"/>
        <v>24338882.677708764</v>
      </c>
      <c r="BG56" s="119">
        <f t="shared" ref="BG56:BG63" si="268">BF56/BE56-1</f>
        <v>-6.5959503861957369E-2</v>
      </c>
      <c r="BI56" s="18">
        <f t="shared" si="188"/>
        <v>10</v>
      </c>
      <c r="BJ56" s="12">
        <f t="shared" si="189"/>
        <v>45169</v>
      </c>
      <c r="BK56" s="11">
        <f t="shared" si="190"/>
        <v>59.703342595619482</v>
      </c>
      <c r="BL56" s="11">
        <f t="shared" si="191"/>
        <v>40</v>
      </c>
      <c r="BN56" s="13"/>
      <c r="BO56" s="13"/>
      <c r="BP56" s="111">
        <v>20</v>
      </c>
      <c r="BQ56" s="39">
        <f t="shared" si="257"/>
        <v>38290000</v>
      </c>
      <c r="BR56" s="120">
        <f t="shared" si="264"/>
        <v>38.29</v>
      </c>
      <c r="BS56" s="39"/>
      <c r="BU56" s="13"/>
      <c r="BW56" s="48" t="e">
        <f t="shared" si="156"/>
        <v>#N/A</v>
      </c>
      <c r="BX56" s="12" t="e">
        <f t="shared" si="157"/>
        <v>#N/A</v>
      </c>
      <c r="BY56" s="15" t="e">
        <f t="shared" si="158"/>
        <v>#N/A</v>
      </c>
      <c r="BZ56" s="14" t="e">
        <f t="shared" si="159"/>
        <v>#N/A</v>
      </c>
      <c r="CE56" s="18" t="str">
        <f t="shared" si="193"/>
        <v>N1-10</v>
      </c>
      <c r="CF56" s="12">
        <f t="shared" si="194"/>
        <v>44175</v>
      </c>
      <c r="CG56" s="11">
        <f t="shared" si="195"/>
        <v>25.066381757373062</v>
      </c>
      <c r="CH56" s="11">
        <f t="shared" si="196"/>
        <v>8</v>
      </c>
      <c r="CK56" s="13"/>
      <c r="CL56" s="48" t="e">
        <f t="shared" si="160"/>
        <v>#N/A</v>
      </c>
      <c r="CM56" s="12" t="e">
        <f t="shared" si="161"/>
        <v>#N/A</v>
      </c>
      <c r="CN56" s="49" t="e">
        <f t="shared" si="162"/>
        <v>#N/A</v>
      </c>
      <c r="CO56" s="49" t="e">
        <f t="shared" si="163"/>
        <v>#N/A</v>
      </c>
      <c r="CT56" s="18" t="str">
        <f t="shared" si="197"/>
        <v>A1-10</v>
      </c>
      <c r="CU56" s="12">
        <f t="shared" si="198"/>
        <v>44287</v>
      </c>
      <c r="CV56" s="11">
        <f t="shared" si="199"/>
        <v>37.212500334448158</v>
      </c>
      <c r="CW56" s="11">
        <f t="shared" si="200"/>
        <v>20</v>
      </c>
      <c r="CY56" s="13"/>
      <c r="DA56" s="48" t="e">
        <f t="shared" si="164"/>
        <v>#N/A</v>
      </c>
      <c r="DB56" s="12" t="e">
        <f t="shared" si="165"/>
        <v>#N/A</v>
      </c>
      <c r="DC56" s="15" t="e">
        <f t="shared" si="166"/>
        <v>#N/A</v>
      </c>
      <c r="DD56" s="14" t="e">
        <f t="shared" si="167"/>
        <v>#N/A</v>
      </c>
      <c r="DI56" s="18" t="str">
        <f t="shared" si="201"/>
        <v>N2-10</v>
      </c>
      <c r="DJ56" s="12">
        <f t="shared" si="202"/>
        <v>44770</v>
      </c>
      <c r="DK56" s="11">
        <f t="shared" si="203"/>
        <v>19.329129096989966</v>
      </c>
      <c r="DL56" s="11">
        <f t="shared" si="204"/>
        <v>4</v>
      </c>
      <c r="DN56" s="13" t="s">
        <v>40</v>
      </c>
      <c r="DO56" s="13"/>
      <c r="DP56" s="48" t="e">
        <f t="shared" si="168"/>
        <v>#N/A</v>
      </c>
      <c r="DQ56" s="12" t="e">
        <f t="shared" si="169"/>
        <v>#N/A</v>
      </c>
      <c r="DR56" s="15" t="e">
        <f t="shared" si="170"/>
        <v>#N/A</v>
      </c>
      <c r="DS56" s="14" t="e">
        <f t="shared" si="171"/>
        <v>#N/A</v>
      </c>
      <c r="DX56" s="18" t="str">
        <f t="shared" si="205"/>
        <v>A2-10</v>
      </c>
      <c r="DY56" s="12">
        <f t="shared" si="206"/>
        <v>44882</v>
      </c>
      <c r="DZ56" s="11">
        <f t="shared" si="207"/>
        <v>51.026175372453629</v>
      </c>
      <c r="EA56" s="11">
        <f t="shared" si="208"/>
        <v>30</v>
      </c>
      <c r="EC56" s="13"/>
      <c r="ED56" s="13"/>
      <c r="EE56" s="12" t="str">
        <f t="shared" si="241"/>
        <v>A2-8</v>
      </c>
      <c r="EF56" s="12">
        <f t="shared" si="242"/>
        <v>44868</v>
      </c>
      <c r="EG56" s="11">
        <f t="shared" si="243"/>
        <v>27.003392885375497</v>
      </c>
      <c r="EH56" s="11">
        <f t="shared" si="244"/>
        <v>8</v>
      </c>
      <c r="EJ56" s="13"/>
      <c r="EK56" s="13"/>
      <c r="EL56" s="47" t="str">
        <f t="shared" si="172"/>
        <v>FY18-52</v>
      </c>
      <c r="EM56" s="46">
        <v>43279</v>
      </c>
      <c r="EN56" s="45">
        <v>16829889.891926251</v>
      </c>
      <c r="EO56" s="44">
        <f t="shared" si="173"/>
        <v>8000000</v>
      </c>
      <c r="EQ56" s="1">
        <v>1</v>
      </c>
      <c r="ER56" s="1">
        <v>3</v>
      </c>
      <c r="ET56" s="12" t="str">
        <f t="shared" si="209"/>
        <v>FY18-10</v>
      </c>
      <c r="EU56" s="12">
        <f t="shared" si="210"/>
        <v>42985</v>
      </c>
      <c r="EV56" s="11">
        <f t="shared" si="211"/>
        <v>25.735862268414696</v>
      </c>
      <c r="EW56" s="11">
        <f t="shared" si="212"/>
        <v>15</v>
      </c>
      <c r="EX56" s="13"/>
      <c r="EY56" s="13"/>
      <c r="EZ56" s="13"/>
      <c r="FA56" s="16" t="s">
        <v>33</v>
      </c>
      <c r="FB56" s="16">
        <v>43643</v>
      </c>
      <c r="FC56" s="15">
        <v>37957462.714276873</v>
      </c>
      <c r="FD56" s="14">
        <v>40000000</v>
      </c>
      <c r="FI56" s="12" t="str">
        <f t="shared" si="213"/>
        <v>FY19</v>
      </c>
      <c r="FJ56" s="12">
        <f t="shared" si="214"/>
        <v>43349</v>
      </c>
      <c r="FK56" s="11">
        <f t="shared" si="215"/>
        <v>21.606582835346465</v>
      </c>
      <c r="FL56" s="11">
        <f t="shared" si="216"/>
        <v>12</v>
      </c>
      <c r="FN56" s="13"/>
      <c r="FO56" s="13"/>
      <c r="FP56" s="12" t="str">
        <f t="shared" si="245"/>
        <v>FY19</v>
      </c>
      <c r="FQ56" s="12">
        <f t="shared" si="246"/>
        <v>43335</v>
      </c>
      <c r="FR56" s="11">
        <f t="shared" si="247"/>
        <v>14.031852256834073</v>
      </c>
      <c r="FS56" s="11">
        <f t="shared" si="248"/>
        <v>3</v>
      </c>
      <c r="FU56" s="13"/>
      <c r="FV56" s="13"/>
      <c r="FW56" s="16" t="s">
        <v>39</v>
      </c>
      <c r="FX56" s="16">
        <v>44007</v>
      </c>
      <c r="FY56" s="15">
        <v>48173921.070234112</v>
      </c>
      <c r="FZ56" s="14">
        <v>30000000</v>
      </c>
      <c r="GF56" s="12" t="str">
        <f t="shared" si="217"/>
        <v>FY20</v>
      </c>
      <c r="GG56" s="12">
        <f t="shared" si="218"/>
        <v>43713</v>
      </c>
      <c r="GH56" s="11">
        <f t="shared" si="219"/>
        <v>82.565532768116853</v>
      </c>
      <c r="GI56" s="11">
        <f t="shared" si="220"/>
        <v>80</v>
      </c>
      <c r="GK56" s="13"/>
      <c r="GL56" s="13"/>
      <c r="GM56" s="12" t="str">
        <f t="shared" si="249"/>
        <v>FY20</v>
      </c>
      <c r="GN56" s="12">
        <f t="shared" si="250"/>
        <v>43699</v>
      </c>
      <c r="GO56" s="11">
        <f t="shared" si="251"/>
        <v>39.864962683334355</v>
      </c>
      <c r="GP56" s="11">
        <f t="shared" si="252"/>
        <v>40</v>
      </c>
      <c r="GR56" s="13"/>
      <c r="GS56" s="13"/>
      <c r="GT56" s="16" t="s">
        <v>38</v>
      </c>
      <c r="GU56" s="16">
        <v>44371</v>
      </c>
      <c r="GV56" s="15">
        <v>55754455.457585886</v>
      </c>
      <c r="GW56" s="14">
        <v>40000000</v>
      </c>
      <c r="HB56" s="12" t="str">
        <f t="shared" si="221"/>
        <v>FY21</v>
      </c>
      <c r="HC56" s="12">
        <f t="shared" si="222"/>
        <v>44077</v>
      </c>
      <c r="HD56" s="11">
        <f t="shared" si="223"/>
        <v>40.517600243235023</v>
      </c>
      <c r="HE56" s="11">
        <f t="shared" si="224"/>
        <v>20</v>
      </c>
      <c r="HG56" s="13"/>
      <c r="HH56" s="13"/>
      <c r="HI56" s="16" t="s">
        <v>35</v>
      </c>
      <c r="HJ56" s="16">
        <v>44735</v>
      </c>
      <c r="HK56" s="15">
        <v>57463937.245363325</v>
      </c>
      <c r="HL56" s="14">
        <v>40000000</v>
      </c>
      <c r="HQ56" s="12" t="str">
        <f t="shared" si="225"/>
        <v>FY22</v>
      </c>
      <c r="HR56" s="12">
        <f t="shared" si="226"/>
        <v>44441</v>
      </c>
      <c r="HS56" s="11">
        <f t="shared" si="227"/>
        <v>43.186218060200659</v>
      </c>
      <c r="HT56" s="11">
        <f t="shared" si="228"/>
        <v>20</v>
      </c>
      <c r="HV56" s="13"/>
      <c r="HW56" s="13"/>
      <c r="HX56" s="12" t="str">
        <f t="shared" si="253"/>
        <v>FY22</v>
      </c>
      <c r="HY56" s="12">
        <f t="shared" si="254"/>
        <v>44427</v>
      </c>
      <c r="HZ56" s="11">
        <f t="shared" si="255"/>
        <v>20.220383581635755</v>
      </c>
      <c r="IA56" s="11">
        <f t="shared" si="256"/>
        <v>3</v>
      </c>
      <c r="IC56" s="13"/>
      <c r="ID56" s="13"/>
      <c r="IE56" s="16" t="s">
        <v>37</v>
      </c>
      <c r="IF56" s="16">
        <v>45106</v>
      </c>
      <c r="IG56" s="15">
        <v>19524423.123024959</v>
      </c>
      <c r="IH56" s="14">
        <v>4000000</v>
      </c>
      <c r="IM56" s="40">
        <v>120</v>
      </c>
      <c r="IN56" s="39">
        <f t="shared" si="258"/>
        <v>215136999.99999997</v>
      </c>
      <c r="IO56" s="40">
        <v>270</v>
      </c>
      <c r="IP56" s="39">
        <f t="shared" si="259"/>
        <v>186787000.00000003</v>
      </c>
      <c r="IR56" s="13"/>
      <c r="IS56" s="13"/>
      <c r="IT56" s="40">
        <v>120</v>
      </c>
      <c r="IU56" s="39">
        <f t="shared" si="260"/>
        <v>140281000</v>
      </c>
      <c r="IV56" s="40">
        <v>270</v>
      </c>
      <c r="IW56" s="39">
        <f t="shared" si="261"/>
        <v>234766000</v>
      </c>
      <c r="IY56" s="13"/>
      <c r="IZ56" s="13"/>
      <c r="JA56" s="16" t="s">
        <v>115</v>
      </c>
      <c r="JB56" s="16">
        <v>45470</v>
      </c>
      <c r="JC56" s="15">
        <v>19509070.393374741</v>
      </c>
      <c r="JD56" s="14">
        <v>4000000</v>
      </c>
      <c r="JI56" s="40">
        <v>120</v>
      </c>
      <c r="JJ56" s="39">
        <f t="shared" si="262"/>
        <v>215136999.99999997</v>
      </c>
      <c r="JK56" s="40">
        <v>270</v>
      </c>
      <c r="JL56" s="39">
        <f t="shared" si="263"/>
        <v>186787000.00000003</v>
      </c>
      <c r="JN56" s="13"/>
      <c r="JO56" s="13"/>
      <c r="JP56" s="40">
        <v>160</v>
      </c>
      <c r="JQ56" s="39">
        <f t="shared" si="182"/>
        <v>172077000</v>
      </c>
      <c r="JR56" s="40">
        <v>310</v>
      </c>
      <c r="JS56" s="39">
        <f t="shared" si="183"/>
        <v>248562000</v>
      </c>
      <c r="JU56" s="13"/>
      <c r="JV56" s="13"/>
      <c r="MY56" s="16" t="s">
        <v>34</v>
      </c>
      <c r="MZ56" s="16">
        <v>43195</v>
      </c>
      <c r="NA56" s="15">
        <v>18316540</v>
      </c>
      <c r="NB56" s="14">
        <v>6000000</v>
      </c>
      <c r="NG56" s="12" t="str">
        <f t="shared" si="229"/>
        <v>FY17</v>
      </c>
      <c r="NH56" s="12">
        <f t="shared" si="230"/>
        <v>42901</v>
      </c>
      <c r="NI56" s="11">
        <f t="shared" si="231"/>
        <v>43.455060000000003</v>
      </c>
      <c r="NJ56" s="11">
        <f t="shared" si="232"/>
        <v>30</v>
      </c>
      <c r="NL56" s="13"/>
      <c r="NN56" s="16" t="s">
        <v>33</v>
      </c>
      <c r="NO56" s="16">
        <v>43566</v>
      </c>
      <c r="NP56" s="15">
        <v>18163464</v>
      </c>
      <c r="NQ56" s="14">
        <v>8000000</v>
      </c>
      <c r="NV56" s="12" t="str">
        <f t="shared" si="233"/>
        <v>FY18</v>
      </c>
      <c r="NW56" s="12">
        <f t="shared" si="234"/>
        <v>43272</v>
      </c>
      <c r="NX56" s="11">
        <f t="shared" si="235"/>
        <v>11.01375</v>
      </c>
      <c r="NY56" s="11">
        <f t="shared" si="236"/>
        <v>3</v>
      </c>
      <c r="OA56" s="13"/>
      <c r="OB56" s="1"/>
    </row>
    <row r="57" spans="2:392" x14ac:dyDescent="0.2">
      <c r="B57" s="5"/>
      <c r="C57" s="5"/>
      <c r="D57" s="5"/>
      <c r="F57" s="5"/>
      <c r="G57" s="51"/>
      <c r="H57" s="51"/>
      <c r="I57" s="50"/>
      <c r="K57" s="7">
        <v>53</v>
      </c>
      <c r="M57" s="5" t="str" cm="1">
        <f t="array" ref="M57">LOOKUP(2,1/($G$19:$G$35&lt;=$V57)/($H$19:$H$35&gt;=$V57),$F$19:$F$35)</f>
        <v>2H18</v>
      </c>
      <c r="N57" s="5" t="str" cm="1">
        <f t="array" ref="N57">LOOKUP(2,1/($G$8:$G$16&lt;=$V57)/($H$8:$H$16&gt;=$V57),$F$8:$F$16)</f>
        <v>FY18</v>
      </c>
      <c r="O57" s="5" t="str">
        <f>IFERROR(N57&amp;"-"&amp;COUNTIF($N$5:N57,N57),NA())</f>
        <v>FY18-27</v>
      </c>
      <c r="P57" s="5">
        <f>COUNTIF(V$5:V57,"&gt;="&amp;MAX($V:$V)-183)</f>
        <v>0</v>
      </c>
      <c r="Q57" s="5">
        <f>COUNTIF(V$5:V57,"&gt;="&amp;MAX($V:$V)-365)</f>
        <v>0</v>
      </c>
      <c r="R57" s="5" cm="1">
        <f t="array" ref="R57">LOOKUP(2,1/($G$46:$G$50&lt;=$V57)/($H$46:$H$50&gt;=$V57),$F$46:$F$50)</f>
        <v>0</v>
      </c>
      <c r="S57" s="5" cm="1">
        <f t="array" ref="S57">LOOKUP(2,1/($G$53:$G$56&lt;=$V57)/($H$53:$H$56&gt;=$V57),$F$53:$F$56)</f>
        <v>0</v>
      </c>
      <c r="T57" s="5" t="e">
        <f>IFERROR(IF($R57&gt;0,$R57&amp;"-"&amp;COUNTIF($R$5:$R57,$R57),NA()),NA())</f>
        <v>#N/A</v>
      </c>
      <c r="U57" s="5" t="e">
        <f>IFERROR(IF($S57&gt;0,$S57&amp;"-"&amp;COUNTIF($S$5:$S57,$S57),NA()),NA())</f>
        <v>#N/A</v>
      </c>
      <c r="V57" s="10">
        <v>43104</v>
      </c>
      <c r="W57" s="9">
        <v>46986662.149387613</v>
      </c>
      <c r="X57" s="9">
        <v>43652958.46988856</v>
      </c>
      <c r="Y57" s="8">
        <v>35000000</v>
      </c>
      <c r="AI57" s="18">
        <f t="shared" si="184"/>
        <v>11</v>
      </c>
      <c r="AJ57" s="12">
        <f t="shared" si="185"/>
        <v>45358</v>
      </c>
      <c r="AK57" s="11">
        <f t="shared" si="186"/>
        <v>40.790859104282447</v>
      </c>
      <c r="AL57" s="11">
        <f t="shared" si="187"/>
        <v>20</v>
      </c>
      <c r="AN57" s="13"/>
      <c r="AO57" s="13"/>
      <c r="AP57" s="18">
        <f t="shared" si="237"/>
        <v>9</v>
      </c>
      <c r="AQ57" s="12">
        <f t="shared" si="238"/>
        <v>45344</v>
      </c>
      <c r="AR57" s="11">
        <f t="shared" si="239"/>
        <v>20.955573934837091</v>
      </c>
      <c r="AS57" s="11">
        <f t="shared" si="240"/>
        <v>4</v>
      </c>
      <c r="AU57" s="13"/>
      <c r="AW57" s="48">
        <f t="shared" si="175"/>
        <v>53</v>
      </c>
      <c r="AX57" s="12">
        <f t="shared" si="152"/>
        <v>45470</v>
      </c>
      <c r="AY57" s="15">
        <f t="shared" si="153"/>
        <v>19509070.393374741</v>
      </c>
      <c r="AZ57" s="14">
        <f t="shared" si="154"/>
        <v>4000000</v>
      </c>
      <c r="BB57" s="115">
        <v>12000000</v>
      </c>
      <c r="BC57" s="2">
        <f t="shared" si="265"/>
        <v>0</v>
      </c>
      <c r="BD57" s="2">
        <f t="shared" si="265"/>
        <v>5</v>
      </c>
      <c r="BE57" s="39" t="e">
        <f t="shared" si="267"/>
        <v>#N/A</v>
      </c>
      <c r="BF57" s="39">
        <f t="shared" si="266"/>
        <v>30691503.846572958</v>
      </c>
      <c r="BG57" s="119" t="e">
        <f t="shared" si="268"/>
        <v>#N/A</v>
      </c>
      <c r="BI57" s="18">
        <f t="shared" si="188"/>
        <v>11</v>
      </c>
      <c r="BJ57" s="12">
        <f t="shared" si="189"/>
        <v>45176</v>
      </c>
      <c r="BK57" s="11">
        <f t="shared" si="190"/>
        <v>20.222166067342272</v>
      </c>
      <c r="BL57" s="11">
        <f t="shared" si="191"/>
        <v>4</v>
      </c>
      <c r="BN57" s="13"/>
      <c r="BO57" s="13"/>
      <c r="BP57" s="111">
        <v>25</v>
      </c>
      <c r="BQ57" s="39">
        <f t="shared" si="257"/>
        <v>43721000</v>
      </c>
      <c r="BR57" s="120">
        <f t="shared" si="264"/>
        <v>43.720999999999997</v>
      </c>
      <c r="BS57" s="39"/>
      <c r="BU57" s="13"/>
      <c r="BW57" s="48" t="e">
        <f t="shared" si="156"/>
        <v>#N/A</v>
      </c>
      <c r="BX57" s="12" t="e">
        <f t="shared" si="157"/>
        <v>#N/A</v>
      </c>
      <c r="BY57" s="15" t="e">
        <f t="shared" si="158"/>
        <v>#N/A</v>
      </c>
      <c r="BZ57" s="14" t="e">
        <f t="shared" si="159"/>
        <v>#N/A</v>
      </c>
      <c r="CE57" s="18" t="str">
        <f t="shared" si="193"/>
        <v>N1-11</v>
      </c>
      <c r="CF57" s="12">
        <f t="shared" si="194"/>
        <v>44182</v>
      </c>
      <c r="CG57" s="11">
        <f t="shared" si="195"/>
        <v>40.397165825478872</v>
      </c>
      <c r="CH57" s="11">
        <f t="shared" si="196"/>
        <v>20</v>
      </c>
      <c r="CK57" s="13"/>
      <c r="CL57" s="48" t="e">
        <f t="shared" si="160"/>
        <v>#N/A</v>
      </c>
      <c r="CM57" s="12" t="e">
        <f t="shared" si="161"/>
        <v>#N/A</v>
      </c>
      <c r="CN57" s="49" t="e">
        <f t="shared" si="162"/>
        <v>#N/A</v>
      </c>
      <c r="CO57" s="49" t="e">
        <f t="shared" si="163"/>
        <v>#N/A</v>
      </c>
      <c r="CT57" s="18" t="str">
        <f t="shared" si="197"/>
        <v>A1-11</v>
      </c>
      <c r="CU57" s="12">
        <f t="shared" si="198"/>
        <v>44294</v>
      </c>
      <c r="CV57" s="11">
        <f t="shared" si="199"/>
        <v>41.866552508361195</v>
      </c>
      <c r="CW57" s="11">
        <f t="shared" si="200"/>
        <v>30</v>
      </c>
      <c r="CY57" s="13"/>
      <c r="DA57" s="48" t="e">
        <f t="shared" si="164"/>
        <v>#N/A</v>
      </c>
      <c r="DB57" s="12" t="e">
        <f t="shared" si="165"/>
        <v>#N/A</v>
      </c>
      <c r="DC57" s="15" t="e">
        <f t="shared" si="166"/>
        <v>#N/A</v>
      </c>
      <c r="DD57" s="14" t="e">
        <f t="shared" si="167"/>
        <v>#N/A</v>
      </c>
      <c r="DI57" s="18" t="str">
        <f t="shared" si="201"/>
        <v>N2-11</v>
      </c>
      <c r="DJ57" s="12">
        <f t="shared" si="202"/>
        <v>44777</v>
      </c>
      <c r="DK57" s="11">
        <f t="shared" si="203"/>
        <v>24.328928428093644</v>
      </c>
      <c r="DL57" s="11">
        <f t="shared" si="204"/>
        <v>8</v>
      </c>
      <c r="DN57" s="13" t="s">
        <v>36</v>
      </c>
      <c r="DO57" s="13"/>
      <c r="DP57" s="48" t="e">
        <f t="shared" si="168"/>
        <v>#N/A</v>
      </c>
      <c r="DQ57" s="12" t="e">
        <f t="shared" si="169"/>
        <v>#N/A</v>
      </c>
      <c r="DR57" s="15" t="e">
        <f t="shared" si="170"/>
        <v>#N/A</v>
      </c>
      <c r="DS57" s="14" t="e">
        <f t="shared" si="171"/>
        <v>#N/A</v>
      </c>
      <c r="DX57" s="18" t="str">
        <f t="shared" si="205"/>
        <v>A2-11</v>
      </c>
      <c r="DY57" s="12">
        <f t="shared" si="206"/>
        <v>44889</v>
      </c>
      <c r="DZ57" s="11">
        <f t="shared" si="207"/>
        <v>71.266594101550623</v>
      </c>
      <c r="EA57" s="11">
        <f t="shared" si="208"/>
        <v>50</v>
      </c>
      <c r="EC57" s="13"/>
      <c r="ED57" s="13"/>
      <c r="EE57" s="12" t="str">
        <f t="shared" si="241"/>
        <v>A2-9</v>
      </c>
      <c r="EF57" s="12">
        <f t="shared" si="242"/>
        <v>44875</v>
      </c>
      <c r="EG57" s="11">
        <f t="shared" si="243"/>
        <v>44.321005290361803</v>
      </c>
      <c r="EH57" s="11">
        <f t="shared" si="244"/>
        <v>20</v>
      </c>
      <c r="EJ57" s="13"/>
      <c r="EK57" s="13"/>
      <c r="EL57" s="47" t="e">
        <f t="shared" si="172"/>
        <v>#N/A</v>
      </c>
      <c r="EM57" s="46" t="e">
        <f>IF(ISNA($EL57),NA(),INDEX($V:$V,MATCH(EL57,$O:$O,0)))</f>
        <v>#N/A</v>
      </c>
      <c r="EN57" s="45" t="e">
        <f>IF(ISNA($EL57),NA(),INDEX($W:$W,MATCH($EL57,$O:$O,0)))</f>
        <v>#N/A</v>
      </c>
      <c r="EO57" s="44" t="e">
        <f t="shared" si="173"/>
        <v>#N/A</v>
      </c>
      <c r="EQ57" s="1">
        <v>2</v>
      </c>
      <c r="ER57" s="1">
        <v>8</v>
      </c>
      <c r="ET57" s="12" t="str">
        <f t="shared" si="209"/>
        <v>FY18-11</v>
      </c>
      <c r="EU57" s="12">
        <f t="shared" si="210"/>
        <v>42992</v>
      </c>
      <c r="EV57" s="11">
        <f t="shared" si="211"/>
        <v>42.95593276349836</v>
      </c>
      <c r="EW57" s="11">
        <f t="shared" si="212"/>
        <v>30</v>
      </c>
      <c r="EX57" s="13"/>
      <c r="EY57" s="13"/>
      <c r="EZ57" s="13"/>
      <c r="FI57" s="12" t="str">
        <f t="shared" si="213"/>
        <v>FY19</v>
      </c>
      <c r="FJ57" s="12">
        <f t="shared" si="214"/>
        <v>43356</v>
      </c>
      <c r="FK57" s="11">
        <f t="shared" si="215"/>
        <v>27.308763127781301</v>
      </c>
      <c r="FL57" s="11">
        <f t="shared" si="216"/>
        <v>20</v>
      </c>
      <c r="FN57" s="13"/>
      <c r="FO57" s="13"/>
      <c r="FP57" s="12" t="str">
        <f t="shared" si="245"/>
        <v>FY19</v>
      </c>
      <c r="FQ57" s="12">
        <f t="shared" si="246"/>
        <v>43342</v>
      </c>
      <c r="FR57" s="11">
        <f t="shared" si="247"/>
        <v>16.733295359186265</v>
      </c>
      <c r="FS57" s="11">
        <f t="shared" si="248"/>
        <v>8</v>
      </c>
      <c r="FU57" s="13"/>
      <c r="FV57" s="13"/>
      <c r="GF57" s="12" t="str">
        <f t="shared" si="217"/>
        <v>FY20</v>
      </c>
      <c r="GG57" s="12">
        <f t="shared" si="218"/>
        <v>43720</v>
      </c>
      <c r="GH57" s="11">
        <f t="shared" si="219"/>
        <v>124.36185927346989</v>
      </c>
      <c r="GI57" s="11">
        <f t="shared" si="220"/>
        <v>100</v>
      </c>
      <c r="GK57" s="13"/>
      <c r="GL57" s="13"/>
      <c r="GM57" s="12" t="str">
        <f t="shared" si="249"/>
        <v>FY20</v>
      </c>
      <c r="GN57" s="12">
        <f t="shared" si="250"/>
        <v>43706</v>
      </c>
      <c r="GO57" s="11">
        <f t="shared" si="251"/>
        <v>55.027958165728073</v>
      </c>
      <c r="GP57" s="11">
        <f t="shared" si="252"/>
        <v>60</v>
      </c>
      <c r="GR57" s="13"/>
      <c r="GS57" s="13"/>
      <c r="HB57" s="12" t="str">
        <f t="shared" si="221"/>
        <v>FY21</v>
      </c>
      <c r="HC57" s="12">
        <f t="shared" si="222"/>
        <v>44084</v>
      </c>
      <c r="HD57" s="11">
        <f t="shared" si="223"/>
        <v>59.511774764366059</v>
      </c>
      <c r="HE57" s="11">
        <f t="shared" si="224"/>
        <v>40</v>
      </c>
      <c r="HG57" s="13"/>
      <c r="HH57" s="13"/>
      <c r="HI57" s="16" t="s">
        <v>35</v>
      </c>
      <c r="HJ57" s="16">
        <v>44742</v>
      </c>
      <c r="HK57" s="15">
        <v>77836461.903314069</v>
      </c>
      <c r="HL57" s="14">
        <v>60000000</v>
      </c>
      <c r="HQ57" s="12" t="str">
        <f t="shared" si="225"/>
        <v>FY22</v>
      </c>
      <c r="HR57" s="12">
        <f t="shared" si="226"/>
        <v>44448</v>
      </c>
      <c r="HS57" s="11">
        <f t="shared" si="227"/>
        <v>19.506276923076921</v>
      </c>
      <c r="HT57" s="11">
        <f t="shared" si="228"/>
        <v>3</v>
      </c>
      <c r="HV57" s="13"/>
      <c r="HW57" s="13"/>
      <c r="HX57" s="12" t="str">
        <f t="shared" si="253"/>
        <v>FY22</v>
      </c>
      <c r="HY57" s="12">
        <f t="shared" si="254"/>
        <v>44434</v>
      </c>
      <c r="HZ57" s="11">
        <f t="shared" si="255"/>
        <v>29.212562359379749</v>
      </c>
      <c r="IA57" s="11">
        <f t="shared" si="256"/>
        <v>8</v>
      </c>
      <c r="IC57" s="13"/>
      <c r="ID57" s="13"/>
      <c r="IE57" s="16"/>
      <c r="IF57" s="16"/>
      <c r="IG57" s="15"/>
      <c r="IH57" s="14"/>
      <c r="IM57" s="40">
        <v>130</v>
      </c>
      <c r="IN57" s="39">
        <f t="shared" si="258"/>
        <v>233547000.00000003</v>
      </c>
      <c r="IO57" s="40">
        <v>280</v>
      </c>
      <c r="IP57" s="39">
        <f t="shared" si="259"/>
        <v>147296999.99999985</v>
      </c>
      <c r="IR57" s="13"/>
      <c r="IS57" s="13"/>
      <c r="IT57" s="40">
        <v>130</v>
      </c>
      <c r="IU57" s="39">
        <f t="shared" si="260"/>
        <v>148680000</v>
      </c>
      <c r="IV57" s="40">
        <v>280</v>
      </c>
      <c r="IW57" s="39">
        <f t="shared" si="261"/>
        <v>238665000</v>
      </c>
      <c r="IY57" s="13"/>
      <c r="IZ57" s="13"/>
      <c r="JA57" s="16"/>
      <c r="JB57" s="16"/>
      <c r="JC57" s="15"/>
      <c r="JD57" s="14"/>
      <c r="JI57" s="40">
        <v>130</v>
      </c>
      <c r="JJ57" s="39">
        <f t="shared" si="262"/>
        <v>233547000.00000003</v>
      </c>
      <c r="JK57" s="40">
        <v>280</v>
      </c>
      <c r="JL57" s="39">
        <f t="shared" si="263"/>
        <v>147296999.99999985</v>
      </c>
      <c r="JN57" s="13"/>
      <c r="JO57" s="13"/>
      <c r="JP57" s="40">
        <v>170</v>
      </c>
      <c r="JQ57" s="39">
        <f t="shared" si="182"/>
        <v>179276000</v>
      </c>
      <c r="JR57" s="40">
        <v>320</v>
      </c>
      <c r="JS57" s="39">
        <f t="shared" si="183"/>
        <v>251261000.00000003</v>
      </c>
      <c r="JU57" s="13"/>
      <c r="JV57" s="13"/>
      <c r="MY57" s="16" t="s">
        <v>34</v>
      </c>
      <c r="MZ57" s="16">
        <v>43202</v>
      </c>
      <c r="NA57" s="15">
        <v>12798500</v>
      </c>
      <c r="NB57" s="14">
        <v>3000000</v>
      </c>
      <c r="NG57" s="12" t="str">
        <f t="shared" si="229"/>
        <v>FY17</v>
      </c>
      <c r="NH57" s="12">
        <f t="shared" si="230"/>
        <v>42908</v>
      </c>
      <c r="NI57" s="11">
        <f t="shared" si="231"/>
        <v>12.797510000000001</v>
      </c>
      <c r="NJ57" s="11">
        <f t="shared" si="232"/>
        <v>3</v>
      </c>
      <c r="NL57" s="13"/>
      <c r="NN57" s="16" t="s">
        <v>33</v>
      </c>
      <c r="NO57" s="16">
        <v>43573</v>
      </c>
      <c r="NP57" s="15">
        <v>21462540</v>
      </c>
      <c r="NQ57" s="14">
        <v>12000000</v>
      </c>
      <c r="NV57" s="12" t="str">
        <f t="shared" si="233"/>
        <v>FY18</v>
      </c>
      <c r="NW57" s="12">
        <f t="shared" si="234"/>
        <v>43279</v>
      </c>
      <c r="NX57" s="11">
        <f t="shared" si="235"/>
        <v>16.538214</v>
      </c>
      <c r="NY57" s="11">
        <f t="shared" si="236"/>
        <v>8</v>
      </c>
      <c r="OA57" s="13"/>
      <c r="OB57" s="1"/>
    </row>
    <row r="58" spans="2:392" x14ac:dyDescent="0.2">
      <c r="B58" s="5"/>
      <c r="C58" s="5"/>
      <c r="D58" s="5"/>
      <c r="F58" s="5"/>
      <c r="G58" s="5"/>
      <c r="H58" s="5"/>
      <c r="I58" s="5"/>
      <c r="M58" s="5" t="str" cm="1">
        <f t="array" ref="M58">LOOKUP(2,1/($G$19:$G$35&lt;=$V58)/($H$19:$H$35&gt;=$V58),$F$19:$F$35)</f>
        <v>2H18</v>
      </c>
      <c r="N58" s="5" t="str" cm="1">
        <f t="array" ref="N58">LOOKUP(2,1/($G$8:$G$16&lt;=$V58)/($H$8:$H$16&gt;=$V58),$F$8:$F$16)</f>
        <v>FY18</v>
      </c>
      <c r="O58" s="5" t="str">
        <f>IFERROR(N58&amp;"-"&amp;COUNTIF($N$5:N58,N58),NA())</f>
        <v>FY18-28</v>
      </c>
      <c r="P58" s="5">
        <f>COUNTIF(V$5:V58,"&gt;="&amp;MAX($V:$V)-183)</f>
        <v>0</v>
      </c>
      <c r="Q58" s="5">
        <f>COUNTIF(V$5:V58,"&gt;="&amp;MAX($V:$V)-365)</f>
        <v>0</v>
      </c>
      <c r="R58" s="5" cm="1">
        <f t="array" ref="R58">LOOKUP(2,1/($G$46:$G$50&lt;=$V58)/($H$46:$H$50&gt;=$V58),$F$46:$F$50)</f>
        <v>0</v>
      </c>
      <c r="S58" s="5" cm="1">
        <f t="array" ref="S58">LOOKUP(2,1/($G$53:$G$56&lt;=$V58)/($H$53:$H$56&gt;=$V58),$F$53:$F$56)</f>
        <v>0</v>
      </c>
      <c r="T58" s="5" t="e">
        <f>IFERROR(IF($R58&gt;0,$R58&amp;"-"&amp;COUNTIF($R$5:$R58,$R58),NA()),NA())</f>
        <v>#N/A</v>
      </c>
      <c r="U58" s="5" t="e">
        <f>IFERROR(IF($S58&gt;0,$S58&amp;"-"&amp;COUNTIF($S$5:$S58,$S58),NA()),NA())</f>
        <v>#N/A</v>
      </c>
      <c r="V58" s="10">
        <v>43111</v>
      </c>
      <c r="W58" s="9">
        <v>80521889.218561321</v>
      </c>
      <c r="X58" s="9">
        <v>74808861.178504393</v>
      </c>
      <c r="Y58" s="8">
        <v>55000000</v>
      </c>
      <c r="AI58" s="18">
        <f t="shared" si="184"/>
        <v>12</v>
      </c>
      <c r="AJ58" s="12">
        <f t="shared" si="185"/>
        <v>45365</v>
      </c>
      <c r="AK58" s="11">
        <f t="shared" si="186"/>
        <v>52.908046965239187</v>
      </c>
      <c r="AL58" s="11">
        <f t="shared" si="187"/>
        <v>40</v>
      </c>
      <c r="AN58" s="13"/>
      <c r="AO58" s="13"/>
      <c r="AP58" s="18">
        <f t="shared" si="237"/>
        <v>10</v>
      </c>
      <c r="AQ58" s="12">
        <f t="shared" si="238"/>
        <v>45351</v>
      </c>
      <c r="AR58" s="11">
        <f t="shared" si="239"/>
        <v>33.186050670153648</v>
      </c>
      <c r="AS58" s="11">
        <f t="shared" si="240"/>
        <v>12</v>
      </c>
      <c r="AU58" s="13"/>
      <c r="BB58" s="115">
        <v>20000000</v>
      </c>
      <c r="BC58" s="2">
        <f t="shared" si="265"/>
        <v>10</v>
      </c>
      <c r="BD58" s="2">
        <f t="shared" si="265"/>
        <v>6</v>
      </c>
      <c r="BE58" s="39">
        <f t="shared" si="267"/>
        <v>40835805.837640613</v>
      </c>
      <c r="BF58" s="39">
        <f t="shared" si="266"/>
        <v>40804942.900730088</v>
      </c>
      <c r="BG58" s="119">
        <f t="shared" si="268"/>
        <v>-7.5578126297382031E-4</v>
      </c>
      <c r="BI58" s="18">
        <f t="shared" si="188"/>
        <v>12</v>
      </c>
      <c r="BJ58" s="12">
        <f t="shared" si="189"/>
        <v>45183</v>
      </c>
      <c r="BK58" s="11">
        <f t="shared" si="190"/>
        <v>32.237415277323748</v>
      </c>
      <c r="BL58" s="11">
        <f t="shared" si="191"/>
        <v>12</v>
      </c>
      <c r="BN58" s="13"/>
      <c r="BO58" s="13"/>
      <c r="BP58" s="111">
        <v>30</v>
      </c>
      <c r="BQ58" s="39">
        <f t="shared" si="257"/>
        <v>49152000</v>
      </c>
      <c r="BR58" s="120">
        <f t="shared" si="264"/>
        <v>49.152000000000001</v>
      </c>
      <c r="BS58" s="39"/>
      <c r="BU58" s="13"/>
      <c r="CE58" s="18" t="str">
        <f t="shared" si="193"/>
        <v>N1-12</v>
      </c>
      <c r="CF58" s="12">
        <f t="shared" si="194"/>
        <v>44189</v>
      </c>
      <c r="CG58" s="11">
        <f t="shared" si="195"/>
        <v>19.022130495591366</v>
      </c>
      <c r="CH58" s="11">
        <f t="shared" si="196"/>
        <v>3</v>
      </c>
      <c r="CK58" s="13"/>
      <c r="CT58" s="18" t="str">
        <f t="shared" si="197"/>
        <v>A1-12</v>
      </c>
      <c r="CU58" s="12">
        <f t="shared" si="198"/>
        <v>44301</v>
      </c>
      <c r="CV58" s="11">
        <f t="shared" si="199"/>
        <v>63.615309698996647</v>
      </c>
      <c r="CW58" s="11">
        <f t="shared" si="200"/>
        <v>50</v>
      </c>
      <c r="CY58" s="13"/>
      <c r="DI58" s="18" t="str">
        <f t="shared" si="201"/>
        <v>N2-12</v>
      </c>
      <c r="DJ58" s="12">
        <f t="shared" si="202"/>
        <v>44784</v>
      </c>
      <c r="DK58" s="11">
        <f t="shared" si="203"/>
        <v>39.456376284584977</v>
      </c>
      <c r="DL58" s="11">
        <f t="shared" si="204"/>
        <v>20</v>
      </c>
      <c r="DN58" s="14">
        <v>234</v>
      </c>
      <c r="DO58" s="13"/>
      <c r="DX58" s="18" t="str">
        <f t="shared" si="205"/>
        <v>A2-12</v>
      </c>
      <c r="DY58" s="12">
        <f t="shared" si="206"/>
        <v>44896</v>
      </c>
      <c r="DZ58" s="11">
        <f t="shared" si="207"/>
        <v>25.213057950744904</v>
      </c>
      <c r="EA58" s="11">
        <f t="shared" si="208"/>
        <v>8</v>
      </c>
      <c r="EC58" s="13"/>
      <c r="ED58" s="13"/>
      <c r="EE58" s="12" t="str">
        <f t="shared" si="241"/>
        <v>A2-10</v>
      </c>
      <c r="EF58" s="12">
        <f t="shared" si="242"/>
        <v>44882</v>
      </c>
      <c r="EG58" s="11">
        <f t="shared" si="243"/>
        <v>51.026175372453629</v>
      </c>
      <c r="EH58" s="11">
        <f t="shared" si="244"/>
        <v>30</v>
      </c>
      <c r="EJ58" s="13"/>
      <c r="EK58" s="13"/>
      <c r="EQ58" s="1">
        <v>3</v>
      </c>
      <c r="ER58" s="1">
        <v>12</v>
      </c>
      <c r="ET58" s="12" t="str">
        <f t="shared" si="209"/>
        <v>FY18-12</v>
      </c>
      <c r="EU58" s="12">
        <f t="shared" si="210"/>
        <v>42999</v>
      </c>
      <c r="EV58" s="11">
        <f t="shared" si="211"/>
        <v>69.849422718647574</v>
      </c>
      <c r="EW58" s="11">
        <f t="shared" si="212"/>
        <v>50</v>
      </c>
      <c r="EX58" s="13"/>
      <c r="EY58" s="13"/>
      <c r="EZ58" s="13"/>
      <c r="FI58" s="12" t="str">
        <f t="shared" si="213"/>
        <v>FY19</v>
      </c>
      <c r="FJ58" s="12">
        <f t="shared" si="214"/>
        <v>43363</v>
      </c>
      <c r="FK58" s="11">
        <f t="shared" si="215"/>
        <v>36.523512523839784</v>
      </c>
      <c r="FL58" s="11">
        <f t="shared" si="216"/>
        <v>30</v>
      </c>
      <c r="FN58" s="13"/>
      <c r="FO58" s="13"/>
      <c r="FP58" s="12" t="str">
        <f t="shared" si="245"/>
        <v>FY19</v>
      </c>
      <c r="FQ58" s="12">
        <f t="shared" si="246"/>
        <v>43349</v>
      </c>
      <c r="FR58" s="11">
        <f t="shared" si="247"/>
        <v>21.606582835346465</v>
      </c>
      <c r="FS58" s="11">
        <f t="shared" si="248"/>
        <v>12</v>
      </c>
      <c r="FU58" s="13"/>
      <c r="FV58" s="13"/>
      <c r="GF58" s="12" t="str">
        <f t="shared" si="217"/>
        <v>FY20</v>
      </c>
      <c r="GG58" s="12">
        <f t="shared" si="218"/>
        <v>43727</v>
      </c>
      <c r="GH58" s="11">
        <f t="shared" si="219"/>
        <v>202.66496689151555</v>
      </c>
      <c r="GI58" s="11">
        <f t="shared" si="220"/>
        <v>150</v>
      </c>
      <c r="GK58" s="13"/>
      <c r="GL58" s="13"/>
      <c r="GM58" s="12" t="str">
        <f t="shared" si="249"/>
        <v>FY20</v>
      </c>
      <c r="GN58" s="12">
        <f t="shared" si="250"/>
        <v>43713</v>
      </c>
      <c r="GO58" s="11">
        <f t="shared" si="251"/>
        <v>82.565532768116853</v>
      </c>
      <c r="GP58" s="11">
        <f t="shared" si="252"/>
        <v>80</v>
      </c>
      <c r="GR58" s="13"/>
      <c r="GS58" s="13"/>
      <c r="HB58" s="12" t="str">
        <f t="shared" si="221"/>
        <v>FY21</v>
      </c>
      <c r="HC58" s="12">
        <f t="shared" si="222"/>
        <v>44091</v>
      </c>
      <c r="HD58" s="11">
        <f t="shared" si="223"/>
        <v>82.205458680449993</v>
      </c>
      <c r="HE58" s="11">
        <f t="shared" si="224"/>
        <v>60</v>
      </c>
      <c r="HG58" s="13"/>
      <c r="HH58" s="13"/>
      <c r="HQ58" s="12" t="str">
        <f t="shared" si="225"/>
        <v>FY22</v>
      </c>
      <c r="HR58" s="12">
        <f t="shared" si="226"/>
        <v>44455</v>
      </c>
      <c r="HS58" s="11">
        <f t="shared" si="227"/>
        <v>25.355454910307085</v>
      </c>
      <c r="HT58" s="11">
        <f t="shared" si="228"/>
        <v>8</v>
      </c>
      <c r="HV58" s="13"/>
      <c r="HW58" s="13"/>
      <c r="HX58" s="12" t="str">
        <f t="shared" si="253"/>
        <v>FY22</v>
      </c>
      <c r="HY58" s="12">
        <f t="shared" si="254"/>
        <v>44441</v>
      </c>
      <c r="HZ58" s="11">
        <f t="shared" si="255"/>
        <v>43.186218060200659</v>
      </c>
      <c r="IA58" s="11">
        <f t="shared" si="256"/>
        <v>20</v>
      </c>
      <c r="IC58" s="13"/>
      <c r="ID58" s="13"/>
      <c r="IM58" s="40">
        <v>140</v>
      </c>
      <c r="IN58" s="39">
        <f t="shared" si="258"/>
        <v>250617000</v>
      </c>
      <c r="IO58" s="40">
        <v>290</v>
      </c>
      <c r="IP58" s="39">
        <f t="shared" si="259"/>
        <v>101066999.99999987</v>
      </c>
      <c r="IR58" s="13"/>
      <c r="IS58" s="13"/>
      <c r="IT58" s="40">
        <v>140</v>
      </c>
      <c r="IU58" s="39">
        <f t="shared" si="260"/>
        <v>156779000</v>
      </c>
      <c r="IV58" s="40">
        <v>290</v>
      </c>
      <c r="IW58" s="39">
        <f t="shared" si="261"/>
        <v>242264000</v>
      </c>
      <c r="IY58" s="13"/>
      <c r="IZ58" s="13"/>
      <c r="JI58" s="40">
        <v>140</v>
      </c>
      <c r="JJ58" s="39">
        <f t="shared" si="262"/>
        <v>250617000</v>
      </c>
      <c r="JK58" s="40">
        <v>290</v>
      </c>
      <c r="JL58" s="39">
        <f t="shared" si="263"/>
        <v>101066999.99999987</v>
      </c>
      <c r="JN58" s="13"/>
      <c r="JO58" s="13"/>
      <c r="JP58" s="40">
        <v>180</v>
      </c>
      <c r="JQ58" s="39">
        <f t="shared" si="182"/>
        <v>186175000</v>
      </c>
      <c r="JR58" s="40">
        <v>330</v>
      </c>
      <c r="JS58" s="39">
        <f t="shared" si="183"/>
        <v>253660000.00000003</v>
      </c>
      <c r="JU58" s="13"/>
      <c r="JV58" s="13"/>
      <c r="NG58" s="12" t="str">
        <f t="shared" si="229"/>
        <v>FY17</v>
      </c>
      <c r="NH58" s="12">
        <f t="shared" si="230"/>
        <v>42915</v>
      </c>
      <c r="NI58" s="11">
        <f t="shared" si="231"/>
        <v>17.675350000000002</v>
      </c>
      <c r="NJ58" s="11">
        <f t="shared" si="232"/>
        <v>6</v>
      </c>
      <c r="NL58" s="13"/>
      <c r="NV58" s="12" t="str">
        <f t="shared" si="233"/>
        <v>FY19</v>
      </c>
      <c r="NW58" s="12">
        <f t="shared" si="234"/>
        <v>43286</v>
      </c>
      <c r="NX58" s="11">
        <f t="shared" si="235"/>
        <v>20.156862</v>
      </c>
      <c r="NY58" s="11">
        <f t="shared" si="236"/>
        <v>12</v>
      </c>
      <c r="OA58" s="13"/>
      <c r="OB58" s="1"/>
    </row>
    <row r="59" spans="2:392" x14ac:dyDescent="0.2">
      <c r="B59" s="5"/>
      <c r="C59" s="5"/>
      <c r="D59" s="5"/>
      <c r="F59" s="5"/>
      <c r="G59" s="5"/>
      <c r="H59" s="5"/>
      <c r="I59" s="5"/>
      <c r="M59" s="5" t="str" cm="1">
        <f t="array" ref="M59">LOOKUP(2,1/($G$19:$G$35&lt;=$V59)/($H$19:$H$35&gt;=$V59),$F$19:$F$35)</f>
        <v>2H18</v>
      </c>
      <c r="N59" s="5" t="str" cm="1">
        <f t="array" ref="N59">LOOKUP(2,1/($G$8:$G$16&lt;=$V59)/($H$8:$H$16&gt;=$V59),$F$8:$F$16)</f>
        <v>FY18</v>
      </c>
      <c r="O59" s="5" t="str">
        <f>IFERROR(N59&amp;"-"&amp;COUNTIF($N$5:N59,N59),NA())</f>
        <v>FY18-29</v>
      </c>
      <c r="P59" s="5">
        <f>COUNTIF(V$5:V59,"&gt;="&amp;MAX($V:$V)-183)</f>
        <v>0</v>
      </c>
      <c r="Q59" s="5">
        <f>COUNTIF(V$5:V59,"&gt;="&amp;MAX($V:$V)-365)</f>
        <v>0</v>
      </c>
      <c r="R59" s="5" cm="1">
        <f t="array" ref="R59">LOOKUP(2,1/($G$46:$G$50&lt;=$V59)/($H$46:$H$50&gt;=$V59),$F$46:$F$50)</f>
        <v>0</v>
      </c>
      <c r="S59" s="5" cm="1">
        <f t="array" ref="S59">LOOKUP(2,1/($G$53:$G$56&lt;=$V59)/($H$53:$H$56&gt;=$V59),$F$53:$F$56)</f>
        <v>0</v>
      </c>
      <c r="T59" s="5" t="e">
        <f>IFERROR(IF($R59&gt;0,$R59&amp;"-"&amp;COUNTIF($R$5:$R59,$R59),NA()),NA())</f>
        <v>#N/A</v>
      </c>
      <c r="U59" s="5" t="e">
        <f>IFERROR(IF($S59&gt;0,$S59&amp;"-"&amp;COUNTIF($S$5:$S59,$S59),NA()),NA())</f>
        <v>#N/A</v>
      </c>
      <c r="V59" s="10">
        <v>43118</v>
      </c>
      <c r="W59" s="9">
        <v>14500914.517854061</v>
      </c>
      <c r="X59" s="9">
        <v>13472074.632812314</v>
      </c>
      <c r="Y59" s="8">
        <v>3000000</v>
      </c>
      <c r="AI59" s="18">
        <f t="shared" si="184"/>
        <v>13</v>
      </c>
      <c r="AJ59" s="12">
        <f t="shared" si="185"/>
        <v>45372</v>
      </c>
      <c r="AK59" s="11">
        <f t="shared" si="186"/>
        <v>19.7636487959028</v>
      </c>
      <c r="AL59" s="11">
        <f t="shared" si="187"/>
        <v>4</v>
      </c>
      <c r="AN59" s="13"/>
      <c r="AO59" s="13"/>
      <c r="AP59" s="18">
        <f t="shared" si="237"/>
        <v>11</v>
      </c>
      <c r="AQ59" s="12">
        <f t="shared" si="238"/>
        <v>45358</v>
      </c>
      <c r="AR59" s="11">
        <f t="shared" si="239"/>
        <v>40.790859104282447</v>
      </c>
      <c r="AS59" s="11">
        <f t="shared" si="240"/>
        <v>20</v>
      </c>
      <c r="AU59" s="13"/>
      <c r="BB59" s="115">
        <v>30000000</v>
      </c>
      <c r="BC59" s="2">
        <f t="shared" si="265"/>
        <v>4</v>
      </c>
      <c r="BD59" s="2">
        <f t="shared" si="265"/>
        <v>0</v>
      </c>
      <c r="BE59" s="39">
        <f t="shared" si="267"/>
        <v>49503853.238066278</v>
      </c>
      <c r="BF59" s="39" t="e">
        <f t="shared" si="266"/>
        <v>#N/A</v>
      </c>
      <c r="BG59" s="119" t="e">
        <f t="shared" si="268"/>
        <v>#N/A</v>
      </c>
      <c r="BI59" s="18">
        <f t="shared" si="188"/>
        <v>13</v>
      </c>
      <c r="BJ59" s="12">
        <f t="shared" si="189"/>
        <v>45190</v>
      </c>
      <c r="BK59" s="11">
        <f t="shared" si="190"/>
        <v>41.746812901819773</v>
      </c>
      <c r="BL59" s="11">
        <f t="shared" si="191"/>
        <v>20</v>
      </c>
      <c r="BN59" s="13"/>
      <c r="BO59" s="13"/>
      <c r="BP59" s="111">
        <v>40</v>
      </c>
      <c r="BQ59" s="39">
        <f t="shared" si="257"/>
        <v>60013999.999999993</v>
      </c>
      <c r="BR59" s="120">
        <f t="shared" si="264"/>
        <v>60.013999999999996</v>
      </c>
      <c r="BS59" s="39"/>
      <c r="BU59" s="13"/>
      <c r="CE59" s="18" t="str">
        <f t="shared" si="193"/>
        <v>N1-13</v>
      </c>
      <c r="CF59" s="12">
        <f t="shared" si="194"/>
        <v>44196</v>
      </c>
      <c r="CG59" s="11">
        <f t="shared" si="195"/>
        <v>25.387217756156883</v>
      </c>
      <c r="CH59" s="11">
        <f t="shared" si="196"/>
        <v>8</v>
      </c>
      <c r="CJ59" s="43" t="s">
        <v>32</v>
      </c>
      <c r="CK59" s="13"/>
      <c r="CL59" s="37" t="s">
        <v>31</v>
      </c>
      <c r="CM59" s="36"/>
      <c r="CN59" s="36"/>
      <c r="CO59" s="35"/>
      <c r="CT59" s="18" t="str">
        <f t="shared" si="197"/>
        <v>A1-13</v>
      </c>
      <c r="CU59" s="12">
        <f t="shared" si="198"/>
        <v>44308</v>
      </c>
      <c r="CV59" s="11">
        <f t="shared" si="199"/>
        <v>118.500310611128</v>
      </c>
      <c r="CW59" s="11">
        <f t="shared" si="200"/>
        <v>80</v>
      </c>
      <c r="CY59" s="13"/>
      <c r="DI59" s="18" t="str">
        <f t="shared" si="201"/>
        <v>N2-13</v>
      </c>
      <c r="DJ59" s="12">
        <f t="shared" si="202"/>
        <v>44791</v>
      </c>
      <c r="DK59" s="11">
        <f t="shared" si="203"/>
        <v>20.023645363332321</v>
      </c>
      <c r="DL59" s="11">
        <f t="shared" si="204"/>
        <v>4</v>
      </c>
      <c r="DN59" s="13"/>
      <c r="DO59" s="13"/>
      <c r="DX59" s="18" t="str">
        <f t="shared" si="205"/>
        <v>A2-13</v>
      </c>
      <c r="DY59" s="12">
        <f t="shared" si="206"/>
        <v>44903</v>
      </c>
      <c r="DZ59" s="11">
        <f t="shared" si="207"/>
        <v>38.341626147765275</v>
      </c>
      <c r="EA59" s="11">
        <f t="shared" si="208"/>
        <v>20</v>
      </c>
      <c r="EC59" s="13"/>
      <c r="ED59" s="13"/>
      <c r="EE59" s="12" t="str">
        <f t="shared" si="241"/>
        <v>A2-11</v>
      </c>
      <c r="EF59" s="12">
        <f t="shared" si="242"/>
        <v>44889</v>
      </c>
      <c r="EG59" s="11">
        <f t="shared" si="243"/>
        <v>71.266594101550623</v>
      </c>
      <c r="EH59" s="11">
        <f t="shared" si="244"/>
        <v>50</v>
      </c>
      <c r="EJ59" s="13"/>
      <c r="EK59" s="13"/>
      <c r="EQ59" s="1">
        <v>4</v>
      </c>
      <c r="ER59" s="1">
        <v>20</v>
      </c>
      <c r="ET59" s="12" t="str">
        <f t="shared" si="209"/>
        <v>FY18-13</v>
      </c>
      <c r="EU59" s="12">
        <f t="shared" si="210"/>
        <v>43006</v>
      </c>
      <c r="EV59" s="11">
        <f t="shared" si="211"/>
        <v>14.312979346213556</v>
      </c>
      <c r="EW59" s="11">
        <f t="shared" si="212"/>
        <v>3</v>
      </c>
      <c r="EX59" s="13"/>
      <c r="EY59" s="13"/>
      <c r="EZ59" s="13"/>
      <c r="FI59" s="12" t="str">
        <f t="shared" si="213"/>
        <v>FY19</v>
      </c>
      <c r="FJ59" s="12">
        <f t="shared" si="214"/>
        <v>43370</v>
      </c>
      <c r="FK59" s="11">
        <f t="shared" si="215"/>
        <v>12.986396185632547</v>
      </c>
      <c r="FL59" s="11">
        <f t="shared" si="216"/>
        <v>3</v>
      </c>
      <c r="FN59" s="13"/>
      <c r="FO59" s="13"/>
      <c r="FP59" s="12" t="str">
        <f t="shared" si="245"/>
        <v>FY19</v>
      </c>
      <c r="FQ59" s="12">
        <f t="shared" si="246"/>
        <v>43356</v>
      </c>
      <c r="FR59" s="11">
        <f t="shared" si="247"/>
        <v>27.308763127781301</v>
      </c>
      <c r="FS59" s="11">
        <f t="shared" si="248"/>
        <v>20</v>
      </c>
      <c r="FU59" s="13"/>
      <c r="FV59" s="13"/>
      <c r="GF59" s="12" t="str">
        <f t="shared" si="217"/>
        <v>FY20</v>
      </c>
      <c r="GG59" s="12">
        <f t="shared" si="218"/>
        <v>43734</v>
      </c>
      <c r="GH59" s="11">
        <f t="shared" si="219"/>
        <v>15.306639767312332</v>
      </c>
      <c r="GI59" s="11">
        <f t="shared" si="220"/>
        <v>3</v>
      </c>
      <c r="GK59" s="13"/>
      <c r="GL59" s="13"/>
      <c r="GM59" s="12" t="e">
        <f t="shared" si="249"/>
        <v>#N/A</v>
      </c>
      <c r="GN59" s="12" t="e">
        <f t="shared" si="250"/>
        <v>#N/A</v>
      </c>
      <c r="GO59" s="11" t="e">
        <f t="shared" si="251"/>
        <v>#N/A</v>
      </c>
      <c r="GP59" s="11" t="e">
        <f t="shared" si="252"/>
        <v>#N/A</v>
      </c>
      <c r="GR59" s="13"/>
      <c r="GS59" s="13"/>
      <c r="HB59" s="12" t="str">
        <f t="shared" si="221"/>
        <v>FY21</v>
      </c>
      <c r="HC59" s="12">
        <f t="shared" si="222"/>
        <v>44098</v>
      </c>
      <c r="HD59" s="11">
        <f t="shared" si="223"/>
        <v>19.672046457889937</v>
      </c>
      <c r="HE59" s="11">
        <f t="shared" si="224"/>
        <v>3</v>
      </c>
      <c r="HG59" s="13"/>
      <c r="HH59" s="13"/>
      <c r="HQ59" s="12" t="str">
        <f t="shared" si="225"/>
        <v>FY22</v>
      </c>
      <c r="HR59" s="12">
        <f t="shared" si="226"/>
        <v>44462</v>
      </c>
      <c r="HS59" s="11">
        <f t="shared" si="227"/>
        <v>19.222718151413801</v>
      </c>
      <c r="HT59" s="11">
        <f t="shared" si="228"/>
        <v>3</v>
      </c>
      <c r="HV59" s="13"/>
      <c r="HW59" s="13"/>
      <c r="HX59" s="12" t="str">
        <f t="shared" si="253"/>
        <v>FY22</v>
      </c>
      <c r="HY59" s="12">
        <f t="shared" si="254"/>
        <v>44448</v>
      </c>
      <c r="HZ59" s="11">
        <f t="shared" si="255"/>
        <v>19.506276923076921</v>
      </c>
      <c r="IA59" s="11">
        <f t="shared" si="256"/>
        <v>3</v>
      </c>
      <c r="IC59" s="13"/>
      <c r="ID59" s="13"/>
      <c r="IM59" s="40">
        <v>150</v>
      </c>
      <c r="IN59" s="39">
        <f t="shared" si="258"/>
        <v>265987000.00000003</v>
      </c>
      <c r="IO59" s="40">
        <v>300</v>
      </c>
      <c r="IP59" s="39">
        <f t="shared" si="259"/>
        <v>47736999.999999993</v>
      </c>
      <c r="IR59" s="13"/>
      <c r="IS59" s="13"/>
      <c r="IT59" s="40">
        <v>150</v>
      </c>
      <c r="IU59" s="39">
        <f t="shared" si="260"/>
        <v>164578000</v>
      </c>
      <c r="IV59" s="40">
        <v>300</v>
      </c>
      <c r="IW59" s="39">
        <f t="shared" si="261"/>
        <v>245563000.00000003</v>
      </c>
      <c r="IY59" s="13"/>
      <c r="IZ59" s="13"/>
      <c r="JI59" s="40">
        <v>150</v>
      </c>
      <c r="JJ59" s="39">
        <f t="shared" si="262"/>
        <v>265987000.00000003</v>
      </c>
      <c r="JK59" s="40">
        <v>300</v>
      </c>
      <c r="JL59" s="39">
        <f t="shared" si="263"/>
        <v>47736999.999999993</v>
      </c>
      <c r="JN59" s="13"/>
      <c r="JO59" s="13"/>
      <c r="JP59" s="40">
        <v>190</v>
      </c>
      <c r="JQ59" s="39">
        <f t="shared" si="182"/>
        <v>192774000</v>
      </c>
      <c r="JR59" s="40">
        <v>340</v>
      </c>
      <c r="JS59" s="39">
        <f t="shared" si="183"/>
        <v>255759000</v>
      </c>
      <c r="JU59" s="13"/>
      <c r="JV59" s="13"/>
      <c r="NG59" s="12" t="str">
        <f t="shared" si="229"/>
        <v>FY18</v>
      </c>
      <c r="NH59" s="12">
        <f t="shared" si="230"/>
        <v>42922</v>
      </c>
      <c r="NI59" s="11">
        <f t="shared" si="231"/>
        <v>14.26502</v>
      </c>
      <c r="NJ59" s="11">
        <f t="shared" si="232"/>
        <v>3</v>
      </c>
      <c r="NL59" s="13"/>
      <c r="NV59" s="12" t="str">
        <f t="shared" si="233"/>
        <v>FY19</v>
      </c>
      <c r="NW59" s="12">
        <f t="shared" si="234"/>
        <v>43293</v>
      </c>
      <c r="NX59" s="11">
        <f t="shared" si="235"/>
        <v>27.395676000000002</v>
      </c>
      <c r="NY59" s="11">
        <f t="shared" si="236"/>
        <v>20</v>
      </c>
      <c r="OA59" s="13"/>
      <c r="OB59" s="1"/>
    </row>
    <row r="60" spans="2:392" x14ac:dyDescent="0.2">
      <c r="B60" s="5"/>
      <c r="C60" s="5"/>
      <c r="D60" s="5"/>
      <c r="F60" s="5"/>
      <c r="G60" s="5"/>
      <c r="H60" s="5"/>
      <c r="I60" s="5"/>
      <c r="M60" s="5" t="str" cm="1">
        <f t="array" ref="M60">LOOKUP(2,1/($G$19:$G$35&lt;=$V60)/($H$19:$H$35&gt;=$V60),$F$19:$F$35)</f>
        <v>2H18</v>
      </c>
      <c r="N60" s="5" t="str" cm="1">
        <f t="array" ref="N60">LOOKUP(2,1/($G$8:$G$16&lt;=$V60)/($H$8:$H$16&gt;=$V60),$F$8:$F$16)</f>
        <v>FY18</v>
      </c>
      <c r="O60" s="5" t="str">
        <f>IFERROR(N60&amp;"-"&amp;COUNTIF($N$5:N60,N60),NA())</f>
        <v>FY18-30</v>
      </c>
      <c r="P60" s="5">
        <f>COUNTIF(V$5:V60,"&gt;="&amp;MAX($V:$V)-183)</f>
        <v>0</v>
      </c>
      <c r="Q60" s="5">
        <f>COUNTIF(V$5:V60,"&gt;="&amp;MAX($V:$V)-365)</f>
        <v>0</v>
      </c>
      <c r="R60" s="5" cm="1">
        <f t="array" ref="R60">LOOKUP(2,1/($G$46:$G$50&lt;=$V60)/($H$46:$H$50&gt;=$V60),$F$46:$F$50)</f>
        <v>0</v>
      </c>
      <c r="S60" s="5" cm="1">
        <f t="array" ref="S60">LOOKUP(2,1/($G$53:$G$56&lt;=$V60)/($H$53:$H$56&gt;=$V60),$F$53:$F$56)</f>
        <v>0</v>
      </c>
      <c r="T60" s="5" t="e">
        <f>IFERROR(IF($R60&gt;0,$R60&amp;"-"&amp;COUNTIF($R$5:$R60,$R60),NA()),NA())</f>
        <v>#N/A</v>
      </c>
      <c r="U60" s="5" t="e">
        <f>IFERROR(IF($S60&gt;0,$S60&amp;"-"&amp;COUNTIF($S$5:$S60,$S60),NA()),NA())</f>
        <v>#N/A</v>
      </c>
      <c r="V60" s="10">
        <v>43125</v>
      </c>
      <c r="W60" s="9">
        <v>16030550.11040193</v>
      </c>
      <c r="X60" s="9">
        <v>14893182.580068912</v>
      </c>
      <c r="Y60" s="8">
        <v>3000000</v>
      </c>
      <c r="AI60" s="18">
        <f t="shared" si="184"/>
        <v>14</v>
      </c>
      <c r="AJ60" s="12">
        <f t="shared" si="185"/>
        <v>45379</v>
      </c>
      <c r="AK60" s="11">
        <f t="shared" si="186"/>
        <v>28.780959790781303</v>
      </c>
      <c r="AL60" s="11">
        <f t="shared" si="187"/>
        <v>12</v>
      </c>
      <c r="AN60" s="13"/>
      <c r="AO60" s="13"/>
      <c r="AP60" s="18">
        <f t="shared" si="237"/>
        <v>12</v>
      </c>
      <c r="AQ60" s="12">
        <f t="shared" si="238"/>
        <v>45365</v>
      </c>
      <c r="AR60" s="11">
        <f t="shared" si="239"/>
        <v>52.908046965239187</v>
      </c>
      <c r="AS60" s="11">
        <f t="shared" si="240"/>
        <v>40</v>
      </c>
      <c r="AU60" s="13"/>
      <c r="BB60" s="115">
        <v>40000000</v>
      </c>
      <c r="BC60" s="2">
        <f t="shared" si="265"/>
        <v>4</v>
      </c>
      <c r="BD60" s="2">
        <f t="shared" si="265"/>
        <v>5</v>
      </c>
      <c r="BE60" s="39">
        <f t="shared" si="267"/>
        <v>59837351.717847362</v>
      </c>
      <c r="BF60" s="39">
        <f t="shared" si="266"/>
        <v>58375754.233409606</v>
      </c>
      <c r="BG60" s="119">
        <f t="shared" si="268"/>
        <v>-2.442617265766811E-2</v>
      </c>
      <c r="BI60" s="18">
        <f t="shared" si="188"/>
        <v>14</v>
      </c>
      <c r="BJ60" s="12">
        <f t="shared" si="189"/>
        <v>45197</v>
      </c>
      <c r="BK60" s="11">
        <f t="shared" si="190"/>
        <v>56.641298899422473</v>
      </c>
      <c r="BL60" s="11">
        <f t="shared" si="191"/>
        <v>40</v>
      </c>
      <c r="BN60" s="13"/>
      <c r="BO60" s="13"/>
      <c r="BP60" s="111">
        <v>50</v>
      </c>
      <c r="BQ60" s="39">
        <f t="shared" si="257"/>
        <v>70876000</v>
      </c>
      <c r="BR60" s="120">
        <f t="shared" si="264"/>
        <v>70.876000000000005</v>
      </c>
      <c r="BS60" s="39"/>
      <c r="BU60" s="13"/>
      <c r="CE60" s="18" t="str">
        <f t="shared" si="193"/>
        <v>N1-14</v>
      </c>
      <c r="CF60" s="12">
        <f t="shared" si="194"/>
        <v>44203</v>
      </c>
      <c r="CG60" s="11">
        <f t="shared" si="195"/>
        <v>17.082868713894804</v>
      </c>
      <c r="CH60" s="11">
        <f t="shared" si="196"/>
        <v>3</v>
      </c>
      <c r="CK60" s="13"/>
      <c r="CL60" s="34" t="s">
        <v>21</v>
      </c>
      <c r="CM60" s="33"/>
      <c r="CN60" s="33"/>
      <c r="CO60" s="32"/>
      <c r="CT60" s="18" t="str">
        <f t="shared" si="197"/>
        <v>A1-14</v>
      </c>
      <c r="CU60" s="12">
        <f t="shared" si="198"/>
        <v>44315</v>
      </c>
      <c r="CV60" s="11">
        <f t="shared" si="199"/>
        <v>24.573953906962604</v>
      </c>
      <c r="CW60" s="11">
        <f t="shared" si="200"/>
        <v>8</v>
      </c>
      <c r="CY60" s="13"/>
      <c r="DI60" s="18" t="str">
        <f t="shared" si="201"/>
        <v>N2-14</v>
      </c>
      <c r="DJ60" s="12">
        <f t="shared" si="202"/>
        <v>44798</v>
      </c>
      <c r="DK60" s="11">
        <f t="shared" si="203"/>
        <v>25.45458339920949</v>
      </c>
      <c r="DL60" s="11">
        <f t="shared" si="204"/>
        <v>8</v>
      </c>
      <c r="DN60" s="17" t="s">
        <v>8</v>
      </c>
      <c r="DO60" s="13"/>
      <c r="DX60" s="18" t="str">
        <f t="shared" si="205"/>
        <v>A2-14</v>
      </c>
      <c r="DY60" s="12">
        <f t="shared" si="206"/>
        <v>44910</v>
      </c>
      <c r="DZ60" s="11">
        <f t="shared" si="207"/>
        <v>50.094358163575549</v>
      </c>
      <c r="EA60" s="11">
        <f t="shared" si="208"/>
        <v>30</v>
      </c>
      <c r="EC60" s="13"/>
      <c r="ED60" s="13"/>
      <c r="EE60" s="12" t="str">
        <f t="shared" si="241"/>
        <v>A2-12</v>
      </c>
      <c r="EF60" s="12">
        <f t="shared" si="242"/>
        <v>44896</v>
      </c>
      <c r="EG60" s="11">
        <f t="shared" si="243"/>
        <v>25.213057950744904</v>
      </c>
      <c r="EH60" s="11">
        <f t="shared" si="244"/>
        <v>8</v>
      </c>
      <c r="EJ60" s="13"/>
      <c r="EK60" s="13"/>
      <c r="EQ60" s="1">
        <v>5</v>
      </c>
      <c r="ER60" s="1">
        <v>30</v>
      </c>
      <c r="ET60" s="12" t="str">
        <f t="shared" si="209"/>
        <v>FY18-14</v>
      </c>
      <c r="EU60" s="12">
        <f t="shared" si="210"/>
        <v>43013</v>
      </c>
      <c r="EV60" s="11">
        <f t="shared" si="211"/>
        <v>17.552791894083146</v>
      </c>
      <c r="EW60" s="11">
        <f t="shared" si="212"/>
        <v>6</v>
      </c>
      <c r="EX60" s="13"/>
      <c r="EY60" s="13"/>
      <c r="EZ60" s="13"/>
      <c r="FI60" s="12" t="str">
        <f t="shared" si="213"/>
        <v>FY19</v>
      </c>
      <c r="FJ60" s="12">
        <f t="shared" si="214"/>
        <v>43377</v>
      </c>
      <c r="FK60" s="11">
        <f t="shared" si="215"/>
        <v>17.248674888747615</v>
      </c>
      <c r="FL60" s="11">
        <f t="shared" si="216"/>
        <v>8</v>
      </c>
      <c r="FN60" s="13"/>
      <c r="FO60" s="13"/>
      <c r="FP60" s="12" t="str">
        <f t="shared" si="245"/>
        <v>FY19</v>
      </c>
      <c r="FQ60" s="12">
        <f t="shared" si="246"/>
        <v>43363</v>
      </c>
      <c r="FR60" s="11">
        <f t="shared" si="247"/>
        <v>36.523512523839784</v>
      </c>
      <c r="FS60" s="11">
        <f t="shared" si="248"/>
        <v>30</v>
      </c>
      <c r="FU60" s="13"/>
      <c r="FV60" s="13"/>
      <c r="FX60" s="16"/>
      <c r="FY60" s="15"/>
      <c r="GF60" s="12" t="str">
        <f t="shared" si="217"/>
        <v>FY20</v>
      </c>
      <c r="GG60" s="12">
        <f t="shared" si="218"/>
        <v>43741</v>
      </c>
      <c r="GH60" s="11">
        <f t="shared" si="219"/>
        <v>18.203091032860947</v>
      </c>
      <c r="GI60" s="11">
        <f t="shared" si="220"/>
        <v>8</v>
      </c>
      <c r="GK60" s="13"/>
      <c r="GL60" s="13"/>
      <c r="GM60" s="12" t="e">
        <f t="shared" si="249"/>
        <v>#N/A</v>
      </c>
      <c r="GN60" s="12" t="e">
        <f t="shared" si="250"/>
        <v>#N/A</v>
      </c>
      <c r="GO60" s="11" t="e">
        <f t="shared" si="251"/>
        <v>#N/A</v>
      </c>
      <c r="GP60" s="11" t="e">
        <f t="shared" si="252"/>
        <v>#N/A</v>
      </c>
      <c r="GR60" s="13"/>
      <c r="GS60" s="13"/>
      <c r="HB60" s="12" t="str">
        <f t="shared" si="221"/>
        <v>FY21</v>
      </c>
      <c r="HC60" s="12">
        <f t="shared" si="222"/>
        <v>44105</v>
      </c>
      <c r="HD60" s="11">
        <f t="shared" si="223"/>
        <v>27.468281909394953</v>
      </c>
      <c r="HE60" s="11">
        <f t="shared" si="224"/>
        <v>8</v>
      </c>
      <c r="HG60" s="13"/>
      <c r="HH60" s="13"/>
      <c r="HQ60" s="12" t="str">
        <f t="shared" si="225"/>
        <v>FY22</v>
      </c>
      <c r="HR60" s="12">
        <f t="shared" si="226"/>
        <v>44469</v>
      </c>
      <c r="HS60" s="11">
        <f t="shared" si="227"/>
        <v>26.314208574034662</v>
      </c>
      <c r="HT60" s="11">
        <f t="shared" si="228"/>
        <v>8</v>
      </c>
      <c r="HV60" s="13"/>
      <c r="HW60" s="13"/>
      <c r="HX60" s="12" t="str">
        <f t="shared" si="253"/>
        <v>FY22</v>
      </c>
      <c r="HY60" s="12">
        <f t="shared" si="254"/>
        <v>44455</v>
      </c>
      <c r="HZ60" s="11">
        <f t="shared" si="255"/>
        <v>25.355454910307085</v>
      </c>
      <c r="IA60" s="11">
        <f t="shared" si="256"/>
        <v>8</v>
      </c>
      <c r="IC60" s="13"/>
      <c r="ID60" s="13"/>
      <c r="IM60" s="40">
        <v>160</v>
      </c>
      <c r="IN60" s="39">
        <f t="shared" si="258"/>
        <v>279296999.99999994</v>
      </c>
      <c r="IO60" s="40">
        <v>310</v>
      </c>
      <c r="IP60" s="39">
        <f t="shared" si="259"/>
        <v>-13053000.000000164</v>
      </c>
      <c r="IR60" s="13"/>
      <c r="IS60" s="13"/>
      <c r="IT60" s="40">
        <v>160</v>
      </c>
      <c r="IU60" s="39">
        <f t="shared" si="260"/>
        <v>172077000</v>
      </c>
      <c r="IV60" s="40">
        <v>310</v>
      </c>
      <c r="IW60" s="39">
        <f t="shared" si="261"/>
        <v>248562000</v>
      </c>
      <c r="IY60" s="13"/>
      <c r="IZ60" s="13"/>
      <c r="JI60" s="40">
        <v>160</v>
      </c>
      <c r="JJ60" s="39">
        <f t="shared" si="262"/>
        <v>279296999.99999994</v>
      </c>
      <c r="JK60" s="40">
        <v>310</v>
      </c>
      <c r="JL60" s="39">
        <f t="shared" si="263"/>
        <v>-13053000.000000164</v>
      </c>
      <c r="JN60" s="13"/>
      <c r="JO60" s="13"/>
      <c r="JP60" s="40">
        <v>200</v>
      </c>
      <c r="JQ60" s="39">
        <f t="shared" si="182"/>
        <v>199073000</v>
      </c>
      <c r="JR60" s="40">
        <v>350</v>
      </c>
      <c r="JS60" s="39">
        <f t="shared" si="183"/>
        <v>257558000.00000006</v>
      </c>
      <c r="JU60" s="13"/>
      <c r="JV60" s="13"/>
      <c r="NG60" s="12" t="str">
        <f t="shared" si="229"/>
        <v>FY18</v>
      </c>
      <c r="NH60" s="12">
        <f t="shared" si="230"/>
        <v>42929</v>
      </c>
      <c r="NI60" s="11">
        <f t="shared" si="231"/>
        <v>15.74925</v>
      </c>
      <c r="NJ60" s="11">
        <f t="shared" si="232"/>
        <v>6</v>
      </c>
      <c r="NL60" s="13"/>
      <c r="NV60" s="12" t="str">
        <f t="shared" si="233"/>
        <v>FY19</v>
      </c>
      <c r="NW60" s="12">
        <f t="shared" si="234"/>
        <v>43300</v>
      </c>
      <c r="NX60" s="11">
        <f t="shared" si="235"/>
        <v>32.154144000000002</v>
      </c>
      <c r="NY60" s="11">
        <f t="shared" si="236"/>
        <v>30</v>
      </c>
      <c r="OA60" s="13"/>
      <c r="OB60" s="1"/>
    </row>
    <row r="61" spans="2:392" x14ac:dyDescent="0.2">
      <c r="B61" s="5"/>
      <c r="C61" s="5"/>
      <c r="D61" s="5"/>
      <c r="F61" s="5"/>
      <c r="G61" s="5"/>
      <c r="H61" s="5"/>
      <c r="I61" s="5"/>
      <c r="M61" s="5" t="str" cm="1">
        <f t="array" ref="M61">LOOKUP(2,1/($G$19:$G$35&lt;=$V61)/($H$19:$H$35&gt;=$V61),$F$19:$F$35)</f>
        <v>2H18</v>
      </c>
      <c r="N61" s="5" t="str" cm="1">
        <f t="array" ref="N61">LOOKUP(2,1/($G$8:$G$16&lt;=$V61)/($H$8:$H$16&gt;=$V61),$F$8:$F$16)</f>
        <v>FY18</v>
      </c>
      <c r="O61" s="5" t="str">
        <f>IFERROR(N61&amp;"-"&amp;COUNTIF($N$5:N61,N61),NA())</f>
        <v>FY18-31</v>
      </c>
      <c r="P61" s="5">
        <f>COUNTIF(V$5:V61,"&gt;="&amp;MAX($V:$V)-183)</f>
        <v>0</v>
      </c>
      <c r="Q61" s="5">
        <f>COUNTIF(V$5:V61,"&gt;="&amp;MAX($V:$V)-365)</f>
        <v>0</v>
      </c>
      <c r="R61" s="5" cm="1">
        <f t="array" ref="R61">LOOKUP(2,1/($G$46:$G$50&lt;=$V61)/($H$46:$H$50&gt;=$V61),$F$46:$F$50)</f>
        <v>0</v>
      </c>
      <c r="S61" s="5" cm="1">
        <f t="array" ref="S61">LOOKUP(2,1/($G$53:$G$56&lt;=$V61)/($H$53:$H$56&gt;=$V61),$F$53:$F$56)</f>
        <v>0</v>
      </c>
      <c r="T61" s="5" t="e">
        <f>IFERROR(IF($R61&gt;0,$R61&amp;"-"&amp;COUNTIF($R$5:$R61,$R61),NA()),NA())</f>
        <v>#N/A</v>
      </c>
      <c r="U61" s="5" t="e">
        <f>IFERROR(IF($S61&gt;0,$S61&amp;"-"&amp;COUNTIF($S$5:$S61,$S61),NA()),NA())</f>
        <v>#N/A</v>
      </c>
      <c r="V61" s="10">
        <v>43132</v>
      </c>
      <c r="W61" s="9">
        <v>12845804.885285491</v>
      </c>
      <c r="X61" s="9">
        <v>11934395.028674485</v>
      </c>
      <c r="Y61" s="8">
        <v>3000000</v>
      </c>
      <c r="AI61" s="18">
        <f t="shared" si="184"/>
        <v>15</v>
      </c>
      <c r="AJ61" s="12">
        <f t="shared" si="185"/>
        <v>45386</v>
      </c>
      <c r="AK61" s="11">
        <f t="shared" si="186"/>
        <v>33.664848752315571</v>
      </c>
      <c r="AL61" s="11">
        <f t="shared" si="187"/>
        <v>20</v>
      </c>
      <c r="AN61" s="13"/>
      <c r="AO61" s="13"/>
      <c r="AP61" s="18">
        <f t="shared" si="237"/>
        <v>13</v>
      </c>
      <c r="AQ61" s="12">
        <f t="shared" si="238"/>
        <v>45372</v>
      </c>
      <c r="AR61" s="11">
        <f t="shared" si="239"/>
        <v>19.7636487959028</v>
      </c>
      <c r="AS61" s="11">
        <f t="shared" si="240"/>
        <v>4</v>
      </c>
      <c r="AU61" s="13"/>
      <c r="BB61" s="115">
        <v>50000000</v>
      </c>
      <c r="BC61" s="2">
        <f t="shared" si="265"/>
        <v>3</v>
      </c>
      <c r="BD61" s="2">
        <f t="shared" si="265"/>
        <v>0</v>
      </c>
      <c r="BE61" s="39">
        <f t="shared" si="267"/>
        <v>74897735.887301102</v>
      </c>
      <c r="BF61" s="39" t="e">
        <f t="shared" si="266"/>
        <v>#N/A</v>
      </c>
      <c r="BG61" s="119" t="e">
        <f t="shared" si="268"/>
        <v>#N/A</v>
      </c>
      <c r="BI61" s="18">
        <f t="shared" si="188"/>
        <v>15</v>
      </c>
      <c r="BJ61" s="12">
        <f t="shared" si="189"/>
        <v>45204</v>
      </c>
      <c r="BK61" s="11">
        <f t="shared" si="190"/>
        <v>85.3851064618067</v>
      </c>
      <c r="BL61" s="11">
        <f t="shared" si="191"/>
        <v>60</v>
      </c>
      <c r="BN61" s="13"/>
      <c r="BO61" s="13"/>
      <c r="BP61" s="111">
        <v>55</v>
      </c>
      <c r="BQ61" s="39">
        <f t="shared" si="257"/>
        <v>76307000</v>
      </c>
      <c r="BR61" s="120">
        <f t="shared" si="264"/>
        <v>76.307000000000002</v>
      </c>
      <c r="BS61" s="39"/>
      <c r="BU61" s="13"/>
      <c r="CE61" s="18" t="str">
        <f t="shared" si="193"/>
        <v>N1-15</v>
      </c>
      <c r="CF61" s="12">
        <f t="shared" si="194"/>
        <v>44210</v>
      </c>
      <c r="CG61" s="11">
        <f t="shared" si="195"/>
        <v>24.054723502584363</v>
      </c>
      <c r="CH61" s="11">
        <f t="shared" si="196"/>
        <v>8</v>
      </c>
      <c r="CK61" s="13"/>
      <c r="CL61" s="26"/>
      <c r="CM61" s="25" t="s">
        <v>16</v>
      </c>
      <c r="CN61" s="25" t="s">
        <v>15</v>
      </c>
      <c r="CO61" s="24"/>
      <c r="CT61" s="18" t="str">
        <f t="shared" si="197"/>
        <v>A1-15</v>
      </c>
      <c r="CU61" s="12">
        <f t="shared" si="198"/>
        <v>44322</v>
      </c>
      <c r="CV61" s="11">
        <f t="shared" si="199"/>
        <v>37.110605290361804</v>
      </c>
      <c r="CW61" s="11">
        <f t="shared" si="200"/>
        <v>20</v>
      </c>
      <c r="CY61" s="13"/>
      <c r="DI61" s="18" t="str">
        <f t="shared" si="201"/>
        <v>N2-15</v>
      </c>
      <c r="DJ61" s="12">
        <f t="shared" si="202"/>
        <v>44805</v>
      </c>
      <c r="DK61" s="11">
        <f t="shared" si="203"/>
        <v>39.743730009121315</v>
      </c>
      <c r="DL61" s="11">
        <f t="shared" si="204"/>
        <v>20</v>
      </c>
      <c r="DN61" s="13" t="s">
        <v>30</v>
      </c>
      <c r="DO61" s="13"/>
      <c r="DX61" s="18" t="str">
        <f t="shared" si="205"/>
        <v>A2-15</v>
      </c>
      <c r="DY61" s="12">
        <f t="shared" si="206"/>
        <v>44917</v>
      </c>
      <c r="DZ61" s="11">
        <f t="shared" si="207"/>
        <v>75.733957798723026</v>
      </c>
      <c r="EA61" s="11">
        <f t="shared" si="208"/>
        <v>50</v>
      </c>
      <c r="EC61" s="13"/>
      <c r="ED61" s="13"/>
      <c r="EE61" s="12" t="str">
        <f t="shared" si="241"/>
        <v>A2-13</v>
      </c>
      <c r="EF61" s="12">
        <f t="shared" si="242"/>
        <v>44903</v>
      </c>
      <c r="EG61" s="11">
        <f t="shared" si="243"/>
        <v>38.341626147765275</v>
      </c>
      <c r="EH61" s="11">
        <f t="shared" si="244"/>
        <v>20</v>
      </c>
      <c r="EJ61" s="13"/>
      <c r="EK61" s="13"/>
      <c r="EQ61" s="1">
        <v>6</v>
      </c>
      <c r="ER61" s="1">
        <v>40</v>
      </c>
      <c r="ET61" s="12" t="str">
        <f t="shared" si="209"/>
        <v>FY18-15</v>
      </c>
      <c r="EU61" s="12">
        <f t="shared" si="210"/>
        <v>43020</v>
      </c>
      <c r="EV61" s="11">
        <f t="shared" si="211"/>
        <v>25.33979689494566</v>
      </c>
      <c r="EW61" s="11">
        <f t="shared" si="212"/>
        <v>10</v>
      </c>
      <c r="EX61" s="13"/>
      <c r="EY61" s="13"/>
      <c r="EZ61" s="13"/>
      <c r="FI61" s="12" t="str">
        <f t="shared" si="213"/>
        <v>FY19</v>
      </c>
      <c r="FJ61" s="12">
        <f t="shared" si="214"/>
        <v>43384</v>
      </c>
      <c r="FK61" s="11">
        <f t="shared" si="215"/>
        <v>22.858246916719636</v>
      </c>
      <c r="FL61" s="11">
        <f t="shared" si="216"/>
        <v>12</v>
      </c>
      <c r="FN61" s="13"/>
      <c r="FO61" s="13"/>
      <c r="FP61" s="12" t="str">
        <f t="shared" si="245"/>
        <v>FY19</v>
      </c>
      <c r="FQ61" s="12">
        <f t="shared" si="246"/>
        <v>43370</v>
      </c>
      <c r="FR61" s="11">
        <f t="shared" si="247"/>
        <v>12.986396185632547</v>
      </c>
      <c r="FS61" s="11">
        <f t="shared" si="248"/>
        <v>3</v>
      </c>
      <c r="FU61" s="13"/>
      <c r="FV61" s="13"/>
      <c r="FX61" s="16"/>
      <c r="FY61" s="15"/>
      <c r="GF61" s="12" t="str">
        <f t="shared" si="217"/>
        <v>FY20</v>
      </c>
      <c r="GG61" s="12">
        <f t="shared" si="218"/>
        <v>43748</v>
      </c>
      <c r="GH61" s="11">
        <f t="shared" si="219"/>
        <v>21.62795791818801</v>
      </c>
      <c r="GI61" s="11">
        <f t="shared" si="220"/>
        <v>12</v>
      </c>
      <c r="GK61" s="13"/>
      <c r="GL61" s="13"/>
      <c r="GM61" s="12" t="str">
        <f t="shared" si="249"/>
        <v>FY20</v>
      </c>
      <c r="GN61" s="12">
        <f t="shared" si="250"/>
        <v>43734</v>
      </c>
      <c r="GO61" s="11">
        <f t="shared" si="251"/>
        <v>15.306639767312332</v>
      </c>
      <c r="GP61" s="11">
        <f t="shared" si="252"/>
        <v>3</v>
      </c>
      <c r="GR61" s="13"/>
      <c r="GS61" s="13"/>
      <c r="GU61" s="16"/>
      <c r="GV61" s="14"/>
      <c r="GW61" s="15"/>
      <c r="HB61" s="12" t="str">
        <f t="shared" si="221"/>
        <v>FY21</v>
      </c>
      <c r="HC61" s="12">
        <f t="shared" si="222"/>
        <v>44112</v>
      </c>
      <c r="HD61" s="11">
        <f t="shared" si="223"/>
        <v>42.908867619337187</v>
      </c>
      <c r="HE61" s="11">
        <f t="shared" si="224"/>
        <v>20</v>
      </c>
      <c r="HG61" s="13"/>
      <c r="HH61" s="13"/>
      <c r="HQ61" s="12" t="str">
        <f t="shared" si="225"/>
        <v>FY22</v>
      </c>
      <c r="HR61" s="12">
        <f t="shared" si="226"/>
        <v>44476</v>
      </c>
      <c r="HS61" s="11">
        <f t="shared" si="227"/>
        <v>42.338397567649736</v>
      </c>
      <c r="HT61" s="11">
        <f t="shared" si="228"/>
        <v>20</v>
      </c>
      <c r="HV61" s="13"/>
      <c r="HW61" s="13"/>
      <c r="HX61" s="12" t="str">
        <f t="shared" si="253"/>
        <v>FY22</v>
      </c>
      <c r="HY61" s="12">
        <f t="shared" si="254"/>
        <v>44462</v>
      </c>
      <c r="HZ61" s="11">
        <f t="shared" si="255"/>
        <v>19.222718151413801</v>
      </c>
      <c r="IA61" s="11">
        <f t="shared" si="256"/>
        <v>3</v>
      </c>
      <c r="IC61" s="13"/>
      <c r="ID61" s="13"/>
      <c r="IM61" s="40">
        <v>170</v>
      </c>
      <c r="IN61" s="39">
        <f t="shared" si="258"/>
        <v>290186999.99999994</v>
      </c>
      <c r="IO61" s="40">
        <v>320</v>
      </c>
      <c r="IP61" s="39">
        <f t="shared" si="259"/>
        <v>-81663000.000000238</v>
      </c>
      <c r="IR61" s="13"/>
      <c r="IS61" s="13"/>
      <c r="IT61" s="40">
        <v>170</v>
      </c>
      <c r="IU61" s="39">
        <f t="shared" si="260"/>
        <v>179276000</v>
      </c>
      <c r="IV61" s="40">
        <v>320</v>
      </c>
      <c r="IW61" s="39">
        <f t="shared" si="261"/>
        <v>251261000.00000003</v>
      </c>
      <c r="IY61" s="13"/>
      <c r="IZ61" s="13"/>
      <c r="JI61" s="40">
        <v>170</v>
      </c>
      <c r="JJ61" s="39">
        <f t="shared" si="262"/>
        <v>290186999.99999994</v>
      </c>
      <c r="JK61" s="40">
        <v>320</v>
      </c>
      <c r="JL61" s="39">
        <f t="shared" si="263"/>
        <v>-81663000.000000238</v>
      </c>
      <c r="JN61" s="13"/>
      <c r="JO61" s="13"/>
      <c r="JP61" s="40"/>
      <c r="JQ61" s="39"/>
      <c r="JR61" s="40"/>
      <c r="JS61" s="39"/>
      <c r="JU61" s="13"/>
      <c r="JV61" s="13"/>
      <c r="NG61" s="12" t="str">
        <f t="shared" si="229"/>
        <v>FY18</v>
      </c>
      <c r="NH61" s="12">
        <f t="shared" si="230"/>
        <v>42936</v>
      </c>
      <c r="NI61" s="11">
        <f t="shared" si="231"/>
        <v>13.65188</v>
      </c>
      <c r="NJ61" s="11">
        <f t="shared" si="232"/>
        <v>3</v>
      </c>
      <c r="NL61" s="13"/>
      <c r="NV61" s="12" t="str">
        <f t="shared" si="233"/>
        <v>FY19</v>
      </c>
      <c r="NW61" s="12">
        <f t="shared" si="234"/>
        <v>43307</v>
      </c>
      <c r="NX61" s="11">
        <f t="shared" si="235"/>
        <v>38.903700000000001</v>
      </c>
      <c r="NY61" s="11">
        <f t="shared" si="236"/>
        <v>40</v>
      </c>
      <c r="OA61" s="13"/>
      <c r="OB61" s="1"/>
    </row>
    <row r="62" spans="2:392" x14ac:dyDescent="0.2">
      <c r="B62" s="5"/>
      <c r="C62" s="5"/>
      <c r="D62" s="5"/>
      <c r="F62" s="5"/>
      <c r="G62" s="5"/>
      <c r="H62" s="5"/>
      <c r="I62" s="5"/>
      <c r="M62" s="5" t="str" cm="1">
        <f t="array" ref="M62">LOOKUP(2,1/($G$19:$G$35&lt;=$V62)/($H$19:$H$35&gt;=$V62),$F$19:$F$35)</f>
        <v>2H18</v>
      </c>
      <c r="N62" s="5" t="str" cm="1">
        <f t="array" ref="N62">LOOKUP(2,1/($G$8:$G$16&lt;=$V62)/($H$8:$H$16&gt;=$V62),$F$8:$F$16)</f>
        <v>FY18</v>
      </c>
      <c r="O62" s="5" t="str">
        <f>IFERROR(N62&amp;"-"&amp;COUNTIF($N$5:N62,N62),NA())</f>
        <v>FY18-32</v>
      </c>
      <c r="P62" s="5">
        <f>COUNTIF(V$5:V62,"&gt;="&amp;MAX($V:$V)-183)</f>
        <v>0</v>
      </c>
      <c r="Q62" s="5">
        <f>COUNTIF(V$5:V62,"&gt;="&amp;MAX($V:$V)-365)</f>
        <v>0</v>
      </c>
      <c r="R62" s="5" cm="1">
        <f t="array" ref="R62">LOOKUP(2,1/($G$46:$G$50&lt;=$V62)/($H$46:$H$50&gt;=$V62),$F$46:$F$50)</f>
        <v>0</v>
      </c>
      <c r="S62" s="5" cm="1">
        <f t="array" ref="S62">LOOKUP(2,1/($G$53:$G$56&lt;=$V62)/($H$53:$H$56&gt;=$V62),$F$53:$F$56)</f>
        <v>0</v>
      </c>
      <c r="T62" s="5" t="e">
        <f>IFERROR(IF($R62&gt;0,$R62&amp;"-"&amp;COUNTIF($R$5:$R62,$R62),NA()),NA())</f>
        <v>#N/A</v>
      </c>
      <c r="U62" s="5" t="e">
        <f>IFERROR(IF($S62&gt;0,$S62&amp;"-"&amp;COUNTIF($S$5:$S62,$S62),NA()),NA())</f>
        <v>#N/A</v>
      </c>
      <c r="V62" s="10">
        <v>43139</v>
      </c>
      <c r="W62" s="9">
        <v>16219147.414179746</v>
      </c>
      <c r="X62" s="9">
        <v>15068398.905143691</v>
      </c>
      <c r="Y62" s="8">
        <v>6000000</v>
      </c>
      <c r="AI62" s="18">
        <f t="shared" si="184"/>
        <v>16</v>
      </c>
      <c r="AJ62" s="12">
        <f t="shared" si="185"/>
        <v>45393</v>
      </c>
      <c r="AK62" s="11">
        <f t="shared" si="186"/>
        <v>19.70956619810396</v>
      </c>
      <c r="AL62" s="11">
        <f t="shared" si="187"/>
        <v>4</v>
      </c>
      <c r="AN62" s="13"/>
      <c r="AO62" s="13"/>
      <c r="AP62" s="18">
        <f t="shared" si="237"/>
        <v>14</v>
      </c>
      <c r="AQ62" s="12">
        <f t="shared" si="238"/>
        <v>45379</v>
      </c>
      <c r="AR62" s="11">
        <f t="shared" si="239"/>
        <v>28.780959790781303</v>
      </c>
      <c r="AS62" s="11">
        <f t="shared" si="240"/>
        <v>12</v>
      </c>
      <c r="AU62" s="13"/>
      <c r="BB62" s="115">
        <v>60000000</v>
      </c>
      <c r="BC62" s="2">
        <f t="shared" si="265"/>
        <v>1</v>
      </c>
      <c r="BD62" s="2">
        <f t="shared" si="265"/>
        <v>3</v>
      </c>
      <c r="BE62" s="39">
        <f t="shared" si="267"/>
        <v>77836461.903314069</v>
      </c>
      <c r="BF62" s="39">
        <f t="shared" si="266"/>
        <v>85918721.622897819</v>
      </c>
      <c r="BG62" s="119">
        <f t="shared" si="268"/>
        <v>0.10383642218505851</v>
      </c>
      <c r="BI62" s="18">
        <f t="shared" si="188"/>
        <v>16</v>
      </c>
      <c r="BJ62" s="12">
        <f t="shared" si="189"/>
        <v>45211</v>
      </c>
      <c r="BK62" s="11">
        <f t="shared" si="190"/>
        <v>19.942564454614796</v>
      </c>
      <c r="BL62" s="11">
        <f t="shared" si="191"/>
        <v>4</v>
      </c>
      <c r="BN62" s="13"/>
      <c r="BO62" s="13"/>
      <c r="BP62" s="111">
        <v>60</v>
      </c>
      <c r="BQ62" s="39">
        <f t="shared" si="257"/>
        <v>81738000</v>
      </c>
      <c r="BR62" s="120">
        <f t="shared" si="264"/>
        <v>81.738</v>
      </c>
      <c r="BS62" s="39"/>
      <c r="BU62" s="13"/>
      <c r="CE62" s="18" t="str">
        <f t="shared" si="193"/>
        <v>N1-16</v>
      </c>
      <c r="CF62" s="12">
        <f t="shared" si="194"/>
        <v>44217</v>
      </c>
      <c r="CG62" s="11">
        <f t="shared" si="195"/>
        <v>39.055239160839157</v>
      </c>
      <c r="CH62" s="11">
        <f t="shared" si="196"/>
        <v>20</v>
      </c>
      <c r="CK62" s="13"/>
      <c r="CL62" s="23" t="s">
        <v>20</v>
      </c>
      <c r="CM62" s="31">
        <v>44112</v>
      </c>
      <c r="CN62" s="31">
        <v>44224</v>
      </c>
      <c r="CO62" s="30"/>
      <c r="CT62" s="18" t="str">
        <f t="shared" si="197"/>
        <v>A1-16</v>
      </c>
      <c r="CU62" s="12">
        <f t="shared" si="198"/>
        <v>44329</v>
      </c>
      <c r="CV62" s="11">
        <f t="shared" si="199"/>
        <v>47.890415810276679</v>
      </c>
      <c r="CW62" s="11">
        <f t="shared" si="200"/>
        <v>30</v>
      </c>
      <c r="CY62" s="13"/>
      <c r="DI62" s="18" t="str">
        <f t="shared" si="201"/>
        <v>N2-16</v>
      </c>
      <c r="DJ62" s="12">
        <f t="shared" si="202"/>
        <v>44812</v>
      </c>
      <c r="DK62" s="11">
        <f t="shared" si="203"/>
        <v>61.420572818485859</v>
      </c>
      <c r="DL62" s="11">
        <f t="shared" si="204"/>
        <v>40</v>
      </c>
      <c r="DN62" s="14">
        <v>154</v>
      </c>
      <c r="DO62" s="13"/>
      <c r="DX62" s="18" t="str">
        <f t="shared" si="205"/>
        <v>A2-16</v>
      </c>
      <c r="DY62" s="12">
        <f t="shared" si="206"/>
        <v>44924</v>
      </c>
      <c r="DZ62" s="11">
        <f t="shared" si="207"/>
        <v>137.55484439039225</v>
      </c>
      <c r="EA62" s="11">
        <f t="shared" si="208"/>
        <v>100</v>
      </c>
      <c r="EC62" s="13"/>
      <c r="ED62" s="13"/>
      <c r="EE62" s="12" t="str">
        <f t="shared" si="241"/>
        <v>A2-14</v>
      </c>
      <c r="EF62" s="12">
        <f t="shared" si="242"/>
        <v>44910</v>
      </c>
      <c r="EG62" s="11">
        <f t="shared" si="243"/>
        <v>50.094358163575549</v>
      </c>
      <c r="EH62" s="11">
        <f t="shared" si="244"/>
        <v>30</v>
      </c>
      <c r="EJ62" s="13"/>
      <c r="EK62" s="13"/>
      <c r="EQ62" s="1">
        <v>7</v>
      </c>
      <c r="ER62" s="1">
        <v>50</v>
      </c>
      <c r="ET62" s="12" t="str">
        <f t="shared" si="209"/>
        <v>FY18-16</v>
      </c>
      <c r="EU62" s="12">
        <f t="shared" si="210"/>
        <v>43027</v>
      </c>
      <c r="EV62" s="11">
        <f t="shared" si="211"/>
        <v>28.458439261687076</v>
      </c>
      <c r="EW62" s="11">
        <f t="shared" si="212"/>
        <v>15</v>
      </c>
      <c r="EX62" s="13"/>
      <c r="EY62" s="13"/>
      <c r="EZ62" s="13"/>
      <c r="FI62" s="12" t="str">
        <f t="shared" si="213"/>
        <v>FY19</v>
      </c>
      <c r="FJ62" s="12">
        <f t="shared" si="214"/>
        <v>43391</v>
      </c>
      <c r="FK62" s="11">
        <f t="shared" si="215"/>
        <v>29.451650349650347</v>
      </c>
      <c r="FL62" s="11">
        <f t="shared" si="216"/>
        <v>20</v>
      </c>
      <c r="FN62" s="13"/>
      <c r="FO62" s="13"/>
      <c r="FP62" s="12" t="str">
        <f t="shared" si="245"/>
        <v>FY19</v>
      </c>
      <c r="FQ62" s="12">
        <f t="shared" si="246"/>
        <v>43377</v>
      </c>
      <c r="FR62" s="11">
        <f t="shared" si="247"/>
        <v>17.248674888747615</v>
      </c>
      <c r="FS62" s="11">
        <f t="shared" si="248"/>
        <v>8</v>
      </c>
      <c r="FU62" s="13"/>
      <c r="FV62" s="13"/>
      <c r="FX62" s="16"/>
      <c r="FY62" s="15"/>
      <c r="GF62" s="12" t="str">
        <f t="shared" si="217"/>
        <v>FY20</v>
      </c>
      <c r="GG62" s="12">
        <f t="shared" si="218"/>
        <v>43755</v>
      </c>
      <c r="GH62" s="11">
        <f t="shared" si="219"/>
        <v>14.675381397363697</v>
      </c>
      <c r="GI62" s="11">
        <f t="shared" si="220"/>
        <v>3</v>
      </c>
      <c r="GK62" s="13"/>
      <c r="GL62" s="13"/>
      <c r="GM62" s="12" t="str">
        <f t="shared" si="249"/>
        <v>FY20</v>
      </c>
      <c r="GN62" s="12">
        <f t="shared" si="250"/>
        <v>43741</v>
      </c>
      <c r="GO62" s="11">
        <f t="shared" si="251"/>
        <v>18.203091032860947</v>
      </c>
      <c r="GP62" s="11">
        <f t="shared" si="252"/>
        <v>8</v>
      </c>
      <c r="GR62" s="13"/>
      <c r="GS62" s="13"/>
      <c r="GU62" s="16"/>
      <c r="GV62" s="14"/>
      <c r="GW62" s="15"/>
      <c r="HB62" s="12" t="str">
        <f t="shared" si="221"/>
        <v>FY21</v>
      </c>
      <c r="HC62" s="12">
        <f t="shared" si="222"/>
        <v>44119</v>
      </c>
      <c r="HD62" s="11">
        <f t="shared" si="223"/>
        <v>61.499423776223779</v>
      </c>
      <c r="HE62" s="11">
        <f t="shared" si="224"/>
        <v>40</v>
      </c>
      <c r="HG62" s="13"/>
      <c r="HH62" s="13"/>
      <c r="HQ62" s="12" t="str">
        <f t="shared" si="225"/>
        <v>FY22</v>
      </c>
      <c r="HR62" s="12">
        <f t="shared" si="226"/>
        <v>44483</v>
      </c>
      <c r="HS62" s="11">
        <f t="shared" si="227"/>
        <v>59.016362663423536</v>
      </c>
      <c r="HT62" s="11">
        <f t="shared" si="228"/>
        <v>40</v>
      </c>
      <c r="HV62" s="13"/>
      <c r="HW62" s="13"/>
      <c r="HX62" s="12" t="str">
        <f t="shared" si="253"/>
        <v>FY22</v>
      </c>
      <c r="HY62" s="12">
        <f t="shared" si="254"/>
        <v>44469</v>
      </c>
      <c r="HZ62" s="11">
        <f t="shared" si="255"/>
        <v>26.314208574034662</v>
      </c>
      <c r="IA62" s="11">
        <f t="shared" si="256"/>
        <v>8</v>
      </c>
      <c r="IC62" s="13"/>
      <c r="ID62" s="13"/>
      <c r="IM62" s="40">
        <v>180</v>
      </c>
      <c r="IN62" s="39">
        <f t="shared" si="258"/>
        <v>298297000</v>
      </c>
      <c r="IO62" s="40">
        <v>330</v>
      </c>
      <c r="IP62" s="39">
        <f t="shared" si="259"/>
        <v>-158453000.00000036</v>
      </c>
      <c r="IR62" s="13"/>
      <c r="IS62" s="13"/>
      <c r="IT62" s="40">
        <v>180</v>
      </c>
      <c r="IU62" s="39">
        <f t="shared" si="260"/>
        <v>186175000</v>
      </c>
      <c r="IV62" s="40">
        <v>330</v>
      </c>
      <c r="IW62" s="39">
        <f t="shared" si="261"/>
        <v>253660000.00000003</v>
      </c>
      <c r="IY62" s="13"/>
      <c r="IZ62" s="13"/>
      <c r="JI62" s="40">
        <v>180</v>
      </c>
      <c r="JJ62" s="39">
        <f t="shared" si="262"/>
        <v>298297000</v>
      </c>
      <c r="JK62" s="40">
        <v>330</v>
      </c>
      <c r="JL62" s="39">
        <f t="shared" si="263"/>
        <v>-158453000.00000036</v>
      </c>
      <c r="JN62" s="13"/>
      <c r="JO62" s="13"/>
      <c r="JP62" s="60" t="s">
        <v>51</v>
      </c>
      <c r="JQ62" s="39"/>
      <c r="JR62" s="40"/>
      <c r="JS62" s="39"/>
      <c r="JU62" s="13"/>
      <c r="JV62" s="13"/>
      <c r="NG62" s="12" t="str">
        <f t="shared" si="229"/>
        <v>FY18</v>
      </c>
      <c r="NH62" s="12">
        <f t="shared" si="230"/>
        <v>42943</v>
      </c>
      <c r="NI62" s="11">
        <f t="shared" si="231"/>
        <v>12.28942</v>
      </c>
      <c r="NJ62" s="11">
        <f t="shared" si="232"/>
        <v>3</v>
      </c>
      <c r="NL62" s="13"/>
      <c r="NV62" s="12" t="str">
        <f t="shared" si="233"/>
        <v>FY19</v>
      </c>
      <c r="NW62" s="12">
        <f t="shared" si="234"/>
        <v>43314</v>
      </c>
      <c r="NX62" s="11">
        <f t="shared" si="235"/>
        <v>47.926296000000001</v>
      </c>
      <c r="NY62" s="11">
        <f t="shared" si="236"/>
        <v>50</v>
      </c>
      <c r="OA62" s="13"/>
      <c r="OB62" s="1"/>
    </row>
    <row r="63" spans="2:392" x14ac:dyDescent="0.2">
      <c r="F63" s="5"/>
      <c r="G63" s="5"/>
      <c r="H63" s="5"/>
      <c r="I63" s="5"/>
      <c r="M63" s="5" t="str" cm="1">
        <f t="array" ref="M63">LOOKUP(2,1/($G$19:$G$35&lt;=$V63)/($H$19:$H$35&gt;=$V63),$F$19:$F$35)</f>
        <v>2H18</v>
      </c>
      <c r="N63" s="5" t="str" cm="1">
        <f t="array" ref="N63">LOOKUP(2,1/($G$8:$G$16&lt;=$V63)/($H$8:$H$16&gt;=$V63),$F$8:$F$16)</f>
        <v>FY18</v>
      </c>
      <c r="O63" s="5" t="str">
        <f>IFERROR(N63&amp;"-"&amp;COUNTIF($N$5:N63,N63),NA())</f>
        <v>FY18-33</v>
      </c>
      <c r="P63" s="5">
        <f>COUNTIF(V$5:V63,"&gt;="&amp;MAX($V:$V)-183)</f>
        <v>0</v>
      </c>
      <c r="Q63" s="5">
        <f>COUNTIF(V$5:V63,"&gt;="&amp;MAX($V:$V)-365)</f>
        <v>0</v>
      </c>
      <c r="R63" s="5" cm="1">
        <f t="array" ref="R63">LOOKUP(2,1/($G$46:$G$50&lt;=$V63)/($H$46:$H$50&gt;=$V63),$F$46:$F$50)</f>
        <v>0</v>
      </c>
      <c r="S63" s="5" cm="1">
        <f t="array" ref="S63">LOOKUP(2,1/($G$53:$G$56&lt;=$V63)/($H$53:$H$56&gt;=$V63),$F$53:$F$56)</f>
        <v>0</v>
      </c>
      <c r="T63" s="5" t="e">
        <f>IFERROR(IF($R63&gt;0,$R63&amp;"-"&amp;COUNTIF($R$5:$R63,$R63),NA()),NA())</f>
        <v>#N/A</v>
      </c>
      <c r="U63" s="5" t="e">
        <f>IFERROR(IF($S63&gt;0,$S63&amp;"-"&amp;COUNTIF($S$5:$S63,$S63),NA()),NA())</f>
        <v>#N/A</v>
      </c>
      <c r="V63" s="10">
        <v>43146</v>
      </c>
      <c r="W63" s="9">
        <v>14328098.030015524</v>
      </c>
      <c r="X63" s="9">
        <v>13311519.474785922</v>
      </c>
      <c r="Y63" s="8">
        <v>3000000</v>
      </c>
      <c r="AI63" s="18">
        <f t="shared" si="184"/>
        <v>17</v>
      </c>
      <c r="AJ63" s="12">
        <f t="shared" si="185"/>
        <v>45400</v>
      </c>
      <c r="AK63" s="11">
        <f t="shared" si="186"/>
        <v>30.895473575242455</v>
      </c>
      <c r="AL63" s="11">
        <f t="shared" si="187"/>
        <v>12</v>
      </c>
      <c r="AN63" s="13"/>
      <c r="AO63" s="13"/>
      <c r="AP63" s="18">
        <f t="shared" si="237"/>
        <v>15</v>
      </c>
      <c r="AQ63" s="12">
        <f t="shared" si="238"/>
        <v>45386</v>
      </c>
      <c r="AR63" s="11">
        <f t="shared" si="239"/>
        <v>33.664848752315571</v>
      </c>
      <c r="AS63" s="11">
        <f t="shared" si="240"/>
        <v>20</v>
      </c>
      <c r="AU63" s="13"/>
      <c r="BB63" s="115">
        <v>100000000</v>
      </c>
      <c r="BC63" s="2">
        <f t="shared" si="265"/>
        <v>2</v>
      </c>
      <c r="BD63" s="2">
        <f t="shared" si="265"/>
        <v>2</v>
      </c>
      <c r="BE63" s="39">
        <f t="shared" si="267"/>
        <v>160319658.74125874</v>
      </c>
      <c r="BF63" s="39">
        <f t="shared" si="266"/>
        <v>162985535.74152774</v>
      </c>
      <c r="BG63" s="119">
        <f t="shared" si="268"/>
        <v>1.6628509698685567E-2</v>
      </c>
      <c r="BI63" s="18">
        <f t="shared" si="188"/>
        <v>17</v>
      </c>
      <c r="BJ63" s="12">
        <f t="shared" si="189"/>
        <v>45218</v>
      </c>
      <c r="BK63" s="11">
        <f t="shared" si="190"/>
        <v>28.337262286150157</v>
      </c>
      <c r="BL63" s="11">
        <f t="shared" si="191"/>
        <v>12</v>
      </c>
      <c r="BN63" s="13"/>
      <c r="BO63" s="13"/>
      <c r="BP63" s="111">
        <v>65</v>
      </c>
      <c r="BQ63" s="39">
        <f t="shared" si="257"/>
        <v>87169000.000000015</v>
      </c>
      <c r="BR63" s="120">
        <f t="shared" si="264"/>
        <v>87.169000000000011</v>
      </c>
      <c r="BS63" s="39"/>
      <c r="BU63" s="13"/>
      <c r="CE63" s="18" t="e">
        <f t="shared" si="193"/>
        <v>#N/A</v>
      </c>
      <c r="CF63" s="12" t="e">
        <f t="shared" si="194"/>
        <v>#N/A</v>
      </c>
      <c r="CG63" s="11" t="e">
        <f t="shared" si="195"/>
        <v>#N/A</v>
      </c>
      <c r="CH63" s="11" t="e">
        <f t="shared" si="196"/>
        <v>#N/A</v>
      </c>
      <c r="CK63" s="13"/>
      <c r="CL63" s="23" t="s">
        <v>19</v>
      </c>
      <c r="CM63" s="31">
        <v>44217</v>
      </c>
      <c r="CN63" s="31">
        <v>44329</v>
      </c>
      <c r="CO63" s="30"/>
      <c r="CT63" s="18" t="e">
        <f t="shared" si="197"/>
        <v>#N/A</v>
      </c>
      <c r="CU63" s="12" t="e">
        <f t="shared" si="198"/>
        <v>#N/A</v>
      </c>
      <c r="CV63" s="11" t="e">
        <f t="shared" si="199"/>
        <v>#N/A</v>
      </c>
      <c r="CW63" s="11" t="e">
        <f t="shared" si="200"/>
        <v>#N/A</v>
      </c>
      <c r="CY63" s="13"/>
      <c r="DI63" s="18" t="e">
        <f t="shared" si="201"/>
        <v>#N/A</v>
      </c>
      <c r="DJ63" s="12" t="e">
        <f t="shared" si="202"/>
        <v>#N/A</v>
      </c>
      <c r="DK63" s="11" t="e">
        <f t="shared" si="203"/>
        <v>#N/A</v>
      </c>
      <c r="DL63" s="11" t="e">
        <f t="shared" si="204"/>
        <v>#N/A</v>
      </c>
      <c r="DN63" s="13"/>
      <c r="DO63" s="13"/>
      <c r="DX63" s="18" t="e">
        <f t="shared" si="205"/>
        <v>#N/A</v>
      </c>
      <c r="DY63" s="12" t="e">
        <f t="shared" si="206"/>
        <v>#N/A</v>
      </c>
      <c r="DZ63" s="11" t="e">
        <f t="shared" si="207"/>
        <v>#N/A</v>
      </c>
      <c r="EA63" s="11" t="e">
        <f t="shared" si="208"/>
        <v>#N/A</v>
      </c>
      <c r="EC63" s="13"/>
      <c r="ED63" s="13"/>
      <c r="EE63" s="12" t="str">
        <f t="shared" si="241"/>
        <v>A2-15</v>
      </c>
      <c r="EF63" s="12">
        <f t="shared" si="242"/>
        <v>44917</v>
      </c>
      <c r="EG63" s="11">
        <f t="shared" si="243"/>
        <v>75.733957798723026</v>
      </c>
      <c r="EH63" s="11">
        <f t="shared" si="244"/>
        <v>50</v>
      </c>
      <c r="EJ63" s="13"/>
      <c r="EK63" s="13"/>
      <c r="ER63" s="1">
        <v>80</v>
      </c>
      <c r="ET63" s="12" t="str">
        <f t="shared" si="209"/>
        <v>FY18-17</v>
      </c>
      <c r="EU63" s="12">
        <f t="shared" si="210"/>
        <v>43034</v>
      </c>
      <c r="EV63" s="11">
        <f t="shared" si="211"/>
        <v>12.752664964636878</v>
      </c>
      <c r="EW63" s="11">
        <f t="shared" si="212"/>
        <v>3</v>
      </c>
      <c r="EX63" s="13"/>
      <c r="EY63" s="13"/>
      <c r="EZ63" s="13"/>
      <c r="FI63" s="12" t="str">
        <f t="shared" si="213"/>
        <v>FY19</v>
      </c>
      <c r="FJ63" s="12">
        <f t="shared" si="214"/>
        <v>43398</v>
      </c>
      <c r="FK63" s="11">
        <f t="shared" si="215"/>
        <v>34.304900190718364</v>
      </c>
      <c r="FL63" s="11">
        <f t="shared" si="216"/>
        <v>30</v>
      </c>
      <c r="FN63" s="13"/>
      <c r="FO63" s="13"/>
      <c r="FP63" s="12" t="str">
        <f t="shared" si="245"/>
        <v>FY19</v>
      </c>
      <c r="FQ63" s="12">
        <f t="shared" si="246"/>
        <v>43384</v>
      </c>
      <c r="FR63" s="11">
        <f t="shared" si="247"/>
        <v>22.858246916719636</v>
      </c>
      <c r="FS63" s="11">
        <f t="shared" si="248"/>
        <v>12</v>
      </c>
      <c r="FU63" s="13"/>
      <c r="FV63" s="13"/>
      <c r="FX63" s="16"/>
      <c r="FY63" s="15"/>
      <c r="GF63" s="12" t="str">
        <f t="shared" si="217"/>
        <v>FY20</v>
      </c>
      <c r="GG63" s="12">
        <f t="shared" si="218"/>
        <v>43762</v>
      </c>
      <c r="GH63" s="11">
        <f t="shared" si="219"/>
        <v>19.900891144253976</v>
      </c>
      <c r="GI63" s="11">
        <f t="shared" si="220"/>
        <v>8</v>
      </c>
      <c r="GK63" s="13"/>
      <c r="GL63" s="13"/>
      <c r="GM63" s="12" t="str">
        <f t="shared" si="249"/>
        <v>FY20</v>
      </c>
      <c r="GN63" s="12">
        <f t="shared" si="250"/>
        <v>43748</v>
      </c>
      <c r="GO63" s="11">
        <f t="shared" si="251"/>
        <v>21.62795791818801</v>
      </c>
      <c r="GP63" s="11">
        <f t="shared" si="252"/>
        <v>12</v>
      </c>
      <c r="GR63" s="13"/>
      <c r="GS63" s="13"/>
      <c r="GU63" s="16"/>
      <c r="GV63" s="14"/>
      <c r="GW63" s="15"/>
      <c r="HB63" s="12" t="str">
        <f t="shared" si="221"/>
        <v>FY21</v>
      </c>
      <c r="HC63" s="12">
        <f t="shared" si="222"/>
        <v>44126</v>
      </c>
      <c r="HD63" s="11">
        <f t="shared" si="223"/>
        <v>19.054887686226817</v>
      </c>
      <c r="HE63" s="11">
        <f t="shared" si="224"/>
        <v>3</v>
      </c>
      <c r="HG63" s="13"/>
      <c r="HH63" s="13"/>
      <c r="HJ63" s="16"/>
      <c r="HK63" s="15"/>
      <c r="HL63" s="14"/>
      <c r="HQ63" s="12" t="str">
        <f t="shared" si="225"/>
        <v>FY22</v>
      </c>
      <c r="HR63" s="12">
        <f t="shared" si="226"/>
        <v>44490</v>
      </c>
      <c r="HS63" s="11">
        <f t="shared" si="227"/>
        <v>83.423387290969913</v>
      </c>
      <c r="HT63" s="11">
        <f t="shared" si="228"/>
        <v>60</v>
      </c>
      <c r="HV63" s="13"/>
      <c r="HW63" s="13"/>
      <c r="HX63" s="12" t="str">
        <f t="shared" si="253"/>
        <v>FY22</v>
      </c>
      <c r="HY63" s="12">
        <f t="shared" si="254"/>
        <v>44476</v>
      </c>
      <c r="HZ63" s="11">
        <f t="shared" si="255"/>
        <v>42.338397567649736</v>
      </c>
      <c r="IA63" s="11">
        <f t="shared" si="256"/>
        <v>20</v>
      </c>
      <c r="IC63" s="13"/>
      <c r="ID63" s="13"/>
      <c r="IM63" s="40">
        <v>190</v>
      </c>
      <c r="IN63" s="39">
        <f t="shared" si="258"/>
        <v>303267000</v>
      </c>
      <c r="IO63" s="40">
        <v>340</v>
      </c>
      <c r="IP63" s="39">
        <f t="shared" si="259"/>
        <v>-243783000.00000027</v>
      </c>
      <c r="IR63" s="13"/>
      <c r="IS63" s="13"/>
      <c r="IT63" s="40">
        <v>190</v>
      </c>
      <c r="IU63" s="39">
        <f t="shared" si="260"/>
        <v>192774000</v>
      </c>
      <c r="IV63" s="40">
        <v>340</v>
      </c>
      <c r="IW63" s="39">
        <f t="shared" si="261"/>
        <v>255759000</v>
      </c>
      <c r="IY63" s="13"/>
      <c r="IZ63" s="13"/>
      <c r="JI63" s="40">
        <v>190</v>
      </c>
      <c r="JJ63" s="39">
        <f t="shared" si="262"/>
        <v>303267000</v>
      </c>
      <c r="JK63" s="40">
        <v>340</v>
      </c>
      <c r="JL63" s="39">
        <f t="shared" si="263"/>
        <v>-243783000.00000027</v>
      </c>
      <c r="JN63" s="13"/>
      <c r="JO63" s="13"/>
      <c r="JP63" s="59">
        <v>1E-4</v>
      </c>
      <c r="JQ63" s="59">
        <v>-1.29E-2</v>
      </c>
      <c r="JR63" s="59">
        <v>1.4476</v>
      </c>
      <c r="JS63" s="59">
        <v>15.06</v>
      </c>
      <c r="JU63" s="13"/>
      <c r="JV63" s="13"/>
      <c r="NG63" s="12" t="str">
        <f t="shared" si="229"/>
        <v>FY18</v>
      </c>
      <c r="NH63" s="12">
        <f t="shared" si="230"/>
        <v>42950</v>
      </c>
      <c r="NI63" s="11">
        <f t="shared" si="231"/>
        <v>17.31664</v>
      </c>
      <c r="NJ63" s="11">
        <f t="shared" si="232"/>
        <v>6</v>
      </c>
      <c r="NL63" s="13"/>
      <c r="NV63" s="12" t="str">
        <f t="shared" si="233"/>
        <v>FY19</v>
      </c>
      <c r="NW63" s="12">
        <f t="shared" si="234"/>
        <v>43321</v>
      </c>
      <c r="NX63" s="11">
        <f t="shared" si="235"/>
        <v>90.542231999999998</v>
      </c>
      <c r="NY63" s="11">
        <f t="shared" si="236"/>
        <v>80</v>
      </c>
      <c r="OA63" s="13"/>
      <c r="OB63" s="1"/>
    </row>
    <row r="64" spans="2:392" x14ac:dyDescent="0.2">
      <c r="F64" s="5"/>
      <c r="G64" s="5"/>
      <c r="H64" s="5"/>
      <c r="I64" s="5"/>
      <c r="M64" s="5" t="str" cm="1">
        <f t="array" ref="M64">LOOKUP(2,1/($G$19:$G$35&lt;=$V64)/($H$19:$H$35&gt;=$V64),$F$19:$F$35)</f>
        <v>2H18</v>
      </c>
      <c r="N64" s="5" t="str" cm="1">
        <f t="array" ref="N64">LOOKUP(2,1/($G$8:$G$16&lt;=$V64)/($H$8:$H$16&gt;=$V64),$F$8:$F$16)</f>
        <v>FY18</v>
      </c>
      <c r="O64" s="5" t="str">
        <f>IFERROR(N64&amp;"-"&amp;COUNTIF($N$5:N64,N64),NA())</f>
        <v>FY18-34</v>
      </c>
      <c r="P64" s="5">
        <f>COUNTIF(V$5:V64,"&gt;="&amp;MAX($V:$V)-183)</f>
        <v>0</v>
      </c>
      <c r="Q64" s="5">
        <f>COUNTIF(V$5:V64,"&gt;="&amp;MAX($V:$V)-365)</f>
        <v>0</v>
      </c>
      <c r="R64" s="5" cm="1">
        <f t="array" ref="R64">LOOKUP(2,1/($G$46:$G$50&lt;=$V64)/($H$46:$H$50&gt;=$V64),$F$46:$F$50)</f>
        <v>0</v>
      </c>
      <c r="S64" s="5" cm="1">
        <f t="array" ref="S64">LOOKUP(2,1/($G$53:$G$56&lt;=$V64)/($H$53:$H$56&gt;=$V64),$F$53:$F$56)</f>
        <v>0</v>
      </c>
      <c r="T64" s="5" t="e">
        <f>IFERROR(IF($R64&gt;0,$R64&amp;"-"&amp;COUNTIF($R$5:$R64,$R64),NA()),NA())</f>
        <v>#N/A</v>
      </c>
      <c r="U64" s="5" t="e">
        <f>IFERROR(IF($S64&gt;0,$S64&amp;"-"&amp;COUNTIF($S$5:$S64,$S64),NA()),NA())</f>
        <v>#N/A</v>
      </c>
      <c r="V64" s="10">
        <v>43153</v>
      </c>
      <c r="W64" s="9">
        <v>17186081.045368291</v>
      </c>
      <c r="X64" s="9">
        <v>15966728.59519941</v>
      </c>
      <c r="Y64" s="8">
        <v>6000000</v>
      </c>
      <c r="AI64" s="18">
        <f t="shared" si="184"/>
        <v>18</v>
      </c>
      <c r="AJ64" s="12">
        <f t="shared" si="185"/>
        <v>45407</v>
      </c>
      <c r="AK64" s="11">
        <f t="shared" si="186"/>
        <v>37.208673640623303</v>
      </c>
      <c r="AL64" s="11">
        <f t="shared" si="187"/>
        <v>20</v>
      </c>
      <c r="AN64" s="13"/>
      <c r="AO64" s="13"/>
      <c r="AP64" s="18">
        <f t="shared" si="237"/>
        <v>16</v>
      </c>
      <c r="AQ64" s="12">
        <f t="shared" si="238"/>
        <v>45393</v>
      </c>
      <c r="AR64" s="11">
        <f t="shared" si="239"/>
        <v>19.70956619810396</v>
      </c>
      <c r="AS64" s="11">
        <f t="shared" si="240"/>
        <v>4</v>
      </c>
      <c r="AU64" s="13"/>
      <c r="BI64" s="18">
        <f t="shared" si="188"/>
        <v>18</v>
      </c>
      <c r="BJ64" s="12">
        <f t="shared" si="189"/>
        <v>45225</v>
      </c>
      <c r="BK64" s="11">
        <f t="shared" si="190"/>
        <v>41.102714394682366</v>
      </c>
      <c r="BL64" s="11">
        <f t="shared" si="191"/>
        <v>20</v>
      </c>
      <c r="BN64" s="13"/>
      <c r="BO64" s="13"/>
      <c r="BP64" s="111">
        <v>80</v>
      </c>
      <c r="BQ64" s="39">
        <f t="shared" si="257"/>
        <v>103462000</v>
      </c>
      <c r="BR64" s="120">
        <f t="shared" si="264"/>
        <v>103.462</v>
      </c>
      <c r="BS64" s="39"/>
      <c r="BU64" s="13"/>
      <c r="CE64" s="18" t="e">
        <f t="shared" si="193"/>
        <v>#N/A</v>
      </c>
      <c r="CF64" s="12" t="e">
        <f t="shared" si="194"/>
        <v>#N/A</v>
      </c>
      <c r="CG64" s="11" t="e">
        <f t="shared" si="195"/>
        <v>#N/A</v>
      </c>
      <c r="CH64" s="11" t="e">
        <f t="shared" si="196"/>
        <v>#N/A</v>
      </c>
      <c r="CK64" s="13"/>
      <c r="CL64" s="23" t="s">
        <v>18</v>
      </c>
      <c r="CM64" s="2">
        <v>16</v>
      </c>
      <c r="CN64" s="2">
        <v>16</v>
      </c>
      <c r="CO64" s="30"/>
      <c r="CT64" s="18" t="e">
        <f t="shared" si="197"/>
        <v>#N/A</v>
      </c>
      <c r="CU64" s="12" t="e">
        <f t="shared" si="198"/>
        <v>#N/A</v>
      </c>
      <c r="CV64" s="11" t="e">
        <f t="shared" si="199"/>
        <v>#N/A</v>
      </c>
      <c r="CW64" s="11" t="e">
        <f t="shared" si="200"/>
        <v>#N/A</v>
      </c>
      <c r="CY64" s="13"/>
      <c r="DI64" s="18" t="e">
        <f t="shared" si="201"/>
        <v>#N/A</v>
      </c>
      <c r="DJ64" s="12" t="e">
        <f t="shared" si="202"/>
        <v>#N/A</v>
      </c>
      <c r="DK64" s="11" t="e">
        <f t="shared" si="203"/>
        <v>#N/A</v>
      </c>
      <c r="DL64" s="11" t="e">
        <f t="shared" si="204"/>
        <v>#N/A</v>
      </c>
      <c r="DN64" s="13" t="s">
        <v>5</v>
      </c>
      <c r="DO64" s="13"/>
      <c r="DX64" s="18" t="e">
        <f t="shared" si="205"/>
        <v>#N/A</v>
      </c>
      <c r="DY64" s="12" t="e">
        <f t="shared" si="206"/>
        <v>#N/A</v>
      </c>
      <c r="DZ64" s="11" t="e">
        <f t="shared" si="207"/>
        <v>#N/A</v>
      </c>
      <c r="EA64" s="11" t="e">
        <f t="shared" si="208"/>
        <v>#N/A</v>
      </c>
      <c r="EC64" s="13"/>
      <c r="ED64" s="13"/>
      <c r="EE64" s="12" t="e">
        <f t="shared" si="241"/>
        <v>#N/A</v>
      </c>
      <c r="EF64" s="12" t="e">
        <f t="shared" si="242"/>
        <v>#N/A</v>
      </c>
      <c r="EG64" s="11" t="e">
        <f t="shared" si="243"/>
        <v>#N/A</v>
      </c>
      <c r="EH64" s="11" t="e">
        <f t="shared" si="244"/>
        <v>#N/A</v>
      </c>
      <c r="EJ64" s="13"/>
      <c r="EK64" s="13"/>
      <c r="ER64" s="1">
        <v>100</v>
      </c>
      <c r="ET64" s="12" t="str">
        <f t="shared" si="209"/>
        <v>FY18-18</v>
      </c>
      <c r="EU64" s="12">
        <f t="shared" si="210"/>
        <v>43041</v>
      </c>
      <c r="EV64" s="11">
        <f t="shared" si="211"/>
        <v>16.170259991374849</v>
      </c>
      <c r="EW64" s="11">
        <f t="shared" si="212"/>
        <v>6</v>
      </c>
      <c r="EX64" s="13"/>
      <c r="EY64" s="13"/>
      <c r="EZ64" s="13"/>
      <c r="FI64" s="12" t="str">
        <f t="shared" si="213"/>
        <v>FY19</v>
      </c>
      <c r="FJ64" s="12">
        <f t="shared" si="214"/>
        <v>43405</v>
      </c>
      <c r="FK64" s="11">
        <f t="shared" si="215"/>
        <v>42.745877177368079</v>
      </c>
      <c r="FL64" s="11">
        <f t="shared" si="216"/>
        <v>40</v>
      </c>
      <c r="FN64" s="13"/>
      <c r="FO64" s="13"/>
      <c r="FP64" s="12" t="str">
        <f t="shared" si="245"/>
        <v>FY19</v>
      </c>
      <c r="FQ64" s="12">
        <f t="shared" si="246"/>
        <v>43391</v>
      </c>
      <c r="FR64" s="11">
        <f t="shared" si="247"/>
        <v>29.451650349650347</v>
      </c>
      <c r="FS64" s="11">
        <f t="shared" si="248"/>
        <v>20</v>
      </c>
      <c r="FU64" s="13"/>
      <c r="FV64" s="13"/>
      <c r="FX64" s="16"/>
      <c r="FY64" s="15"/>
      <c r="GF64" s="12" t="str">
        <f t="shared" si="217"/>
        <v>FY20</v>
      </c>
      <c r="GG64" s="12">
        <f t="shared" si="218"/>
        <v>43769</v>
      </c>
      <c r="GH64" s="11">
        <f t="shared" si="219"/>
        <v>22.777251067516556</v>
      </c>
      <c r="GI64" s="11">
        <f t="shared" si="220"/>
        <v>12</v>
      </c>
      <c r="GK64" s="13"/>
      <c r="GL64" s="13"/>
      <c r="GM64" s="12" t="str">
        <f t="shared" si="249"/>
        <v>FY20</v>
      </c>
      <c r="GN64" s="12">
        <f t="shared" si="250"/>
        <v>43755</v>
      </c>
      <c r="GO64" s="11">
        <f t="shared" si="251"/>
        <v>14.675381397363697</v>
      </c>
      <c r="GP64" s="11">
        <f t="shared" si="252"/>
        <v>3</v>
      </c>
      <c r="GR64" s="13"/>
      <c r="GS64" s="13"/>
      <c r="GU64" s="16"/>
      <c r="GV64" s="14"/>
      <c r="GW64" s="15"/>
      <c r="HB64" s="12" t="str">
        <f t="shared" si="221"/>
        <v>FY21</v>
      </c>
      <c r="HC64" s="12">
        <f t="shared" si="222"/>
        <v>44133</v>
      </c>
      <c r="HD64" s="11">
        <f t="shared" si="223"/>
        <v>24.929902341137119</v>
      </c>
      <c r="HE64" s="11">
        <f t="shared" si="224"/>
        <v>8</v>
      </c>
      <c r="HG64" s="13"/>
      <c r="HH64" s="13"/>
      <c r="HJ64" s="16"/>
      <c r="HK64" s="15"/>
      <c r="HL64" s="14"/>
      <c r="HQ64" s="12" t="str">
        <f t="shared" si="225"/>
        <v>FY22</v>
      </c>
      <c r="HR64" s="12">
        <f t="shared" si="226"/>
        <v>44497</v>
      </c>
      <c r="HS64" s="11">
        <f t="shared" si="227"/>
        <v>18.862208574034657</v>
      </c>
      <c r="HT64" s="11">
        <f t="shared" si="228"/>
        <v>3</v>
      </c>
      <c r="HV64" s="13"/>
      <c r="HW64" s="13"/>
      <c r="HX64" s="12" t="str">
        <f t="shared" si="253"/>
        <v>FY22</v>
      </c>
      <c r="HY64" s="12">
        <f t="shared" si="254"/>
        <v>44483</v>
      </c>
      <c r="HZ64" s="11">
        <f t="shared" si="255"/>
        <v>59.016362663423536</v>
      </c>
      <c r="IA64" s="11">
        <f t="shared" si="256"/>
        <v>40</v>
      </c>
      <c r="IC64" s="13"/>
      <c r="ID64" s="13"/>
      <c r="IM64" s="40">
        <v>200</v>
      </c>
      <c r="IN64" s="39">
        <f t="shared" si="258"/>
        <v>304737000</v>
      </c>
      <c r="IO64" s="40">
        <v>350</v>
      </c>
      <c r="IP64" s="39">
        <f t="shared" si="259"/>
        <v>-338013000</v>
      </c>
      <c r="IR64" s="13"/>
      <c r="IS64" s="13"/>
      <c r="IT64" s="40">
        <v>200</v>
      </c>
      <c r="IU64" s="39">
        <f t="shared" si="260"/>
        <v>199073000</v>
      </c>
      <c r="IV64" s="40">
        <v>350</v>
      </c>
      <c r="IW64" s="39">
        <f t="shared" si="261"/>
        <v>257558000.00000006</v>
      </c>
      <c r="IY64" s="13"/>
      <c r="IZ64" s="13"/>
      <c r="JI64" s="40">
        <v>200</v>
      </c>
      <c r="JJ64" s="39">
        <f t="shared" si="262"/>
        <v>304737000</v>
      </c>
      <c r="JK64" s="40">
        <v>350</v>
      </c>
      <c r="JL64" s="39">
        <f t="shared" si="263"/>
        <v>-338013000</v>
      </c>
      <c r="JN64" s="13"/>
      <c r="JO64" s="13"/>
      <c r="JU64" s="13"/>
      <c r="JV64" s="13"/>
      <c r="NG64" s="12" t="str">
        <f t="shared" si="229"/>
        <v>FY18</v>
      </c>
      <c r="NH64" s="12">
        <f t="shared" si="230"/>
        <v>42957</v>
      </c>
      <c r="NI64" s="11">
        <f t="shared" si="231"/>
        <v>13.75286</v>
      </c>
      <c r="NJ64" s="11">
        <f t="shared" si="232"/>
        <v>3</v>
      </c>
      <c r="NL64" s="13"/>
      <c r="NV64" s="12" t="str">
        <f t="shared" si="233"/>
        <v>FY19</v>
      </c>
      <c r="NW64" s="12">
        <f t="shared" si="234"/>
        <v>43328</v>
      </c>
      <c r="NX64" s="11">
        <f t="shared" si="235"/>
        <v>168.61891199999999</v>
      </c>
      <c r="NY64" s="11">
        <f t="shared" si="236"/>
        <v>100</v>
      </c>
      <c r="OA64" s="13"/>
      <c r="OB64" s="1"/>
    </row>
    <row r="65" spans="6:392" x14ac:dyDescent="0.2">
      <c r="F65" s="5"/>
      <c r="G65" s="5"/>
      <c r="H65" s="5"/>
      <c r="I65" s="5"/>
      <c r="M65" s="5" t="str" cm="1">
        <f t="array" ref="M65">LOOKUP(2,1/($G$19:$G$35&lt;=$V65)/($H$19:$H$35&gt;=$V65),$F$19:$F$35)</f>
        <v>2H18</v>
      </c>
      <c r="N65" s="5" t="str" cm="1">
        <f t="array" ref="N65">LOOKUP(2,1/($G$8:$G$16&lt;=$V65)/($H$8:$H$16&gt;=$V65),$F$8:$F$16)</f>
        <v>FY18</v>
      </c>
      <c r="O65" s="5" t="str">
        <f>IFERROR(N65&amp;"-"&amp;COUNTIF($N$5:N65,N65),NA())</f>
        <v>FY18-35</v>
      </c>
      <c r="P65" s="5">
        <f>COUNTIF(V$5:V65,"&gt;="&amp;MAX($V:$V)-183)</f>
        <v>0</v>
      </c>
      <c r="Q65" s="5">
        <f>COUNTIF(V$5:V65,"&gt;="&amp;MAX($V:$V)-365)</f>
        <v>0</v>
      </c>
      <c r="R65" s="5" cm="1">
        <f t="array" ref="R65">LOOKUP(2,1/($G$46:$G$50&lt;=$V65)/($H$46:$H$50&gt;=$V65),$F$46:$F$50)</f>
        <v>0</v>
      </c>
      <c r="S65" s="5" cm="1">
        <f t="array" ref="S65">LOOKUP(2,1/($G$53:$G$56&lt;=$V65)/($H$53:$H$56&gt;=$V65),$F$53:$F$56)</f>
        <v>0</v>
      </c>
      <c r="T65" s="5" t="e">
        <f>IFERROR(IF($R65&gt;0,$R65&amp;"-"&amp;COUNTIF($R$5:$R65,$R65),NA()),NA())</f>
        <v>#N/A</v>
      </c>
      <c r="U65" s="5" t="e">
        <f>IFERROR(IF($S65&gt;0,$S65&amp;"-"&amp;COUNTIF($S$5:$S65,$S65),NA()),NA())</f>
        <v>#N/A</v>
      </c>
      <c r="V65" s="10">
        <v>43160</v>
      </c>
      <c r="W65" s="9">
        <v>21685931.050543383</v>
      </c>
      <c r="X65" s="9">
        <v>20147314.242507327</v>
      </c>
      <c r="Y65" s="8">
        <v>10000000</v>
      </c>
      <c r="AI65" s="18">
        <f t="shared" si="184"/>
        <v>19</v>
      </c>
      <c r="AJ65" s="12">
        <f t="shared" si="185"/>
        <v>45414</v>
      </c>
      <c r="AK65" s="11">
        <f t="shared" si="186"/>
        <v>54.983203443391083</v>
      </c>
      <c r="AL65" s="11">
        <f t="shared" si="187"/>
        <v>40</v>
      </c>
      <c r="AN65" s="13"/>
      <c r="AO65" s="13"/>
      <c r="AP65" s="18">
        <f t="shared" si="237"/>
        <v>17</v>
      </c>
      <c r="AQ65" s="12">
        <f t="shared" si="238"/>
        <v>45400</v>
      </c>
      <c r="AR65" s="11">
        <f t="shared" si="239"/>
        <v>30.895473575242455</v>
      </c>
      <c r="AS65" s="11">
        <f t="shared" si="240"/>
        <v>12</v>
      </c>
      <c r="AU65" s="13"/>
      <c r="BI65" s="18">
        <f t="shared" si="188"/>
        <v>19</v>
      </c>
      <c r="BJ65" s="12">
        <f t="shared" si="189"/>
        <v>45232</v>
      </c>
      <c r="BK65" s="11">
        <f t="shared" si="190"/>
        <v>58.296434782608699</v>
      </c>
      <c r="BL65" s="11">
        <f t="shared" si="191"/>
        <v>40</v>
      </c>
      <c r="BN65" s="13"/>
      <c r="BO65" s="13"/>
      <c r="BP65" s="111">
        <v>100</v>
      </c>
      <c r="BQ65" s="39">
        <f t="shared" si="257"/>
        <v>125186000</v>
      </c>
      <c r="BR65" s="120">
        <f t="shared" si="264"/>
        <v>125.18600000000001</v>
      </c>
      <c r="BS65" s="39"/>
      <c r="BU65" s="13"/>
      <c r="CE65" s="18" t="e">
        <f t="shared" si="193"/>
        <v>#N/A</v>
      </c>
      <c r="CF65" s="12" t="e">
        <f t="shared" si="194"/>
        <v>#N/A</v>
      </c>
      <c r="CG65" s="11" t="e">
        <f t="shared" si="195"/>
        <v>#N/A</v>
      </c>
      <c r="CH65" s="11" t="e">
        <f t="shared" si="196"/>
        <v>#N/A</v>
      </c>
      <c r="CK65" s="13"/>
      <c r="CL65" s="29" t="s">
        <v>17</v>
      </c>
      <c r="CM65" s="28"/>
      <c r="CN65" s="28"/>
      <c r="CO65" s="27"/>
      <c r="CT65" s="18" t="e">
        <f t="shared" si="197"/>
        <v>#N/A</v>
      </c>
      <c r="CU65" s="12" t="e">
        <f t="shared" si="198"/>
        <v>#N/A</v>
      </c>
      <c r="CV65" s="11" t="e">
        <f t="shared" si="199"/>
        <v>#N/A</v>
      </c>
      <c r="CW65" s="11" t="e">
        <f t="shared" si="200"/>
        <v>#N/A</v>
      </c>
      <c r="CY65" s="13"/>
      <c r="DI65" s="18" t="e">
        <f t="shared" si="201"/>
        <v>#N/A</v>
      </c>
      <c r="DJ65" s="12" t="e">
        <f t="shared" si="202"/>
        <v>#N/A</v>
      </c>
      <c r="DK65" s="11" t="e">
        <f t="shared" si="203"/>
        <v>#N/A</v>
      </c>
      <c r="DL65" s="11" t="e">
        <f t="shared" si="204"/>
        <v>#N/A</v>
      </c>
      <c r="DN65" s="13" t="s">
        <v>29</v>
      </c>
      <c r="DO65" s="13"/>
      <c r="DX65" s="18" t="e">
        <f t="shared" si="205"/>
        <v>#N/A</v>
      </c>
      <c r="DY65" s="12" t="e">
        <f t="shared" si="206"/>
        <v>#N/A</v>
      </c>
      <c r="DZ65" s="11" t="e">
        <f t="shared" si="207"/>
        <v>#N/A</v>
      </c>
      <c r="EA65" s="11" t="e">
        <f t="shared" si="208"/>
        <v>#N/A</v>
      </c>
      <c r="EC65" s="13"/>
      <c r="ED65" s="13"/>
      <c r="EE65" s="12" t="e">
        <f t="shared" si="241"/>
        <v>#N/A</v>
      </c>
      <c r="EF65" s="12" t="e">
        <f t="shared" si="242"/>
        <v>#N/A</v>
      </c>
      <c r="EG65" s="11" t="e">
        <f t="shared" si="243"/>
        <v>#N/A</v>
      </c>
      <c r="EH65" s="11" t="e">
        <f t="shared" si="244"/>
        <v>#N/A</v>
      </c>
      <c r="EJ65" s="13"/>
      <c r="EK65" s="13"/>
      <c r="ER65" s="1">
        <v>150</v>
      </c>
      <c r="ET65" s="12" t="str">
        <f t="shared" si="209"/>
        <v>FY18-19</v>
      </c>
      <c r="EU65" s="12">
        <f t="shared" si="210"/>
        <v>43048</v>
      </c>
      <c r="EV65" s="11">
        <f t="shared" si="211"/>
        <v>13.07953752975677</v>
      </c>
      <c r="EW65" s="11">
        <f t="shared" si="212"/>
        <v>3</v>
      </c>
      <c r="EX65" s="13"/>
      <c r="EY65" s="13"/>
      <c r="EZ65" s="13"/>
      <c r="FI65" s="12" t="str">
        <f t="shared" si="213"/>
        <v>FY19</v>
      </c>
      <c r="FJ65" s="12">
        <f t="shared" si="214"/>
        <v>43412</v>
      </c>
      <c r="FK65" s="11">
        <f t="shared" si="215"/>
        <v>70.047528035600749</v>
      </c>
      <c r="FL65" s="11">
        <f t="shared" si="216"/>
        <v>60</v>
      </c>
      <c r="FN65" s="13"/>
      <c r="FO65" s="13"/>
      <c r="FP65" s="12" t="str">
        <f t="shared" si="245"/>
        <v>FY19</v>
      </c>
      <c r="FQ65" s="12">
        <f t="shared" si="246"/>
        <v>43398</v>
      </c>
      <c r="FR65" s="11">
        <f t="shared" si="247"/>
        <v>34.304900190718364</v>
      </c>
      <c r="FS65" s="11">
        <f t="shared" si="248"/>
        <v>30</v>
      </c>
      <c r="FU65" s="13"/>
      <c r="FV65" s="13"/>
      <c r="FX65" s="16"/>
      <c r="FY65" s="15"/>
      <c r="GF65" s="12" t="str">
        <f t="shared" si="217"/>
        <v>FY20</v>
      </c>
      <c r="GG65" s="12">
        <f t="shared" si="218"/>
        <v>43776</v>
      </c>
      <c r="GH65" s="11">
        <f t="shared" si="219"/>
        <v>30.483818305588219</v>
      </c>
      <c r="GI65" s="11">
        <f t="shared" si="220"/>
        <v>20</v>
      </c>
      <c r="GK65" s="13"/>
      <c r="GL65" s="13"/>
      <c r="GM65" s="12" t="str">
        <f t="shared" si="249"/>
        <v>FY20</v>
      </c>
      <c r="GN65" s="12">
        <f t="shared" si="250"/>
        <v>43762</v>
      </c>
      <c r="GO65" s="11">
        <f t="shared" si="251"/>
        <v>19.900891144253976</v>
      </c>
      <c r="GP65" s="11">
        <f t="shared" si="252"/>
        <v>8</v>
      </c>
      <c r="GR65" s="13"/>
      <c r="GS65" s="13"/>
      <c r="GU65" s="16"/>
      <c r="GV65" s="14"/>
      <c r="GW65" s="15"/>
      <c r="HB65" s="12" t="str">
        <f t="shared" si="221"/>
        <v>FY21</v>
      </c>
      <c r="HC65" s="12">
        <f t="shared" si="222"/>
        <v>44140</v>
      </c>
      <c r="HD65" s="11">
        <f t="shared" si="223"/>
        <v>39.323627363940403</v>
      </c>
      <c r="HE65" s="11">
        <f t="shared" si="224"/>
        <v>20</v>
      </c>
      <c r="HG65" s="13"/>
      <c r="HH65" s="13"/>
      <c r="HJ65" s="16"/>
      <c r="HK65" s="15"/>
      <c r="HL65" s="14"/>
      <c r="HQ65" s="12" t="str">
        <f t="shared" si="225"/>
        <v>FY22</v>
      </c>
      <c r="HR65" s="12">
        <f t="shared" si="226"/>
        <v>44504</v>
      </c>
      <c r="HS65" s="11">
        <f t="shared" si="227"/>
        <v>25.128435147461236</v>
      </c>
      <c r="HT65" s="11">
        <f t="shared" si="228"/>
        <v>8</v>
      </c>
      <c r="HV65" s="13"/>
      <c r="HW65" s="13"/>
      <c r="HX65" s="12" t="str">
        <f t="shared" si="253"/>
        <v>FY22</v>
      </c>
      <c r="HY65" s="12">
        <f t="shared" si="254"/>
        <v>44490</v>
      </c>
      <c r="HZ65" s="11">
        <f t="shared" si="255"/>
        <v>83.423387290969913</v>
      </c>
      <c r="IA65" s="11">
        <f t="shared" si="256"/>
        <v>60</v>
      </c>
      <c r="IC65" s="13"/>
      <c r="ID65" s="13"/>
      <c r="IM65" s="40"/>
      <c r="IN65" s="39"/>
      <c r="IO65" s="40"/>
      <c r="IP65" s="39"/>
      <c r="IR65" s="13"/>
      <c r="IS65" s="13"/>
      <c r="IT65" s="40"/>
      <c r="IU65" s="39"/>
      <c r="IV65" s="40"/>
      <c r="IW65" s="39"/>
      <c r="IY65" s="13"/>
      <c r="IZ65" s="13"/>
      <c r="JI65" s="40"/>
      <c r="JJ65" s="39"/>
      <c r="JK65" s="40"/>
      <c r="JL65" s="39"/>
      <c r="JN65" s="13"/>
      <c r="JO65" s="13"/>
      <c r="JP65" s="2" t="s">
        <v>41</v>
      </c>
      <c r="JQ65" s="2" t="s">
        <v>25</v>
      </c>
      <c r="JU65" s="13"/>
      <c r="JV65" s="13"/>
      <c r="NG65" s="12" t="str">
        <f t="shared" si="229"/>
        <v>FY18</v>
      </c>
      <c r="NH65" s="12">
        <f t="shared" si="230"/>
        <v>42964</v>
      </c>
      <c r="NI65" s="11">
        <f t="shared" si="231"/>
        <v>13.145</v>
      </c>
      <c r="NJ65" s="11">
        <f t="shared" si="232"/>
        <v>3</v>
      </c>
      <c r="NL65" s="13"/>
      <c r="NV65" s="12" t="str">
        <f t="shared" si="233"/>
        <v>FY19</v>
      </c>
      <c r="NW65" s="12">
        <f t="shared" si="234"/>
        <v>43335</v>
      </c>
      <c r="NX65" s="11">
        <f t="shared" si="235"/>
        <v>14.740043999999999</v>
      </c>
      <c r="NY65" s="11">
        <f t="shared" si="236"/>
        <v>3</v>
      </c>
      <c r="OA65" s="13"/>
      <c r="OB65" s="1"/>
    </row>
    <row r="66" spans="6:392" x14ac:dyDescent="0.2">
      <c r="F66" s="5"/>
      <c r="G66" s="5"/>
      <c r="H66" s="5"/>
      <c r="I66" s="5"/>
      <c r="M66" s="5" t="str" cm="1">
        <f t="array" ref="M66">LOOKUP(2,1/($G$19:$G$35&lt;=$V66)/($H$19:$H$35&gt;=$V66),$F$19:$F$35)</f>
        <v>2H18</v>
      </c>
      <c r="N66" s="5" t="str" cm="1">
        <f t="array" ref="N66">LOOKUP(2,1/($G$8:$G$16&lt;=$V66)/($H$8:$H$16&gt;=$V66),$F$8:$F$16)</f>
        <v>FY18</v>
      </c>
      <c r="O66" s="5" t="str">
        <f>IFERROR(N66&amp;"-"&amp;COUNTIF($N$5:N66,N66),NA())</f>
        <v>FY18-36</v>
      </c>
      <c r="P66" s="5">
        <f>COUNTIF(V$5:V66,"&gt;="&amp;MAX($V:$V)-183)</f>
        <v>0</v>
      </c>
      <c r="Q66" s="5">
        <f>COUNTIF(V$5:V66,"&gt;="&amp;MAX($V:$V)-365)</f>
        <v>0</v>
      </c>
      <c r="R66" s="5" cm="1">
        <f t="array" ref="R66">LOOKUP(2,1/($G$46:$G$50&lt;=$V66)/($H$46:$H$50&gt;=$V66),$F$46:$F$50)</f>
        <v>0</v>
      </c>
      <c r="S66" s="5" cm="1">
        <f t="array" ref="S66">LOOKUP(2,1/($G$53:$G$56&lt;=$V66)/($H$53:$H$56&gt;=$V66),$F$53:$F$56)</f>
        <v>0</v>
      </c>
      <c r="T66" s="5" t="e">
        <f>IFERROR(IF($R66&gt;0,$R66&amp;"-"&amp;COUNTIF($R$5:$R66,$R66),NA()),NA())</f>
        <v>#N/A</v>
      </c>
      <c r="U66" s="5" t="e">
        <f>IFERROR(IF($S66&gt;0,$S66&amp;"-"&amp;COUNTIF($S$5:$S66,$S66),NA()),NA())</f>
        <v>#N/A</v>
      </c>
      <c r="V66" s="10">
        <v>43167</v>
      </c>
      <c r="W66" s="9">
        <v>27412380.840089697</v>
      </c>
      <c r="X66" s="9">
        <v>25467472.419485331</v>
      </c>
      <c r="Y66" s="8">
        <v>15000000</v>
      </c>
      <c r="AI66" s="18">
        <f t="shared" si="184"/>
        <v>20</v>
      </c>
      <c r="AJ66" s="12">
        <f t="shared" si="185"/>
        <v>45421</v>
      </c>
      <c r="AK66" s="11">
        <f t="shared" si="186"/>
        <v>77.952955649994564</v>
      </c>
      <c r="AL66" s="11">
        <f t="shared" si="187"/>
        <v>60</v>
      </c>
      <c r="AN66" s="13"/>
      <c r="AO66" s="13"/>
      <c r="AP66" s="18">
        <f t="shared" si="237"/>
        <v>18</v>
      </c>
      <c r="AQ66" s="12">
        <f t="shared" si="238"/>
        <v>45407</v>
      </c>
      <c r="AR66" s="11">
        <f t="shared" si="239"/>
        <v>37.208673640623303</v>
      </c>
      <c r="AS66" s="11">
        <f t="shared" si="240"/>
        <v>20</v>
      </c>
      <c r="AU66" s="13"/>
      <c r="BI66" s="18">
        <f t="shared" si="188"/>
        <v>20</v>
      </c>
      <c r="BJ66" s="12">
        <f t="shared" si="189"/>
        <v>45239</v>
      </c>
      <c r="BK66" s="11">
        <f t="shared" si="190"/>
        <v>24.487517271439469</v>
      </c>
      <c r="BL66" s="11">
        <f t="shared" si="191"/>
        <v>8</v>
      </c>
      <c r="BN66" s="13"/>
      <c r="BO66" s="13"/>
      <c r="BP66" s="111">
        <v>120</v>
      </c>
      <c r="BQ66" s="39">
        <f t="shared" si="257"/>
        <v>146910000</v>
      </c>
      <c r="BR66" s="120">
        <f t="shared" si="264"/>
        <v>146.91</v>
      </c>
      <c r="BS66" s="39"/>
      <c r="BU66" s="13"/>
      <c r="CE66" s="18" t="e">
        <f t="shared" si="193"/>
        <v>#N/A</v>
      </c>
      <c r="CF66" s="12" t="e">
        <f t="shared" si="194"/>
        <v>#N/A</v>
      </c>
      <c r="CG66" s="11" t="e">
        <f t="shared" si="195"/>
        <v>#N/A</v>
      </c>
      <c r="CH66" s="11" t="e">
        <f t="shared" si="196"/>
        <v>#N/A</v>
      </c>
      <c r="CK66" s="13"/>
      <c r="CL66" s="26"/>
      <c r="CM66" s="25" t="s">
        <v>16</v>
      </c>
      <c r="CN66" s="25" t="s">
        <v>15</v>
      </c>
      <c r="CO66" s="24" t="s">
        <v>14</v>
      </c>
      <c r="CT66" s="18" t="e">
        <f t="shared" si="197"/>
        <v>#N/A</v>
      </c>
      <c r="CU66" s="12" t="e">
        <f t="shared" si="198"/>
        <v>#N/A</v>
      </c>
      <c r="CV66" s="11" t="e">
        <f t="shared" si="199"/>
        <v>#N/A</v>
      </c>
      <c r="CW66" s="11" t="e">
        <f t="shared" si="200"/>
        <v>#N/A</v>
      </c>
      <c r="CY66" s="13"/>
      <c r="DI66" s="18" t="e">
        <f t="shared" si="201"/>
        <v>#N/A</v>
      </c>
      <c r="DJ66" s="12" t="e">
        <f t="shared" si="202"/>
        <v>#N/A</v>
      </c>
      <c r="DK66" s="11" t="e">
        <f t="shared" si="203"/>
        <v>#N/A</v>
      </c>
      <c r="DL66" s="11" t="e">
        <f t="shared" si="204"/>
        <v>#N/A</v>
      </c>
      <c r="DN66" s="14">
        <v>140</v>
      </c>
      <c r="DO66" s="13"/>
      <c r="DX66" s="18" t="e">
        <f t="shared" si="205"/>
        <v>#N/A</v>
      </c>
      <c r="DY66" s="12" t="e">
        <f t="shared" si="206"/>
        <v>#N/A</v>
      </c>
      <c r="DZ66" s="11" t="e">
        <f t="shared" si="207"/>
        <v>#N/A</v>
      </c>
      <c r="EA66" s="11" t="e">
        <f t="shared" si="208"/>
        <v>#N/A</v>
      </c>
      <c r="EC66" s="13"/>
      <c r="ED66" s="13"/>
      <c r="EE66" s="12" t="e">
        <f t="shared" si="241"/>
        <v>#N/A</v>
      </c>
      <c r="EF66" s="12" t="e">
        <f t="shared" si="242"/>
        <v>#N/A</v>
      </c>
      <c r="EG66" s="11" t="e">
        <f t="shared" si="243"/>
        <v>#N/A</v>
      </c>
      <c r="EH66" s="11" t="e">
        <f t="shared" si="244"/>
        <v>#N/A</v>
      </c>
      <c r="EJ66" s="13"/>
      <c r="EK66" s="13"/>
      <c r="ET66" s="12" t="str">
        <f t="shared" si="209"/>
        <v>FY18-20</v>
      </c>
      <c r="EU66" s="12">
        <f t="shared" si="210"/>
        <v>43055</v>
      </c>
      <c r="EV66" s="11">
        <f t="shared" si="211"/>
        <v>17.451375321718132</v>
      </c>
      <c r="EW66" s="11">
        <f t="shared" si="212"/>
        <v>6</v>
      </c>
      <c r="EX66" s="13"/>
      <c r="EY66" s="13"/>
      <c r="EZ66" s="13"/>
      <c r="FI66" s="12" t="str">
        <f t="shared" si="213"/>
        <v>FY19</v>
      </c>
      <c r="FJ66" s="12">
        <f t="shared" si="214"/>
        <v>43419</v>
      </c>
      <c r="FK66" s="11">
        <f t="shared" si="215"/>
        <v>13.689841958041953</v>
      </c>
      <c r="FL66" s="11">
        <f t="shared" si="216"/>
        <v>3</v>
      </c>
      <c r="FN66" s="13"/>
      <c r="FO66" s="13"/>
      <c r="FP66" s="12" t="str">
        <f t="shared" si="245"/>
        <v>FY19</v>
      </c>
      <c r="FQ66" s="12">
        <f t="shared" si="246"/>
        <v>43405</v>
      </c>
      <c r="FR66" s="11">
        <f t="shared" si="247"/>
        <v>42.745877177368079</v>
      </c>
      <c r="FS66" s="11">
        <f t="shared" si="248"/>
        <v>40</v>
      </c>
      <c r="FU66" s="13"/>
      <c r="FV66" s="13"/>
      <c r="FX66" s="16"/>
      <c r="FY66" s="15"/>
      <c r="GF66" s="12" t="str">
        <f t="shared" si="217"/>
        <v>FY20</v>
      </c>
      <c r="GG66" s="12">
        <f t="shared" si="218"/>
        <v>43783</v>
      </c>
      <c r="GH66" s="11">
        <f t="shared" si="219"/>
        <v>40.529243888854509</v>
      </c>
      <c r="GI66" s="11">
        <f t="shared" si="220"/>
        <v>30</v>
      </c>
      <c r="GK66" s="13"/>
      <c r="GL66" s="13"/>
      <c r="GM66" s="12" t="str">
        <f t="shared" si="249"/>
        <v>FY20</v>
      </c>
      <c r="GN66" s="12">
        <f t="shared" si="250"/>
        <v>43769</v>
      </c>
      <c r="GO66" s="11">
        <f t="shared" si="251"/>
        <v>22.777251067516556</v>
      </c>
      <c r="GP66" s="11">
        <f t="shared" si="252"/>
        <v>12</v>
      </c>
      <c r="GR66" s="13"/>
      <c r="GS66" s="13"/>
      <c r="GU66" s="16"/>
      <c r="GV66" s="14"/>
      <c r="GW66" s="15"/>
      <c r="HB66" s="12" t="str">
        <f t="shared" si="221"/>
        <v>FY21</v>
      </c>
      <c r="HC66" s="12">
        <f t="shared" si="222"/>
        <v>44147</v>
      </c>
      <c r="HD66" s="11">
        <f t="shared" si="223"/>
        <v>17.49003441775616</v>
      </c>
      <c r="HE66" s="11">
        <f t="shared" si="224"/>
        <v>3</v>
      </c>
      <c r="HG66" s="13"/>
      <c r="HH66" s="13"/>
      <c r="HJ66" s="16"/>
      <c r="HK66" s="15"/>
      <c r="HL66" s="14"/>
      <c r="HQ66" s="12" t="str">
        <f t="shared" si="225"/>
        <v>FY22</v>
      </c>
      <c r="HR66" s="12">
        <f t="shared" si="226"/>
        <v>44511</v>
      </c>
      <c r="HS66" s="11">
        <f t="shared" si="227"/>
        <v>41.533547217999399</v>
      </c>
      <c r="HT66" s="11">
        <f t="shared" si="228"/>
        <v>20</v>
      </c>
      <c r="HV66" s="13"/>
      <c r="HW66" s="13"/>
      <c r="HX66" s="12" t="str">
        <f t="shared" si="253"/>
        <v>FY22</v>
      </c>
      <c r="HY66" s="12">
        <f t="shared" si="254"/>
        <v>44497</v>
      </c>
      <c r="HZ66" s="11">
        <f t="shared" si="255"/>
        <v>18.862208574034657</v>
      </c>
      <c r="IA66" s="11">
        <f t="shared" si="256"/>
        <v>3</v>
      </c>
      <c r="IC66" s="13"/>
      <c r="ID66" s="13"/>
      <c r="IM66" s="38" t="s">
        <v>27</v>
      </c>
      <c r="IN66" s="38" t="s">
        <v>26</v>
      </c>
      <c r="IO66" s="38" t="s">
        <v>25</v>
      </c>
      <c r="IP66" s="38" t="s">
        <v>24</v>
      </c>
      <c r="IR66" s="13"/>
      <c r="IS66" s="13"/>
      <c r="IT66" s="60" t="s">
        <v>51</v>
      </c>
      <c r="IU66" s="39"/>
      <c r="IV66" s="40"/>
      <c r="IW66" s="39"/>
      <c r="IY66" s="13"/>
      <c r="IZ66" s="13"/>
      <c r="JI66" s="38" t="s">
        <v>27</v>
      </c>
      <c r="JJ66" s="38" t="s">
        <v>26</v>
      </c>
      <c r="JK66" s="38" t="s">
        <v>25</v>
      </c>
      <c r="JL66" s="38" t="s">
        <v>24</v>
      </c>
      <c r="JN66" s="13"/>
      <c r="JO66" s="13"/>
      <c r="JP66" s="40">
        <v>60</v>
      </c>
      <c r="JQ66" s="39">
        <f t="shared" ref="JQ66:JQ80" si="269">($IM$47*JP66^3+$IN$47*JP66^2+$IO$47*JP66+$IP$47)*1000000</f>
        <v>96696999.999999985</v>
      </c>
      <c r="JR66" s="40">
        <v>210</v>
      </c>
      <c r="JS66" s="39">
        <f t="shared" ref="JS66:JS80" si="270">($IM$47*JR66^3+$IN$47*JR66^2+$IO$47*JR66+$IP$47)*1000000</f>
        <v>302347000.00000012</v>
      </c>
      <c r="JU66" s="13"/>
      <c r="JV66" s="13"/>
      <c r="NG66" s="12" t="str">
        <f t="shared" si="229"/>
        <v>FY18</v>
      </c>
      <c r="NH66" s="12">
        <f t="shared" si="230"/>
        <v>42971</v>
      </c>
      <c r="NI66" s="11">
        <f t="shared" si="231"/>
        <v>16.1205</v>
      </c>
      <c r="NJ66" s="11">
        <f t="shared" si="232"/>
        <v>6</v>
      </c>
      <c r="NL66" s="13"/>
      <c r="NV66" s="12" t="str">
        <f t="shared" si="233"/>
        <v>FY19</v>
      </c>
      <c r="NW66" s="12">
        <f t="shared" si="234"/>
        <v>43342</v>
      </c>
      <c r="NX66" s="11">
        <f t="shared" si="235"/>
        <v>17.328102000000001</v>
      </c>
      <c r="NY66" s="11">
        <f t="shared" si="236"/>
        <v>8</v>
      </c>
      <c r="OA66" s="13"/>
      <c r="OB66" s="1"/>
    </row>
    <row r="67" spans="6:392" x14ac:dyDescent="0.2">
      <c r="F67" s="5"/>
      <c r="G67" s="5"/>
      <c r="H67" s="5"/>
      <c r="I67" s="5"/>
      <c r="M67" s="5" t="str" cm="1">
        <f t="array" ref="M67">LOOKUP(2,1/($G$19:$G$35&lt;=$V67)/($H$19:$H$35&gt;=$V67),$F$19:$F$35)</f>
        <v>2H18</v>
      </c>
      <c r="N67" s="5" t="str" cm="1">
        <f t="array" ref="N67">LOOKUP(2,1/($G$8:$G$16&lt;=$V67)/($H$8:$H$16&gt;=$V67),$F$8:$F$16)</f>
        <v>FY18</v>
      </c>
      <c r="O67" s="5" t="str">
        <f>IFERROR(N67&amp;"-"&amp;COUNTIF($N$5:N67,N67),NA())</f>
        <v>FY18-37</v>
      </c>
      <c r="P67" s="5">
        <f>COUNTIF(V$5:V67,"&gt;="&amp;MAX($V:$V)-183)</f>
        <v>0</v>
      </c>
      <c r="Q67" s="5">
        <f>COUNTIF(V$5:V67,"&gt;="&amp;MAX($V:$V)-365)</f>
        <v>0</v>
      </c>
      <c r="R67" s="5" cm="1">
        <f t="array" ref="R67">LOOKUP(2,1/($G$46:$G$50&lt;=$V67)/($H$46:$H$50&gt;=$V67),$F$46:$F$50)</f>
        <v>0</v>
      </c>
      <c r="S67" s="5" cm="1">
        <f t="array" ref="S67">LOOKUP(2,1/($G$53:$G$56&lt;=$V67)/($H$53:$H$56&gt;=$V67),$F$53:$F$56)</f>
        <v>0</v>
      </c>
      <c r="T67" s="5" t="e">
        <f>IFERROR(IF($R67&gt;0,$R67&amp;"-"&amp;COUNTIF($R$5:$R67,$R67),NA()),NA())</f>
        <v>#N/A</v>
      </c>
      <c r="U67" s="5" t="e">
        <f>IFERROR(IF($S67&gt;0,$S67&amp;"-"&amp;COUNTIF($S$5:$S67,$S67),NA()),NA())</f>
        <v>#N/A</v>
      </c>
      <c r="V67" s="10">
        <v>43174</v>
      </c>
      <c r="W67" s="9">
        <v>42040755.794376396</v>
      </c>
      <c r="X67" s="9">
        <v>39057964.170765385</v>
      </c>
      <c r="Y67" s="8">
        <v>30000000</v>
      </c>
      <c r="AI67" s="18">
        <f t="shared" si="184"/>
        <v>21</v>
      </c>
      <c r="AJ67" s="12">
        <f t="shared" si="185"/>
        <v>45428</v>
      </c>
      <c r="AK67" s="11">
        <f t="shared" si="186"/>
        <v>140.29007573281032</v>
      </c>
      <c r="AL67" s="11">
        <f t="shared" si="187"/>
        <v>100</v>
      </c>
      <c r="AN67" s="13"/>
      <c r="AO67" s="13"/>
      <c r="AP67" s="18">
        <f t="shared" si="237"/>
        <v>19</v>
      </c>
      <c r="AQ67" s="12">
        <f t="shared" si="238"/>
        <v>45414</v>
      </c>
      <c r="AR67" s="11">
        <f t="shared" si="239"/>
        <v>54.983203443391083</v>
      </c>
      <c r="AS67" s="11">
        <f t="shared" si="240"/>
        <v>40</v>
      </c>
      <c r="AU67" s="13"/>
      <c r="BI67" s="18">
        <f t="shared" si="188"/>
        <v>21</v>
      </c>
      <c r="BJ67" s="12">
        <f t="shared" si="189"/>
        <v>45246</v>
      </c>
      <c r="BK67" s="11">
        <f t="shared" si="190"/>
        <v>25.126546256946718</v>
      </c>
      <c r="BL67" s="11">
        <f t="shared" si="191"/>
        <v>8</v>
      </c>
      <c r="BN67" s="13"/>
      <c r="BO67" s="13"/>
      <c r="BP67" s="111">
        <v>150</v>
      </c>
      <c r="BQ67" s="39">
        <f t="shared" si="257"/>
        <v>179496000</v>
      </c>
      <c r="BR67" s="120">
        <f t="shared" si="264"/>
        <v>179.49600000000001</v>
      </c>
      <c r="BS67" s="39"/>
      <c r="BU67" s="13"/>
      <c r="CE67" s="18" t="e">
        <f t="shared" si="193"/>
        <v>#N/A</v>
      </c>
      <c r="CF67" s="12" t="e">
        <f t="shared" si="194"/>
        <v>#N/A</v>
      </c>
      <c r="CG67" s="11" t="e">
        <f t="shared" si="195"/>
        <v>#N/A</v>
      </c>
      <c r="CH67" s="11" t="e">
        <f t="shared" si="196"/>
        <v>#N/A</v>
      </c>
      <c r="CK67" s="13"/>
      <c r="CL67" s="23" t="s">
        <v>13</v>
      </c>
      <c r="CM67" s="2">
        <v>122</v>
      </c>
      <c r="CN67" s="2">
        <v>223</v>
      </c>
      <c r="CO67" s="41">
        <f>CN67/CM67-1</f>
        <v>0.82786885245901631</v>
      </c>
      <c r="CT67" s="18" t="e">
        <f t="shared" si="197"/>
        <v>#N/A</v>
      </c>
      <c r="CU67" s="12" t="e">
        <f t="shared" si="198"/>
        <v>#N/A</v>
      </c>
      <c r="CV67" s="11" t="e">
        <f t="shared" si="199"/>
        <v>#N/A</v>
      </c>
      <c r="CW67" s="11" t="e">
        <f t="shared" si="200"/>
        <v>#N/A</v>
      </c>
      <c r="CY67" s="13"/>
      <c r="DI67" s="18" t="e">
        <f t="shared" si="201"/>
        <v>#N/A</v>
      </c>
      <c r="DJ67" s="12" t="e">
        <f t="shared" si="202"/>
        <v>#N/A</v>
      </c>
      <c r="DK67" s="11" t="e">
        <f t="shared" si="203"/>
        <v>#N/A</v>
      </c>
      <c r="DL67" s="11" t="e">
        <f t="shared" si="204"/>
        <v>#N/A</v>
      </c>
      <c r="DN67" s="13"/>
      <c r="DO67" s="13"/>
      <c r="DX67" s="18" t="e">
        <f t="shared" si="205"/>
        <v>#N/A</v>
      </c>
      <c r="DY67" s="12" t="e">
        <f t="shared" si="206"/>
        <v>#N/A</v>
      </c>
      <c r="DZ67" s="11" t="e">
        <f t="shared" si="207"/>
        <v>#N/A</v>
      </c>
      <c r="EA67" s="11" t="e">
        <f t="shared" si="208"/>
        <v>#N/A</v>
      </c>
      <c r="EC67" s="13"/>
      <c r="ED67" s="13"/>
      <c r="EE67" s="12" t="e">
        <f t="shared" si="241"/>
        <v>#N/A</v>
      </c>
      <c r="EF67" s="12" t="e">
        <f t="shared" si="242"/>
        <v>#N/A</v>
      </c>
      <c r="EG67" s="11" t="e">
        <f t="shared" si="243"/>
        <v>#N/A</v>
      </c>
      <c r="EH67" s="11" t="e">
        <f t="shared" si="244"/>
        <v>#N/A</v>
      </c>
      <c r="EJ67" s="13"/>
      <c r="EK67" s="13"/>
      <c r="ET67" s="12" t="str">
        <f t="shared" si="209"/>
        <v>FY18-21</v>
      </c>
      <c r="EU67" s="12">
        <f t="shared" si="210"/>
        <v>43062</v>
      </c>
      <c r="EV67" s="11">
        <f t="shared" si="211"/>
        <v>25.218185292392615</v>
      </c>
      <c r="EW67" s="11">
        <f t="shared" si="212"/>
        <v>10</v>
      </c>
      <c r="EX67" s="13"/>
      <c r="EY67" s="13"/>
      <c r="EZ67" s="13"/>
      <c r="FI67" s="12" t="str">
        <f t="shared" si="213"/>
        <v>FY19</v>
      </c>
      <c r="FJ67" s="12">
        <f t="shared" si="214"/>
        <v>43426</v>
      </c>
      <c r="FK67" s="11">
        <f t="shared" si="215"/>
        <v>13.612641449459627</v>
      </c>
      <c r="FL67" s="11">
        <f t="shared" si="216"/>
        <v>3</v>
      </c>
      <c r="FN67" s="13"/>
      <c r="FO67" s="13"/>
      <c r="FP67" s="12" t="str">
        <f t="shared" si="245"/>
        <v>FY19</v>
      </c>
      <c r="FQ67" s="12">
        <f t="shared" si="246"/>
        <v>43412</v>
      </c>
      <c r="FR67" s="11">
        <f t="shared" si="247"/>
        <v>70.047528035600749</v>
      </c>
      <c r="FS67" s="11">
        <f t="shared" si="248"/>
        <v>60</v>
      </c>
      <c r="FU67" s="13"/>
      <c r="FV67" s="13"/>
      <c r="FX67" s="16"/>
      <c r="FY67" s="15"/>
      <c r="GF67" s="12" t="str">
        <f t="shared" si="217"/>
        <v>FY20</v>
      </c>
      <c r="GG67" s="12">
        <f t="shared" si="218"/>
        <v>43790</v>
      </c>
      <c r="GH67" s="11">
        <f t="shared" si="219"/>
        <v>48.609266415000924</v>
      </c>
      <c r="GI67" s="11">
        <f t="shared" si="220"/>
        <v>40</v>
      </c>
      <c r="GK67" s="13"/>
      <c r="GL67" s="13"/>
      <c r="GM67" s="12" t="str">
        <f t="shared" si="249"/>
        <v>FY20</v>
      </c>
      <c r="GN67" s="12">
        <f t="shared" si="250"/>
        <v>43776</v>
      </c>
      <c r="GO67" s="11">
        <f t="shared" si="251"/>
        <v>30.483818305588219</v>
      </c>
      <c r="GP67" s="11">
        <f t="shared" si="252"/>
        <v>20</v>
      </c>
      <c r="GR67" s="13"/>
      <c r="GS67" s="13"/>
      <c r="GU67" s="16"/>
      <c r="GV67" s="14"/>
      <c r="GW67" s="15"/>
      <c r="HB67" s="12" t="str">
        <f t="shared" si="221"/>
        <v>FY21</v>
      </c>
      <c r="HC67" s="12">
        <f t="shared" si="222"/>
        <v>44154</v>
      </c>
      <c r="HD67" s="11">
        <f t="shared" si="223"/>
        <v>23.485624323502588</v>
      </c>
      <c r="HE67" s="11">
        <f t="shared" si="224"/>
        <v>8</v>
      </c>
      <c r="HG67" s="13"/>
      <c r="HH67" s="13"/>
      <c r="HJ67" s="16"/>
      <c r="HK67" s="15"/>
      <c r="HL67" s="14"/>
      <c r="HQ67" s="12" t="str">
        <f t="shared" si="225"/>
        <v>FY22</v>
      </c>
      <c r="HR67" s="12">
        <f t="shared" si="226"/>
        <v>44518</v>
      </c>
      <c r="HS67" s="11">
        <f t="shared" si="227"/>
        <v>57.357794101550631</v>
      </c>
      <c r="HT67" s="11">
        <f t="shared" si="228"/>
        <v>40</v>
      </c>
      <c r="HV67" s="13"/>
      <c r="HW67" s="13"/>
      <c r="HX67" s="12" t="str">
        <f t="shared" si="253"/>
        <v>FY22</v>
      </c>
      <c r="HY67" s="12">
        <f t="shared" si="254"/>
        <v>44504</v>
      </c>
      <c r="HZ67" s="11">
        <f t="shared" si="255"/>
        <v>25.128435147461236</v>
      </c>
      <c r="IA67" s="11">
        <f t="shared" si="256"/>
        <v>8</v>
      </c>
      <c r="IC67" s="13"/>
      <c r="ID67" s="13"/>
      <c r="IM67" s="12" t="str">
        <f t="shared" ref="IM67:IM98" si="271">IF(ISBLANK(IE5),NA(),IE5)</f>
        <v>FY23</v>
      </c>
      <c r="IN67" s="12">
        <f t="shared" ref="IN67:IN98" si="272">IF(ISBLANK(IF5),NA(),IF5)</f>
        <v>44749</v>
      </c>
      <c r="IO67" s="11">
        <f t="shared" ref="IO67:IO98" si="273">IF(ISBLANK(IG5),NA(),IG5/1000000)</f>
        <v>20.096787838248709</v>
      </c>
      <c r="IP67" s="11">
        <f t="shared" ref="IP67:IP98" si="274">IF(ISBLANK(IH5),NA(),IH5/1000000)</f>
        <v>4</v>
      </c>
      <c r="IR67" s="13"/>
      <c r="IS67" s="13"/>
      <c r="IT67" s="59">
        <v>1E-4</v>
      </c>
      <c r="IU67" s="59">
        <v>-1.29E-2</v>
      </c>
      <c r="IV67" s="59">
        <v>1.4476</v>
      </c>
      <c r="IW67" s="59">
        <v>15.06</v>
      </c>
      <c r="IY67" s="13"/>
      <c r="IZ67" s="13"/>
      <c r="JI67" s="12" t="str">
        <f t="shared" ref="JI67:JI119" si="275">IF(ISBLANK(JA5),NA(),JA5)</f>
        <v>FY24</v>
      </c>
      <c r="JJ67" s="12">
        <f t="shared" ref="JJ67:JJ119" si="276">IF(ISBLANK(JB5),NA(),JB5)</f>
        <v>45113</v>
      </c>
      <c r="JK67" s="11">
        <f t="shared" ref="JK67:JK119" si="277">IF(ISBLANK(JC5),NA(),JC5/1000000)</f>
        <v>31.154789255748071</v>
      </c>
      <c r="JL67" s="11">
        <f t="shared" ref="JL67:JL119" si="278">IF(ISBLANK(JD5),NA(),JD5/1000000)</f>
        <v>12</v>
      </c>
      <c r="JN67" s="13"/>
      <c r="JO67" s="13"/>
      <c r="JP67" s="40">
        <v>70</v>
      </c>
      <c r="JQ67" s="39">
        <f t="shared" si="269"/>
        <v>115586999.99999999</v>
      </c>
      <c r="JR67" s="40">
        <v>220</v>
      </c>
      <c r="JS67" s="39">
        <f t="shared" si="270"/>
        <v>295737000</v>
      </c>
      <c r="JU67" s="13"/>
      <c r="JV67" s="13"/>
      <c r="NG67" s="12" t="str">
        <f t="shared" si="229"/>
        <v>FY18</v>
      </c>
      <c r="NH67" s="12">
        <f t="shared" si="230"/>
        <v>42978</v>
      </c>
      <c r="NI67" s="11">
        <f t="shared" si="231"/>
        <v>18.67052</v>
      </c>
      <c r="NJ67" s="11">
        <f t="shared" si="232"/>
        <v>10</v>
      </c>
      <c r="NL67" s="13"/>
      <c r="NV67" s="12" t="str">
        <f t="shared" si="233"/>
        <v>FY19</v>
      </c>
      <c r="NW67" s="12">
        <f t="shared" si="234"/>
        <v>43349</v>
      </c>
      <c r="NX67" s="11">
        <f t="shared" si="235"/>
        <v>21.834251999999999</v>
      </c>
      <c r="NY67" s="11">
        <f t="shared" si="236"/>
        <v>12</v>
      </c>
      <c r="OA67" s="13"/>
      <c r="OB67" s="1"/>
    </row>
    <row r="68" spans="6:392" x14ac:dyDescent="0.2">
      <c r="F68" s="5"/>
      <c r="G68" s="5"/>
      <c r="H68" s="5"/>
      <c r="I68" s="5"/>
      <c r="M68" s="5" t="str" cm="1">
        <f t="array" ref="M68">LOOKUP(2,1/($G$19:$G$35&lt;=$V68)/($H$19:$H$35&gt;=$V68),$F$19:$F$35)</f>
        <v>2H18</v>
      </c>
      <c r="N68" s="5" t="str" cm="1">
        <f t="array" ref="N68">LOOKUP(2,1/($G$8:$G$16&lt;=$V68)/($H$8:$H$16&gt;=$V68),$F$8:$F$16)</f>
        <v>FY18</v>
      </c>
      <c r="O68" s="5" t="str">
        <f>IFERROR(N68&amp;"-"&amp;COUNTIF($N$5:N68,N68),NA())</f>
        <v>FY18-38</v>
      </c>
      <c r="P68" s="5">
        <f>COUNTIF(V$5:V68,"&gt;="&amp;MAX($V:$V)-183)</f>
        <v>0</v>
      </c>
      <c r="Q68" s="5">
        <f>COUNTIF(V$5:V68,"&gt;="&amp;MAX($V:$V)-365)</f>
        <v>0</v>
      </c>
      <c r="R68" s="5" cm="1">
        <f t="array" ref="R68">LOOKUP(2,1/($G$46:$G$50&lt;=$V68)/($H$46:$H$50&gt;=$V68),$F$46:$F$50)</f>
        <v>0</v>
      </c>
      <c r="S68" s="5" cm="1">
        <f t="array" ref="S68">LOOKUP(2,1/($G$53:$G$56&lt;=$V68)/($H$53:$H$56&gt;=$V68),$F$53:$F$56)</f>
        <v>0</v>
      </c>
      <c r="T68" s="5" t="e">
        <f>IFERROR(IF($R68&gt;0,$R68&amp;"-"&amp;COUNTIF($R$5:$R68,$R68),NA()),NA())</f>
        <v>#N/A</v>
      </c>
      <c r="U68" s="5" t="e">
        <f>IFERROR(IF($S68&gt;0,$S68&amp;"-"&amp;COUNTIF($S$5:$S68,$S68),NA()),NA())</f>
        <v>#N/A</v>
      </c>
      <c r="V68" s="10">
        <v>43181</v>
      </c>
      <c r="W68" s="9">
        <v>52311528.797653951</v>
      </c>
      <c r="X68" s="9">
        <v>48600025.829460397</v>
      </c>
      <c r="Y68" s="8">
        <v>40000000</v>
      </c>
      <c r="AI68" s="18">
        <f t="shared" si="184"/>
        <v>22</v>
      </c>
      <c r="AJ68" s="12">
        <f t="shared" si="185"/>
        <v>45435</v>
      </c>
      <c r="AK68" s="11">
        <f t="shared" si="186"/>
        <v>194.70491718426504</v>
      </c>
      <c r="AL68" s="11">
        <f t="shared" si="187"/>
        <v>150</v>
      </c>
      <c r="AN68" s="13"/>
      <c r="AO68" s="13"/>
      <c r="AP68" s="18">
        <f t="shared" si="237"/>
        <v>20</v>
      </c>
      <c r="AQ68" s="12">
        <f t="shared" si="238"/>
        <v>45421</v>
      </c>
      <c r="AR68" s="11">
        <f t="shared" si="239"/>
        <v>77.952955649994564</v>
      </c>
      <c r="AS68" s="11">
        <f t="shared" si="240"/>
        <v>60</v>
      </c>
      <c r="AU68" s="13"/>
      <c r="BI68" s="18">
        <f t="shared" si="188"/>
        <v>22</v>
      </c>
      <c r="BJ68" s="12">
        <f t="shared" si="189"/>
        <v>45253</v>
      </c>
      <c r="BK68" s="11">
        <f t="shared" si="190"/>
        <v>37.695077694235586</v>
      </c>
      <c r="BL68" s="11">
        <f t="shared" si="191"/>
        <v>20</v>
      </c>
      <c r="BN68" s="13"/>
      <c r="BO68" s="13"/>
      <c r="BP68" s="111">
        <v>160</v>
      </c>
      <c r="BQ68" s="39">
        <f t="shared" si="257"/>
        <v>190358000</v>
      </c>
      <c r="BR68" s="120">
        <f t="shared" si="264"/>
        <v>190.358</v>
      </c>
      <c r="BS68" s="39"/>
      <c r="BU68" s="13"/>
      <c r="CE68" s="18" t="e">
        <f t="shared" si="193"/>
        <v>#N/A</v>
      </c>
      <c r="CF68" s="12" t="e">
        <f t="shared" si="194"/>
        <v>#N/A</v>
      </c>
      <c r="CG68" s="11" t="e">
        <f t="shared" si="195"/>
        <v>#N/A</v>
      </c>
      <c r="CH68" s="11" t="e">
        <f t="shared" si="196"/>
        <v>#N/A</v>
      </c>
      <c r="CK68" s="13"/>
      <c r="CL68" s="21" t="s">
        <v>12</v>
      </c>
      <c r="CM68" s="20">
        <v>143</v>
      </c>
      <c r="CN68" s="20">
        <v>142</v>
      </c>
      <c r="CO68" s="19">
        <f>CN68/CM68-1</f>
        <v>-6.9930069930069783E-3</v>
      </c>
      <c r="CT68" s="18" t="e">
        <f t="shared" si="197"/>
        <v>#N/A</v>
      </c>
      <c r="CU68" s="12" t="e">
        <f t="shared" si="198"/>
        <v>#N/A</v>
      </c>
      <c r="CV68" s="11" t="e">
        <f t="shared" si="199"/>
        <v>#N/A</v>
      </c>
      <c r="CW68" s="11" t="e">
        <f t="shared" si="200"/>
        <v>#N/A</v>
      </c>
      <c r="CY68" s="13"/>
      <c r="DI68" s="18" t="e">
        <f t="shared" si="201"/>
        <v>#N/A</v>
      </c>
      <c r="DJ68" s="12" t="e">
        <f t="shared" si="202"/>
        <v>#N/A</v>
      </c>
      <c r="DK68" s="11" t="e">
        <f t="shared" si="203"/>
        <v>#N/A</v>
      </c>
      <c r="DL68" s="11" t="e">
        <f t="shared" si="204"/>
        <v>#N/A</v>
      </c>
      <c r="DN68" s="13" t="s">
        <v>2</v>
      </c>
      <c r="DO68" s="13"/>
      <c r="DX68" s="18" t="e">
        <f t="shared" si="205"/>
        <v>#N/A</v>
      </c>
      <c r="DY68" s="12" t="e">
        <f t="shared" si="206"/>
        <v>#N/A</v>
      </c>
      <c r="DZ68" s="11" t="e">
        <f t="shared" si="207"/>
        <v>#N/A</v>
      </c>
      <c r="EA68" s="11" t="e">
        <f t="shared" si="208"/>
        <v>#N/A</v>
      </c>
      <c r="EC68" s="13"/>
      <c r="ED68" s="13"/>
      <c r="EE68" s="12" t="e">
        <f t="shared" si="241"/>
        <v>#N/A</v>
      </c>
      <c r="EF68" s="12" t="e">
        <f t="shared" si="242"/>
        <v>#N/A</v>
      </c>
      <c r="EG68" s="11" t="e">
        <f t="shared" si="243"/>
        <v>#N/A</v>
      </c>
      <c r="EH68" s="11" t="e">
        <f t="shared" si="244"/>
        <v>#N/A</v>
      </c>
      <c r="EJ68" s="13"/>
      <c r="EK68" s="13"/>
      <c r="ET68" s="12" t="str">
        <f t="shared" si="209"/>
        <v>FY18-22</v>
      </c>
      <c r="EU68" s="12">
        <f t="shared" si="210"/>
        <v>43069</v>
      </c>
      <c r="EV68" s="11">
        <f t="shared" si="211"/>
        <v>13.093111238571673</v>
      </c>
      <c r="EW68" s="11">
        <f t="shared" si="212"/>
        <v>3</v>
      </c>
      <c r="EX68" s="13"/>
      <c r="EY68" s="13"/>
      <c r="EZ68" s="13"/>
      <c r="FI68" s="12" t="str">
        <f t="shared" si="213"/>
        <v>FY19</v>
      </c>
      <c r="FJ68" s="12">
        <f t="shared" si="214"/>
        <v>43433</v>
      </c>
      <c r="FK68" s="11">
        <f t="shared" si="215"/>
        <v>19.569770120788299</v>
      </c>
      <c r="FL68" s="11">
        <f t="shared" si="216"/>
        <v>8</v>
      </c>
      <c r="FN68" s="13"/>
      <c r="FO68" s="13"/>
      <c r="FP68" s="12" t="str">
        <f t="shared" si="245"/>
        <v>FY19</v>
      </c>
      <c r="FQ68" s="12">
        <f t="shared" si="246"/>
        <v>43419</v>
      </c>
      <c r="FR68" s="11">
        <f t="shared" si="247"/>
        <v>13.689841958041953</v>
      </c>
      <c r="FS68" s="11">
        <f t="shared" si="248"/>
        <v>3</v>
      </c>
      <c r="FU68" s="13"/>
      <c r="FV68" s="13"/>
      <c r="FX68" s="16"/>
      <c r="FY68" s="15"/>
      <c r="GF68" s="12" t="str">
        <f t="shared" si="217"/>
        <v>FY20</v>
      </c>
      <c r="GG68" s="12">
        <f t="shared" si="218"/>
        <v>43797</v>
      </c>
      <c r="GH68" s="11">
        <f t="shared" si="219"/>
        <v>15.126397920663408</v>
      </c>
      <c r="GI68" s="11">
        <f t="shared" si="220"/>
        <v>3</v>
      </c>
      <c r="GK68" s="13"/>
      <c r="GL68" s="13"/>
      <c r="GM68" s="12" t="str">
        <f t="shared" si="249"/>
        <v>FY20</v>
      </c>
      <c r="GN68" s="12">
        <f t="shared" si="250"/>
        <v>43783</v>
      </c>
      <c r="GO68" s="11">
        <f t="shared" si="251"/>
        <v>40.529243888854509</v>
      </c>
      <c r="GP68" s="11">
        <f t="shared" si="252"/>
        <v>30</v>
      </c>
      <c r="GR68" s="13"/>
      <c r="GS68" s="13"/>
      <c r="GU68" s="16"/>
      <c r="GV68" s="14"/>
      <c r="GW68" s="15"/>
      <c r="HB68" s="12" t="str">
        <f t="shared" si="221"/>
        <v>FY21</v>
      </c>
      <c r="HC68" s="12">
        <f t="shared" si="222"/>
        <v>44161</v>
      </c>
      <c r="HD68" s="11">
        <f t="shared" si="223"/>
        <v>40.190379811492861</v>
      </c>
      <c r="HE68" s="11">
        <f t="shared" si="224"/>
        <v>20</v>
      </c>
      <c r="HG68" s="13"/>
      <c r="HH68" s="13"/>
      <c r="HJ68" s="16"/>
      <c r="HK68" s="15"/>
      <c r="HL68" s="14"/>
      <c r="HQ68" s="12" t="str">
        <f t="shared" si="225"/>
        <v>FY22</v>
      </c>
      <c r="HR68" s="12">
        <f t="shared" si="226"/>
        <v>44525</v>
      </c>
      <c r="HS68" s="11">
        <f t="shared" si="227"/>
        <v>81.402100334448164</v>
      </c>
      <c r="HT68" s="11">
        <f t="shared" si="228"/>
        <v>60</v>
      </c>
      <c r="HV68" s="13"/>
      <c r="HW68" s="13"/>
      <c r="HX68" s="12" t="str">
        <f t="shared" si="253"/>
        <v>FY22</v>
      </c>
      <c r="HY68" s="12">
        <f t="shared" si="254"/>
        <v>44511</v>
      </c>
      <c r="HZ68" s="11">
        <f t="shared" si="255"/>
        <v>41.533547217999399</v>
      </c>
      <c r="IA68" s="11">
        <f t="shared" si="256"/>
        <v>20</v>
      </c>
      <c r="IC68" s="13"/>
      <c r="ID68" s="13"/>
      <c r="IM68" s="12" t="str">
        <f t="shared" si="271"/>
        <v>FY23</v>
      </c>
      <c r="IN68" s="12">
        <f t="shared" si="272"/>
        <v>44756</v>
      </c>
      <c r="IO68" s="11">
        <f t="shared" si="273"/>
        <v>27.258635451505018</v>
      </c>
      <c r="IP68" s="11">
        <f t="shared" si="274"/>
        <v>8</v>
      </c>
      <c r="IR68" s="13"/>
      <c r="IS68" s="13"/>
      <c r="IY68" s="13"/>
      <c r="IZ68" s="13"/>
      <c r="JI68" s="12" t="str">
        <f t="shared" si="275"/>
        <v>FY24</v>
      </c>
      <c r="JJ68" s="12">
        <f t="shared" si="276"/>
        <v>45120</v>
      </c>
      <c r="JK68" s="11">
        <f t="shared" si="277"/>
        <v>40.570238531110391</v>
      </c>
      <c r="JL68" s="11">
        <f t="shared" si="278"/>
        <v>20</v>
      </c>
      <c r="JN68" s="13"/>
      <c r="JO68" s="13"/>
      <c r="JP68" s="40">
        <v>80</v>
      </c>
      <c r="JQ68" s="39">
        <f t="shared" si="269"/>
        <v>135297000</v>
      </c>
      <c r="JR68" s="40">
        <v>230</v>
      </c>
      <c r="JS68" s="39">
        <f t="shared" si="270"/>
        <v>284546999.99999994</v>
      </c>
      <c r="JU68" s="13"/>
      <c r="JV68" s="13"/>
      <c r="NG68" s="12" t="str">
        <f t="shared" si="229"/>
        <v>FY18</v>
      </c>
      <c r="NH68" s="12">
        <f t="shared" si="230"/>
        <v>42985</v>
      </c>
      <c r="NI68" s="11">
        <f t="shared" si="231"/>
        <v>25.652989999999999</v>
      </c>
      <c r="NJ68" s="11">
        <f t="shared" si="232"/>
        <v>15</v>
      </c>
      <c r="NL68" s="13"/>
      <c r="NV68" s="12" t="str">
        <f t="shared" si="233"/>
        <v>FY19</v>
      </c>
      <c r="NW68" s="12">
        <f t="shared" si="234"/>
        <v>43356</v>
      </c>
      <c r="NX68" s="11">
        <f t="shared" si="235"/>
        <v>28.53378</v>
      </c>
      <c r="NY68" s="11">
        <f t="shared" si="236"/>
        <v>20</v>
      </c>
      <c r="OA68" s="13"/>
      <c r="OB68" s="1"/>
    </row>
    <row r="69" spans="6:392" x14ac:dyDescent="0.2">
      <c r="F69" s="5"/>
      <c r="G69" s="5"/>
      <c r="H69" s="5"/>
      <c r="I69" s="5"/>
      <c r="M69" s="5" t="str" cm="1">
        <f t="array" ref="M69">LOOKUP(2,1/($G$19:$G$35&lt;=$V69)/($H$19:$H$35&gt;=$V69),$F$19:$F$35)</f>
        <v>2H18</v>
      </c>
      <c r="N69" s="5" t="str" cm="1">
        <f t="array" ref="N69">LOOKUP(2,1/($G$8:$G$16&lt;=$V69)/($H$8:$H$16&gt;=$V69),$F$8:$F$16)</f>
        <v>FY18</v>
      </c>
      <c r="O69" s="5" t="str">
        <f>IFERROR(N69&amp;"-"&amp;COUNTIF($N$5:N69,N69),NA())</f>
        <v>FY18-39</v>
      </c>
      <c r="P69" s="5">
        <f>COUNTIF(V$5:V69,"&gt;="&amp;MAX($V:$V)-183)</f>
        <v>0</v>
      </c>
      <c r="Q69" s="5">
        <f>COUNTIF(V$5:V69,"&gt;="&amp;MAX($V:$V)-365)</f>
        <v>0</v>
      </c>
      <c r="R69" s="5" cm="1">
        <f t="array" ref="R69">LOOKUP(2,1/($G$46:$G$50&lt;=$V69)/($H$46:$H$50&gt;=$V69),$F$46:$F$50)</f>
        <v>0</v>
      </c>
      <c r="S69" s="5" cm="1">
        <f t="array" ref="S69">LOOKUP(2,1/($G$53:$G$56&lt;=$V69)/($H$53:$H$56&gt;=$V69),$F$53:$F$56)</f>
        <v>0</v>
      </c>
      <c r="T69" s="5" t="e">
        <f>IFERROR(IF($R69&gt;0,$R69&amp;"-"&amp;COUNTIF($R$5:$R69,$R69),NA()),NA())</f>
        <v>#N/A</v>
      </c>
      <c r="U69" s="5" t="e">
        <f>IFERROR(IF($S69&gt;0,$S69&amp;"-"&amp;COUNTIF($S$5:$S69,$S69),NA()),NA())</f>
        <v>#N/A</v>
      </c>
      <c r="V69" s="10">
        <v>43188</v>
      </c>
      <c r="W69" s="9">
        <v>15128946.850094875</v>
      </c>
      <c r="X69" s="9">
        <v>14055548.071080644</v>
      </c>
      <c r="Y69" s="8">
        <v>3000000</v>
      </c>
      <c r="AI69" s="18">
        <f t="shared" si="184"/>
        <v>23</v>
      </c>
      <c r="AJ69" s="12">
        <f t="shared" si="185"/>
        <v>45442</v>
      </c>
      <c r="AK69" s="11">
        <f t="shared" si="186"/>
        <v>21.15536057535142</v>
      </c>
      <c r="AL69" s="11">
        <f t="shared" si="187"/>
        <v>4</v>
      </c>
      <c r="AN69" s="13"/>
      <c r="AO69" s="13"/>
      <c r="AP69" s="18" t="e">
        <f t="shared" si="237"/>
        <v>#N/A</v>
      </c>
      <c r="AQ69" s="12" t="e">
        <f t="shared" si="238"/>
        <v>#N/A</v>
      </c>
      <c r="AR69" s="11" t="e">
        <f t="shared" si="239"/>
        <v>#N/A</v>
      </c>
      <c r="AS69" s="11" t="e">
        <f t="shared" si="240"/>
        <v>#N/A</v>
      </c>
      <c r="AU69" s="13"/>
      <c r="BI69" s="18">
        <f t="shared" si="188"/>
        <v>23</v>
      </c>
      <c r="BJ69" s="12">
        <f t="shared" si="189"/>
        <v>45260</v>
      </c>
      <c r="BK69" s="11">
        <f t="shared" si="190"/>
        <v>23.402584504740112</v>
      </c>
      <c r="BL69" s="11">
        <f t="shared" si="191"/>
        <v>8</v>
      </c>
      <c r="BN69" s="13"/>
      <c r="BO69" s="13"/>
      <c r="BP69" s="111">
        <v>200</v>
      </c>
      <c r="BQ69" s="39">
        <f t="shared" si="257"/>
        <v>233806000</v>
      </c>
      <c r="BR69" s="120">
        <f t="shared" si="264"/>
        <v>233.80600000000001</v>
      </c>
      <c r="BS69" s="39"/>
      <c r="BU69" s="13"/>
      <c r="CE69" s="18" t="e">
        <f t="shared" si="193"/>
        <v>#N/A</v>
      </c>
      <c r="CF69" s="12" t="e">
        <f t="shared" si="194"/>
        <v>#N/A</v>
      </c>
      <c r="CG69" s="11" t="e">
        <f t="shared" si="195"/>
        <v>#N/A</v>
      </c>
      <c r="CH69" s="11" t="e">
        <f t="shared" si="196"/>
        <v>#N/A</v>
      </c>
      <c r="CK69" s="13"/>
      <c r="CT69" s="18" t="e">
        <f t="shared" si="197"/>
        <v>#N/A</v>
      </c>
      <c r="CU69" s="12" t="e">
        <f t="shared" si="198"/>
        <v>#N/A</v>
      </c>
      <c r="CV69" s="11" t="e">
        <f t="shared" si="199"/>
        <v>#N/A</v>
      </c>
      <c r="CW69" s="11" t="e">
        <f t="shared" si="200"/>
        <v>#N/A</v>
      </c>
      <c r="CY69" s="13"/>
      <c r="DI69" s="18" t="e">
        <f t="shared" si="201"/>
        <v>#N/A</v>
      </c>
      <c r="DJ69" s="12" t="e">
        <f t="shared" si="202"/>
        <v>#N/A</v>
      </c>
      <c r="DK69" s="11" t="e">
        <f t="shared" si="203"/>
        <v>#N/A</v>
      </c>
      <c r="DL69" s="11" t="e">
        <f t="shared" si="204"/>
        <v>#N/A</v>
      </c>
      <c r="DN69" s="13" t="s">
        <v>23</v>
      </c>
      <c r="DO69" s="13"/>
      <c r="DX69" s="18" t="e">
        <f t="shared" si="205"/>
        <v>#N/A</v>
      </c>
      <c r="DY69" s="12" t="e">
        <f t="shared" si="206"/>
        <v>#N/A</v>
      </c>
      <c r="DZ69" s="11" t="e">
        <f t="shared" si="207"/>
        <v>#N/A</v>
      </c>
      <c r="EA69" s="11" t="e">
        <f t="shared" si="208"/>
        <v>#N/A</v>
      </c>
      <c r="EC69" s="13"/>
      <c r="ED69" s="13"/>
      <c r="EE69" s="12" t="e">
        <f t="shared" si="241"/>
        <v>#N/A</v>
      </c>
      <c r="EF69" s="12" t="e">
        <f t="shared" si="242"/>
        <v>#N/A</v>
      </c>
      <c r="EG69" s="11" t="e">
        <f t="shared" si="243"/>
        <v>#N/A</v>
      </c>
      <c r="EH69" s="11" t="e">
        <f t="shared" si="244"/>
        <v>#N/A</v>
      </c>
      <c r="EJ69" s="13"/>
      <c r="EK69" s="13"/>
      <c r="ET69" s="12" t="str">
        <f t="shared" si="209"/>
        <v>FY18-23</v>
      </c>
      <c r="EU69" s="12">
        <f t="shared" si="210"/>
        <v>43076</v>
      </c>
      <c r="EV69" s="11">
        <f t="shared" si="211"/>
        <v>17.159375049163359</v>
      </c>
      <c r="EW69" s="11">
        <f t="shared" si="212"/>
        <v>6</v>
      </c>
      <c r="EX69" s="13"/>
      <c r="EY69" s="13"/>
      <c r="EZ69" s="13"/>
      <c r="FI69" s="12" t="str">
        <f t="shared" si="213"/>
        <v>FY19</v>
      </c>
      <c r="FJ69" s="12">
        <f t="shared" si="214"/>
        <v>43440</v>
      </c>
      <c r="FK69" s="11">
        <f t="shared" si="215"/>
        <v>24.628368722186906</v>
      </c>
      <c r="FL69" s="11">
        <f t="shared" si="216"/>
        <v>12</v>
      </c>
      <c r="FN69" s="13"/>
      <c r="FO69" s="13"/>
      <c r="FP69" s="12" t="str">
        <f t="shared" si="245"/>
        <v>FY19</v>
      </c>
      <c r="FQ69" s="12">
        <f t="shared" si="246"/>
        <v>43426</v>
      </c>
      <c r="FR69" s="11">
        <f t="shared" si="247"/>
        <v>13.612641449459627</v>
      </c>
      <c r="FS69" s="11">
        <f t="shared" si="248"/>
        <v>3</v>
      </c>
      <c r="FU69" s="13"/>
      <c r="FV69" s="13"/>
      <c r="FX69" s="16"/>
      <c r="FY69" s="15"/>
      <c r="GF69" s="12" t="str">
        <f t="shared" si="217"/>
        <v>FY20</v>
      </c>
      <c r="GG69" s="12">
        <f t="shared" si="218"/>
        <v>43804</v>
      </c>
      <c r="GH69" s="11">
        <f t="shared" si="219"/>
        <v>20.501358252367101</v>
      </c>
      <c r="GI69" s="11">
        <f t="shared" si="220"/>
        <v>8</v>
      </c>
      <c r="GK69" s="13"/>
      <c r="GL69" s="13"/>
      <c r="GM69" s="12" t="str">
        <f t="shared" si="249"/>
        <v>FY20</v>
      </c>
      <c r="GN69" s="12">
        <f t="shared" si="250"/>
        <v>43790</v>
      </c>
      <c r="GO69" s="11">
        <f t="shared" si="251"/>
        <v>48.609266415000924</v>
      </c>
      <c r="GP69" s="11">
        <f t="shared" si="252"/>
        <v>40</v>
      </c>
      <c r="GR69" s="13"/>
      <c r="GS69" s="13"/>
      <c r="GU69" s="16"/>
      <c r="GV69" s="14"/>
      <c r="GW69" s="15"/>
      <c r="HB69" s="12" t="str">
        <f t="shared" si="221"/>
        <v>FY21</v>
      </c>
      <c r="HC69" s="12">
        <f t="shared" si="222"/>
        <v>44168</v>
      </c>
      <c r="HD69" s="11">
        <f t="shared" si="223"/>
        <v>17.815226512617816</v>
      </c>
      <c r="HE69" s="11">
        <f t="shared" si="224"/>
        <v>3</v>
      </c>
      <c r="HG69" s="13"/>
      <c r="HH69" s="13"/>
      <c r="HJ69" s="16"/>
      <c r="HK69" s="15"/>
      <c r="HL69" s="14"/>
      <c r="HQ69" s="12" t="str">
        <f t="shared" si="225"/>
        <v>FY22</v>
      </c>
      <c r="HR69" s="12">
        <f t="shared" si="226"/>
        <v>44532</v>
      </c>
      <c r="HS69" s="11">
        <f t="shared" si="227"/>
        <v>109.81424530252357</v>
      </c>
      <c r="HT69" s="11">
        <f t="shared" si="228"/>
        <v>80</v>
      </c>
      <c r="HV69" s="13"/>
      <c r="HW69" s="13"/>
      <c r="HX69" s="12" t="str">
        <f t="shared" si="253"/>
        <v>FY22</v>
      </c>
      <c r="HY69" s="12">
        <f t="shared" si="254"/>
        <v>44518</v>
      </c>
      <c r="HZ69" s="11">
        <f t="shared" si="255"/>
        <v>57.357794101550631</v>
      </c>
      <c r="IA69" s="11">
        <f t="shared" si="256"/>
        <v>40</v>
      </c>
      <c r="IC69" s="13"/>
      <c r="ID69" s="13"/>
      <c r="IM69" s="12" t="str">
        <f t="shared" si="271"/>
        <v>FY23</v>
      </c>
      <c r="IN69" s="12">
        <f t="shared" si="272"/>
        <v>44763</v>
      </c>
      <c r="IO69" s="11">
        <f t="shared" si="273"/>
        <v>20.96840571602311</v>
      </c>
      <c r="IP69" s="11">
        <f t="shared" si="274"/>
        <v>4</v>
      </c>
      <c r="IR69" s="13"/>
      <c r="IS69" s="13"/>
      <c r="IT69" s="2" t="s">
        <v>41</v>
      </c>
      <c r="IU69" s="2" t="s">
        <v>25</v>
      </c>
      <c r="IY69" s="13"/>
      <c r="IZ69" s="13"/>
      <c r="JI69" s="12" t="str">
        <f t="shared" si="275"/>
        <v>FY24</v>
      </c>
      <c r="JJ69" s="12">
        <f t="shared" si="276"/>
        <v>45127</v>
      </c>
      <c r="JK69" s="11">
        <f t="shared" si="277"/>
        <v>60.8369621880789</v>
      </c>
      <c r="JL69" s="11">
        <f t="shared" si="278"/>
        <v>40</v>
      </c>
      <c r="JN69" s="13"/>
      <c r="JO69" s="13"/>
      <c r="JP69" s="40">
        <v>90</v>
      </c>
      <c r="JQ69" s="39">
        <f t="shared" si="269"/>
        <v>155466999.99999997</v>
      </c>
      <c r="JR69" s="40">
        <v>240</v>
      </c>
      <c r="JS69" s="39">
        <f t="shared" si="270"/>
        <v>268416999.99999991</v>
      </c>
      <c r="JU69" s="13"/>
      <c r="JV69" s="13"/>
      <c r="NG69" s="12" t="str">
        <f t="shared" si="229"/>
        <v>FY18</v>
      </c>
      <c r="NH69" s="12">
        <f t="shared" si="230"/>
        <v>42992</v>
      </c>
      <c r="NI69" s="11">
        <f t="shared" si="231"/>
        <v>42.817610000000002</v>
      </c>
      <c r="NJ69" s="11">
        <f t="shared" si="232"/>
        <v>30</v>
      </c>
      <c r="NL69" s="13"/>
      <c r="NV69" s="12" t="str">
        <f t="shared" si="233"/>
        <v>FY19</v>
      </c>
      <c r="NW69" s="12">
        <f t="shared" si="234"/>
        <v>43363</v>
      </c>
      <c r="NX69" s="11">
        <f t="shared" si="235"/>
        <v>37.562184000000002</v>
      </c>
      <c r="NY69" s="11">
        <f t="shared" si="236"/>
        <v>30</v>
      </c>
      <c r="OA69" s="13"/>
      <c r="OB69" s="1"/>
    </row>
    <row r="70" spans="6:392" x14ac:dyDescent="0.2">
      <c r="F70" s="5"/>
      <c r="G70" s="5"/>
      <c r="H70" s="5"/>
      <c r="I70" s="5"/>
      <c r="M70" s="5" t="str" cm="1">
        <f t="array" ref="M70">LOOKUP(2,1/($G$19:$G$35&lt;=$V70)/($H$19:$H$35&gt;=$V70),$F$19:$F$35)</f>
        <v>2H18</v>
      </c>
      <c r="N70" s="5" t="str" cm="1">
        <f t="array" ref="N70">LOOKUP(2,1/($G$8:$G$16&lt;=$V70)/($H$8:$H$16&gt;=$V70),$F$8:$F$16)</f>
        <v>FY18</v>
      </c>
      <c r="O70" s="5" t="str">
        <f>IFERROR(N70&amp;"-"&amp;COUNTIF($N$5:N70,N70),NA())</f>
        <v>FY18-40</v>
      </c>
      <c r="P70" s="5">
        <f>COUNTIF(V$5:V70,"&gt;="&amp;MAX($V:$V)-183)</f>
        <v>0</v>
      </c>
      <c r="Q70" s="5">
        <f>COUNTIF(V$5:V70,"&gt;="&amp;MAX($V:$V)-365)</f>
        <v>0</v>
      </c>
      <c r="R70" s="5" cm="1">
        <f t="array" ref="R70">LOOKUP(2,1/($G$46:$G$50&lt;=$V70)/($H$46:$H$50&gt;=$V70),$F$46:$F$50)</f>
        <v>0</v>
      </c>
      <c r="S70" s="5" cm="1">
        <f t="array" ref="S70">LOOKUP(2,1/($G$53:$G$56&lt;=$V70)/($H$53:$H$56&gt;=$V70),$F$53:$F$56)</f>
        <v>0</v>
      </c>
      <c r="T70" s="5" t="e">
        <f>IFERROR(IF($R70&gt;0,$R70&amp;"-"&amp;COUNTIF($R$5:$R70,$R70),NA()),NA())</f>
        <v>#N/A</v>
      </c>
      <c r="U70" s="5" t="e">
        <f>IFERROR(IF($S70&gt;0,$S70&amp;"-"&amp;COUNTIF($S$5:$S70,$S70),NA()),NA())</f>
        <v>#N/A</v>
      </c>
      <c r="V70" s="10">
        <v>43195</v>
      </c>
      <c r="W70" s="9">
        <v>18375711.785406243</v>
      </c>
      <c r="X70" s="9">
        <v>17071955.03423167</v>
      </c>
      <c r="Y70" s="8">
        <v>6000000</v>
      </c>
      <c r="AI70" s="18">
        <f t="shared" si="184"/>
        <v>24</v>
      </c>
      <c r="AJ70" s="12">
        <f t="shared" si="185"/>
        <v>45449</v>
      </c>
      <c r="AK70" s="11">
        <f t="shared" si="186"/>
        <v>32.64936362645745</v>
      </c>
      <c r="AL70" s="11">
        <f t="shared" si="187"/>
        <v>12</v>
      </c>
      <c r="AN70" s="13"/>
      <c r="AO70" s="13"/>
      <c r="AP70" s="18" t="e">
        <f t="shared" si="237"/>
        <v>#N/A</v>
      </c>
      <c r="AQ70" s="12" t="e">
        <f t="shared" si="238"/>
        <v>#N/A</v>
      </c>
      <c r="AR70" s="11" t="e">
        <f t="shared" si="239"/>
        <v>#N/A</v>
      </c>
      <c r="AS70" s="11" t="e">
        <f t="shared" si="240"/>
        <v>#N/A</v>
      </c>
      <c r="AU70" s="13"/>
      <c r="BI70" s="18">
        <f t="shared" si="188"/>
        <v>24</v>
      </c>
      <c r="BJ70" s="12">
        <f t="shared" si="189"/>
        <v>45267</v>
      </c>
      <c r="BK70" s="11">
        <f t="shared" si="190"/>
        <v>34.302016781083154</v>
      </c>
      <c r="BL70" s="11">
        <f t="shared" si="191"/>
        <v>20</v>
      </c>
      <c r="BN70" s="13"/>
      <c r="BO70" s="13"/>
      <c r="BP70" s="111">
        <v>220</v>
      </c>
      <c r="BQ70" s="39">
        <f t="shared" si="257"/>
        <v>255530000</v>
      </c>
      <c r="BR70" s="120">
        <f t="shared" si="264"/>
        <v>255.53</v>
      </c>
      <c r="BS70" s="39"/>
      <c r="BU70" s="13"/>
      <c r="CE70" s="18" t="e">
        <f t="shared" si="193"/>
        <v>#N/A</v>
      </c>
      <c r="CF70" s="12" t="e">
        <f t="shared" si="194"/>
        <v>#N/A</v>
      </c>
      <c r="CG70" s="11" t="e">
        <f t="shared" si="195"/>
        <v>#N/A</v>
      </c>
      <c r="CH70" s="11" t="e">
        <f t="shared" si="196"/>
        <v>#N/A</v>
      </c>
      <c r="CK70" s="13"/>
      <c r="CL70" s="37" t="s">
        <v>22</v>
      </c>
      <c r="CM70" s="36"/>
      <c r="CN70" s="36"/>
      <c r="CO70" s="35"/>
      <c r="CT70" s="18" t="e">
        <f t="shared" si="197"/>
        <v>#N/A</v>
      </c>
      <c r="CU70" s="12" t="e">
        <f t="shared" si="198"/>
        <v>#N/A</v>
      </c>
      <c r="CV70" s="11" t="e">
        <f t="shared" si="199"/>
        <v>#N/A</v>
      </c>
      <c r="CW70" s="11" t="e">
        <f t="shared" si="200"/>
        <v>#N/A</v>
      </c>
      <c r="CY70" s="13"/>
      <c r="DI70" s="18" t="e">
        <f t="shared" si="201"/>
        <v>#N/A</v>
      </c>
      <c r="DJ70" s="12" t="e">
        <f t="shared" si="202"/>
        <v>#N/A</v>
      </c>
      <c r="DK70" s="11" t="e">
        <f t="shared" si="203"/>
        <v>#N/A</v>
      </c>
      <c r="DL70" s="11" t="e">
        <f t="shared" si="204"/>
        <v>#N/A</v>
      </c>
      <c r="DN70" s="14">
        <v>139</v>
      </c>
      <c r="DO70" s="13"/>
      <c r="DX70" s="18" t="e">
        <f t="shared" si="205"/>
        <v>#N/A</v>
      </c>
      <c r="DY70" s="12" t="e">
        <f t="shared" si="206"/>
        <v>#N/A</v>
      </c>
      <c r="DZ70" s="11" t="e">
        <f t="shared" si="207"/>
        <v>#N/A</v>
      </c>
      <c r="EA70" s="11" t="e">
        <f t="shared" si="208"/>
        <v>#N/A</v>
      </c>
      <c r="EC70" s="13"/>
      <c r="ED70" s="13"/>
      <c r="EE70" s="12" t="e">
        <f t="shared" si="241"/>
        <v>#N/A</v>
      </c>
      <c r="EF70" s="12" t="e">
        <f t="shared" si="242"/>
        <v>#N/A</v>
      </c>
      <c r="EG70" s="11" t="e">
        <f t="shared" si="243"/>
        <v>#N/A</v>
      </c>
      <c r="EH70" s="11" t="e">
        <f t="shared" si="244"/>
        <v>#N/A</v>
      </c>
      <c r="EJ70" s="13"/>
      <c r="EK70" s="13"/>
      <c r="ET70" s="12" t="str">
        <f t="shared" si="209"/>
        <v>FY18-24</v>
      </c>
      <c r="EU70" s="12">
        <f t="shared" si="210"/>
        <v>43083</v>
      </c>
      <c r="EV70" s="11">
        <f t="shared" si="211"/>
        <v>19.518000077626354</v>
      </c>
      <c r="EW70" s="11">
        <f t="shared" si="212"/>
        <v>10</v>
      </c>
      <c r="EX70" s="13"/>
      <c r="EY70" s="13"/>
      <c r="EZ70" s="13"/>
      <c r="FI70" s="12" t="str">
        <f t="shared" si="213"/>
        <v>FY19</v>
      </c>
      <c r="FJ70" s="12">
        <f t="shared" si="214"/>
        <v>43447</v>
      </c>
      <c r="FK70" s="11">
        <f t="shared" si="215"/>
        <v>30.784708455181175</v>
      </c>
      <c r="FL70" s="11">
        <f t="shared" si="216"/>
        <v>20</v>
      </c>
      <c r="FN70" s="13"/>
      <c r="FO70" s="13"/>
      <c r="FP70" s="12" t="str">
        <f t="shared" si="245"/>
        <v>FY19</v>
      </c>
      <c r="FQ70" s="12">
        <f t="shared" si="246"/>
        <v>43433</v>
      </c>
      <c r="FR70" s="11">
        <f t="shared" si="247"/>
        <v>19.569770120788299</v>
      </c>
      <c r="FS70" s="11">
        <f t="shared" si="248"/>
        <v>8</v>
      </c>
      <c r="FU70" s="13"/>
      <c r="FV70" s="13"/>
      <c r="FX70" s="16"/>
      <c r="FY70" s="15"/>
      <c r="GF70" s="12" t="str">
        <f t="shared" si="217"/>
        <v>FY20</v>
      </c>
      <c r="GG70" s="12">
        <f t="shared" si="218"/>
        <v>43811</v>
      </c>
      <c r="GH70" s="11">
        <f t="shared" si="219"/>
        <v>25.306949439940592</v>
      </c>
      <c r="GI70" s="11">
        <f t="shared" si="220"/>
        <v>12</v>
      </c>
      <c r="GK70" s="13"/>
      <c r="GL70" s="13"/>
      <c r="GM70" s="12" t="str">
        <f t="shared" si="249"/>
        <v>FY20</v>
      </c>
      <c r="GN70" s="12">
        <f t="shared" si="250"/>
        <v>43797</v>
      </c>
      <c r="GO70" s="11">
        <f t="shared" si="251"/>
        <v>15.126397920663408</v>
      </c>
      <c r="GP70" s="11">
        <f t="shared" si="252"/>
        <v>3</v>
      </c>
      <c r="GR70" s="13"/>
      <c r="GS70" s="13"/>
      <c r="GU70" s="16"/>
      <c r="GV70" s="14"/>
      <c r="GW70" s="15"/>
      <c r="HB70" s="12" t="str">
        <f t="shared" si="221"/>
        <v>FY21</v>
      </c>
      <c r="HC70" s="12">
        <f t="shared" si="222"/>
        <v>44175</v>
      </c>
      <c r="HD70" s="11">
        <f t="shared" si="223"/>
        <v>25.066381757373062</v>
      </c>
      <c r="HE70" s="11">
        <f t="shared" si="224"/>
        <v>8</v>
      </c>
      <c r="HG70" s="13"/>
      <c r="HH70" s="13"/>
      <c r="HJ70" s="16"/>
      <c r="HK70" s="15"/>
      <c r="HL70" s="14"/>
      <c r="HQ70" s="12" t="str">
        <f t="shared" si="225"/>
        <v>FY22</v>
      </c>
      <c r="HR70" s="12">
        <f t="shared" si="226"/>
        <v>44539</v>
      </c>
      <c r="HS70" s="11">
        <f t="shared" si="227"/>
        <v>18.912447065977499</v>
      </c>
      <c r="HT70" s="11">
        <f t="shared" si="228"/>
        <v>3</v>
      </c>
      <c r="HV70" s="13"/>
      <c r="HW70" s="13"/>
      <c r="HX70" s="12" t="str">
        <f t="shared" si="253"/>
        <v>FY22</v>
      </c>
      <c r="HY70" s="12">
        <f t="shared" si="254"/>
        <v>44525</v>
      </c>
      <c r="HZ70" s="11">
        <f t="shared" si="255"/>
        <v>81.402100334448164</v>
      </c>
      <c r="IA70" s="11">
        <f t="shared" si="256"/>
        <v>60</v>
      </c>
      <c r="IC70" s="13"/>
      <c r="ID70" s="13"/>
      <c r="IM70" s="12" t="str">
        <f t="shared" si="271"/>
        <v>FY23</v>
      </c>
      <c r="IN70" s="12">
        <f t="shared" si="272"/>
        <v>44770</v>
      </c>
      <c r="IO70" s="11">
        <f t="shared" si="273"/>
        <v>19.329129096989966</v>
      </c>
      <c r="IP70" s="11">
        <f t="shared" si="274"/>
        <v>4</v>
      </c>
      <c r="IR70" s="13"/>
      <c r="IS70" s="13"/>
      <c r="IT70" s="40">
        <v>60</v>
      </c>
      <c r="IU70" s="39">
        <f t="shared" ref="IU70:IU84" si="279">($IM$47*IT70^3+$IN$47*IT70^2+$IO$47*IT70+$IP$47)*1000000</f>
        <v>96696999.999999985</v>
      </c>
      <c r="IV70" s="40">
        <v>210</v>
      </c>
      <c r="IW70" s="39">
        <f t="shared" ref="IW70:IW84" si="280">($IM$47*IV70^3+$IN$47*IV70^2+$IO$47*IV70+$IP$47)*1000000</f>
        <v>302347000.00000012</v>
      </c>
      <c r="IY70" s="13"/>
      <c r="IZ70" s="13"/>
      <c r="JI70" s="12" t="str">
        <f t="shared" si="275"/>
        <v>FY24</v>
      </c>
      <c r="JJ70" s="12">
        <f t="shared" si="276"/>
        <v>45134</v>
      </c>
      <c r="JK70" s="11">
        <f t="shared" si="277"/>
        <v>84.639629072681714</v>
      </c>
      <c r="JL70" s="11">
        <f t="shared" si="278"/>
        <v>60</v>
      </c>
      <c r="JN70" s="13"/>
      <c r="JO70" s="13"/>
      <c r="JP70" s="40">
        <v>100</v>
      </c>
      <c r="JQ70" s="39">
        <f t="shared" si="269"/>
        <v>175737000</v>
      </c>
      <c r="JR70" s="40">
        <v>250</v>
      </c>
      <c r="JS70" s="39">
        <f t="shared" si="270"/>
        <v>246987000</v>
      </c>
      <c r="JU70" s="13"/>
      <c r="JV70" s="13"/>
      <c r="NG70" s="12" t="str">
        <f t="shared" si="229"/>
        <v>FY18</v>
      </c>
      <c r="NH70" s="12">
        <f t="shared" si="230"/>
        <v>42999</v>
      </c>
      <c r="NI70" s="11">
        <f t="shared" si="231"/>
        <v>69.624499999999998</v>
      </c>
      <c r="NJ70" s="11">
        <f t="shared" si="232"/>
        <v>50</v>
      </c>
      <c r="NL70" s="13"/>
      <c r="NV70" s="12" t="str">
        <f t="shared" si="233"/>
        <v>FY19</v>
      </c>
      <c r="NW70" s="12">
        <f t="shared" si="234"/>
        <v>43370</v>
      </c>
      <c r="NX70" s="11">
        <f t="shared" si="235"/>
        <v>12.930785999999999</v>
      </c>
      <c r="NY70" s="11">
        <f t="shared" si="236"/>
        <v>3</v>
      </c>
      <c r="OA70" s="13"/>
      <c r="OB70" s="1"/>
    </row>
    <row r="71" spans="6:392" x14ac:dyDescent="0.2">
      <c r="F71" s="5"/>
      <c r="G71" s="5"/>
      <c r="H71" s="5"/>
      <c r="I71" s="5"/>
      <c r="M71" s="5" t="str" cm="1">
        <f t="array" ref="M71">LOOKUP(2,1/($G$19:$G$35&lt;=$V71)/($H$19:$H$35&gt;=$V71),$F$19:$F$35)</f>
        <v>2H18</v>
      </c>
      <c r="N71" s="5" t="str" cm="1">
        <f t="array" ref="N71">LOOKUP(2,1/($G$8:$G$16&lt;=$V71)/($H$8:$H$16&gt;=$V71),$F$8:$F$16)</f>
        <v>FY18</v>
      </c>
      <c r="O71" s="5" t="str">
        <f>IFERROR(N71&amp;"-"&amp;COUNTIF($N$5:N71,N71),NA())</f>
        <v>FY18-41</v>
      </c>
      <c r="P71" s="5">
        <f>COUNTIF(V$5:V71,"&gt;="&amp;MAX($V:$V)-183)</f>
        <v>0</v>
      </c>
      <c r="Q71" s="5">
        <f>COUNTIF(V$5:V71,"&gt;="&amp;MAX($V:$V)-365)</f>
        <v>0</v>
      </c>
      <c r="R71" s="5" cm="1">
        <f t="array" ref="R71">LOOKUP(2,1/($G$46:$G$50&lt;=$V71)/($H$46:$H$50&gt;=$V71),$F$46:$F$50)</f>
        <v>0</v>
      </c>
      <c r="S71" s="5" cm="1">
        <f t="array" ref="S71">LOOKUP(2,1/($G$53:$G$56&lt;=$V71)/($H$53:$H$56&gt;=$V71),$F$53:$F$56)</f>
        <v>0</v>
      </c>
      <c r="T71" s="5" t="e">
        <f>IFERROR(IF($R71&gt;0,$R71&amp;"-"&amp;COUNTIF($R$5:$R71,$R71),NA()),NA())</f>
        <v>#N/A</v>
      </c>
      <c r="U71" s="5" t="e">
        <f>IFERROR(IF($S71&gt;0,$S71&amp;"-"&amp;COUNTIF($S$5:$S71,$S71),NA()),NA())</f>
        <v>#N/A</v>
      </c>
      <c r="V71" s="10">
        <v>43202</v>
      </c>
      <c r="W71" s="9">
        <v>12839845.696049679</v>
      </c>
      <c r="X71" s="9">
        <v>11928858.643914953</v>
      </c>
      <c r="Y71" s="8">
        <v>3000000</v>
      </c>
      <c r="AI71" s="18">
        <f t="shared" si="184"/>
        <v>25</v>
      </c>
      <c r="AJ71" s="12">
        <f t="shared" si="185"/>
        <v>45456</v>
      </c>
      <c r="AK71" s="11">
        <f t="shared" si="186"/>
        <v>41.109275798191128</v>
      </c>
      <c r="AL71" s="11">
        <f t="shared" si="187"/>
        <v>20</v>
      </c>
      <c r="AN71" s="13"/>
      <c r="AO71" s="13"/>
      <c r="AP71" s="18">
        <f t="shared" si="237"/>
        <v>23</v>
      </c>
      <c r="AQ71" s="12">
        <f t="shared" si="238"/>
        <v>45442</v>
      </c>
      <c r="AR71" s="11">
        <f t="shared" si="239"/>
        <v>21.15536057535142</v>
      </c>
      <c r="AS71" s="11">
        <f t="shared" si="240"/>
        <v>4</v>
      </c>
      <c r="AU71" s="13"/>
      <c r="BI71" s="18">
        <f t="shared" si="188"/>
        <v>25</v>
      </c>
      <c r="BJ71" s="12">
        <f t="shared" si="189"/>
        <v>45274</v>
      </c>
      <c r="BK71" s="11">
        <f t="shared" si="190"/>
        <v>41.358095020159098</v>
      </c>
      <c r="BL71" s="11">
        <f t="shared" si="191"/>
        <v>30</v>
      </c>
      <c r="BN71" s="13"/>
      <c r="BO71" s="13"/>
      <c r="BP71" s="111">
        <v>240</v>
      </c>
      <c r="BQ71" s="39">
        <f t="shared" si="257"/>
        <v>277253999.99999994</v>
      </c>
      <c r="BR71" s="120">
        <f t="shared" si="264"/>
        <v>277.25399999999996</v>
      </c>
      <c r="BS71" s="39"/>
      <c r="BU71" s="13"/>
      <c r="CE71" s="18" t="e">
        <f t="shared" si="193"/>
        <v>#N/A</v>
      </c>
      <c r="CF71" s="12" t="e">
        <f t="shared" si="194"/>
        <v>#N/A</v>
      </c>
      <c r="CG71" s="11" t="e">
        <f t="shared" si="195"/>
        <v>#N/A</v>
      </c>
      <c r="CH71" s="11" t="e">
        <f t="shared" si="196"/>
        <v>#N/A</v>
      </c>
      <c r="CK71" s="13"/>
      <c r="CL71" s="34" t="s">
        <v>21</v>
      </c>
      <c r="CM71" s="33"/>
      <c r="CN71" s="33"/>
      <c r="CO71" s="32"/>
      <c r="CT71" s="18" t="e">
        <f t="shared" si="197"/>
        <v>#N/A</v>
      </c>
      <c r="CU71" s="12" t="e">
        <f t="shared" si="198"/>
        <v>#N/A</v>
      </c>
      <c r="CV71" s="11" t="e">
        <f t="shared" si="199"/>
        <v>#N/A</v>
      </c>
      <c r="CW71" s="11" t="e">
        <f t="shared" si="200"/>
        <v>#N/A</v>
      </c>
      <c r="CY71" s="13"/>
      <c r="DI71" s="18" t="e">
        <f t="shared" si="201"/>
        <v>#N/A</v>
      </c>
      <c r="DJ71" s="12" t="e">
        <f t="shared" si="202"/>
        <v>#N/A</v>
      </c>
      <c r="DK71" s="11" t="e">
        <f t="shared" si="203"/>
        <v>#N/A</v>
      </c>
      <c r="DL71" s="11" t="e">
        <f t="shared" si="204"/>
        <v>#N/A</v>
      </c>
      <c r="DN71" s="13"/>
      <c r="DO71" s="13"/>
      <c r="DX71" s="18" t="e">
        <f t="shared" si="205"/>
        <v>#N/A</v>
      </c>
      <c r="DY71" s="12" t="e">
        <f t="shared" si="206"/>
        <v>#N/A</v>
      </c>
      <c r="DZ71" s="11" t="e">
        <f t="shared" si="207"/>
        <v>#N/A</v>
      </c>
      <c r="EA71" s="11" t="e">
        <f t="shared" si="208"/>
        <v>#N/A</v>
      </c>
      <c r="EC71" s="13"/>
      <c r="ED71" s="13"/>
      <c r="EE71" s="12" t="e">
        <f t="shared" si="241"/>
        <v>#N/A</v>
      </c>
      <c r="EF71" s="12" t="e">
        <f t="shared" si="242"/>
        <v>#N/A</v>
      </c>
      <c r="EG71" s="11" t="e">
        <f t="shared" si="243"/>
        <v>#N/A</v>
      </c>
      <c r="EH71" s="11" t="e">
        <f t="shared" si="244"/>
        <v>#N/A</v>
      </c>
      <c r="EJ71" s="13"/>
      <c r="EK71" s="13"/>
      <c r="ET71" s="12" t="str">
        <f t="shared" si="209"/>
        <v>FY18-25</v>
      </c>
      <c r="EU71" s="12">
        <f t="shared" si="210"/>
        <v>43090</v>
      </c>
      <c r="EV71" s="11">
        <f t="shared" si="211"/>
        <v>23.423034712782471</v>
      </c>
      <c r="EW71" s="11">
        <f t="shared" si="212"/>
        <v>15</v>
      </c>
      <c r="EX71" s="13"/>
      <c r="EY71" s="13"/>
      <c r="EZ71" s="13"/>
      <c r="FI71" s="12" t="str">
        <f t="shared" si="213"/>
        <v>FY19</v>
      </c>
      <c r="FJ71" s="12">
        <f t="shared" si="214"/>
        <v>43454</v>
      </c>
      <c r="FK71" s="11">
        <f t="shared" si="215"/>
        <v>32.972327018436104</v>
      </c>
      <c r="FL71" s="11">
        <f t="shared" si="216"/>
        <v>25</v>
      </c>
      <c r="FN71" s="13"/>
      <c r="FO71" s="13"/>
      <c r="FP71" s="12" t="str">
        <f t="shared" si="245"/>
        <v>FY19</v>
      </c>
      <c r="FQ71" s="12">
        <f t="shared" si="246"/>
        <v>43440</v>
      </c>
      <c r="FR71" s="11">
        <f t="shared" si="247"/>
        <v>24.628368722186906</v>
      </c>
      <c r="FS71" s="11">
        <f t="shared" si="248"/>
        <v>12</v>
      </c>
      <c r="FU71" s="13"/>
      <c r="FV71" s="13"/>
      <c r="FX71" s="16"/>
      <c r="FY71" s="15"/>
      <c r="GF71" s="12" t="str">
        <f t="shared" si="217"/>
        <v>FY20</v>
      </c>
      <c r="GG71" s="12">
        <f t="shared" si="218"/>
        <v>43818</v>
      </c>
      <c r="GH71" s="11">
        <f t="shared" si="219"/>
        <v>25.742781855312831</v>
      </c>
      <c r="GI71" s="11">
        <f t="shared" si="220"/>
        <v>15</v>
      </c>
      <c r="GK71" s="13"/>
      <c r="GL71" s="13"/>
      <c r="GM71" s="12" t="str">
        <f t="shared" si="249"/>
        <v>FY20</v>
      </c>
      <c r="GN71" s="12">
        <f t="shared" si="250"/>
        <v>43804</v>
      </c>
      <c r="GO71" s="11">
        <f t="shared" si="251"/>
        <v>20.501358252367101</v>
      </c>
      <c r="GP71" s="11">
        <f t="shared" si="252"/>
        <v>8</v>
      </c>
      <c r="GR71" s="13"/>
      <c r="GS71" s="13"/>
      <c r="GU71" s="16"/>
      <c r="GV71" s="14"/>
      <c r="GW71" s="15"/>
      <c r="HB71" s="12" t="str">
        <f t="shared" si="221"/>
        <v>FY21</v>
      </c>
      <c r="HC71" s="12">
        <f t="shared" si="222"/>
        <v>44182</v>
      </c>
      <c r="HD71" s="11">
        <f t="shared" si="223"/>
        <v>40.397165825478872</v>
      </c>
      <c r="HE71" s="11">
        <f t="shared" si="224"/>
        <v>20</v>
      </c>
      <c r="HG71" s="13"/>
      <c r="HH71" s="13"/>
      <c r="HJ71" s="16"/>
      <c r="HK71" s="15"/>
      <c r="HL71" s="14"/>
      <c r="HQ71" s="12" t="str">
        <f t="shared" si="225"/>
        <v>FY22</v>
      </c>
      <c r="HR71" s="12">
        <f t="shared" si="226"/>
        <v>44546</v>
      </c>
      <c r="HS71" s="11">
        <f t="shared" si="227"/>
        <v>26.709691456369718</v>
      </c>
      <c r="HT71" s="11">
        <f t="shared" si="228"/>
        <v>8</v>
      </c>
      <c r="HV71" s="13"/>
      <c r="HW71" s="13"/>
      <c r="HX71" s="12" t="str">
        <f t="shared" si="253"/>
        <v>FY22</v>
      </c>
      <c r="HY71" s="12">
        <f t="shared" si="254"/>
        <v>44532</v>
      </c>
      <c r="HZ71" s="11">
        <f t="shared" si="255"/>
        <v>109.81424530252357</v>
      </c>
      <c r="IA71" s="11">
        <f t="shared" si="256"/>
        <v>80</v>
      </c>
      <c r="IC71" s="13"/>
      <c r="ID71" s="13"/>
      <c r="IM71" s="12" t="str">
        <f t="shared" si="271"/>
        <v>FY23</v>
      </c>
      <c r="IN71" s="12">
        <f t="shared" si="272"/>
        <v>44777</v>
      </c>
      <c r="IO71" s="11">
        <f t="shared" si="273"/>
        <v>24.328928428093644</v>
      </c>
      <c r="IP71" s="11">
        <f t="shared" si="274"/>
        <v>8</v>
      </c>
      <c r="IR71" s="13"/>
      <c r="IS71" s="13"/>
      <c r="IT71" s="40">
        <v>70</v>
      </c>
      <c r="IU71" s="39">
        <f t="shared" si="279"/>
        <v>115586999.99999999</v>
      </c>
      <c r="IV71" s="40">
        <v>220</v>
      </c>
      <c r="IW71" s="39">
        <f t="shared" si="280"/>
        <v>295737000</v>
      </c>
      <c r="IY71" s="13"/>
      <c r="IZ71" s="13"/>
      <c r="JI71" s="12" t="str">
        <f t="shared" si="275"/>
        <v>FY24</v>
      </c>
      <c r="JJ71" s="12">
        <f t="shared" si="276"/>
        <v>45141</v>
      </c>
      <c r="JK71" s="11">
        <f t="shared" si="277"/>
        <v>156.82348817696416</v>
      </c>
      <c r="JL71" s="11">
        <f t="shared" si="278"/>
        <v>100</v>
      </c>
      <c r="JN71" s="13"/>
      <c r="JO71" s="13"/>
      <c r="JP71" s="40">
        <v>110</v>
      </c>
      <c r="JQ71" s="39">
        <f t="shared" si="269"/>
        <v>195747000</v>
      </c>
      <c r="JR71" s="40">
        <v>260</v>
      </c>
      <c r="JS71" s="39">
        <f t="shared" si="270"/>
        <v>219897000.00000012</v>
      </c>
      <c r="JU71" s="13"/>
      <c r="JV71" s="13"/>
      <c r="NG71" s="12" t="str">
        <f t="shared" si="229"/>
        <v>FY18</v>
      </c>
      <c r="NH71" s="12">
        <f t="shared" si="230"/>
        <v>43006</v>
      </c>
      <c r="NI71" s="11">
        <f t="shared" si="231"/>
        <v>14.26689</v>
      </c>
      <c r="NJ71" s="11">
        <f t="shared" si="232"/>
        <v>3</v>
      </c>
      <c r="NL71" s="13"/>
      <c r="NV71" s="12" t="str">
        <f t="shared" si="233"/>
        <v>FY19</v>
      </c>
      <c r="NW71" s="12">
        <f t="shared" si="234"/>
        <v>43377</v>
      </c>
      <c r="NX71" s="11">
        <f t="shared" si="235"/>
        <v>18.459935999999999</v>
      </c>
      <c r="NY71" s="11">
        <f t="shared" si="236"/>
        <v>8</v>
      </c>
      <c r="OA71" s="13"/>
      <c r="OB71" s="1"/>
    </row>
    <row r="72" spans="6:392" x14ac:dyDescent="0.2">
      <c r="F72" s="5"/>
      <c r="G72" s="5"/>
      <c r="H72" s="5"/>
      <c r="I72" s="5"/>
      <c r="M72" s="5" t="str" cm="1">
        <f t="array" ref="M72">LOOKUP(2,1/($G$19:$G$35&lt;=$V72)/($H$19:$H$35&gt;=$V72),$F$19:$F$35)</f>
        <v>2H18</v>
      </c>
      <c r="N72" s="5" t="str" cm="1">
        <f t="array" ref="N72">LOOKUP(2,1/($G$8:$G$16&lt;=$V72)/($H$8:$H$16&gt;=$V72),$F$8:$F$16)</f>
        <v>FY18</v>
      </c>
      <c r="O72" s="5" t="str">
        <f>IFERROR(N72&amp;"-"&amp;COUNTIF($N$5:N72,N72),NA())</f>
        <v>FY18-42</v>
      </c>
      <c r="P72" s="5">
        <f>COUNTIF(V$5:V72,"&gt;="&amp;MAX($V:$V)-183)</f>
        <v>0</v>
      </c>
      <c r="Q72" s="5">
        <f>COUNTIF(V$5:V72,"&gt;="&amp;MAX($V:$V)-365)</f>
        <v>0</v>
      </c>
      <c r="R72" s="5" cm="1">
        <f t="array" ref="R72">LOOKUP(2,1/($G$46:$G$50&lt;=$V72)/($H$46:$H$50&gt;=$V72),$F$46:$F$50)</f>
        <v>0</v>
      </c>
      <c r="S72" s="5" cm="1">
        <f t="array" ref="S72">LOOKUP(2,1/($G$53:$G$56&lt;=$V72)/($H$53:$H$56&gt;=$V72),$F$53:$F$56)</f>
        <v>0</v>
      </c>
      <c r="T72" s="5" t="e">
        <f>IFERROR(IF($R72&gt;0,$R72&amp;"-"&amp;COUNTIF($R$5:$R72,$R72),NA()),NA())</f>
        <v>#N/A</v>
      </c>
      <c r="U72" s="5" t="e">
        <f>IFERROR(IF($S72&gt;0,$S72&amp;"-"&amp;COUNTIF($S$5:$S72,$S72),NA()),NA())</f>
        <v>#N/A</v>
      </c>
      <c r="V72" s="10">
        <v>43209</v>
      </c>
      <c r="W72" s="9">
        <v>17183138.970120784</v>
      </c>
      <c r="X72" s="9">
        <v>20659287.983776219</v>
      </c>
      <c r="Y72" s="8">
        <v>8000000</v>
      </c>
      <c r="AI72" s="18">
        <f t="shared" si="184"/>
        <v>26</v>
      </c>
      <c r="AJ72" s="12">
        <f t="shared" si="185"/>
        <v>45463</v>
      </c>
      <c r="AK72" s="11">
        <f t="shared" si="186"/>
        <v>55.0771206276561</v>
      </c>
      <c r="AL72" s="11">
        <f t="shared" si="187"/>
        <v>40</v>
      </c>
      <c r="AN72" s="13"/>
      <c r="AO72" s="13"/>
      <c r="AP72" s="18">
        <f t="shared" si="237"/>
        <v>24</v>
      </c>
      <c r="AQ72" s="12">
        <f t="shared" si="238"/>
        <v>45449</v>
      </c>
      <c r="AR72" s="11">
        <f t="shared" si="239"/>
        <v>32.64936362645745</v>
      </c>
      <c r="AS72" s="11">
        <f t="shared" si="240"/>
        <v>12</v>
      </c>
      <c r="AU72" s="13"/>
      <c r="BI72" s="18">
        <f t="shared" si="188"/>
        <v>26</v>
      </c>
      <c r="BJ72" s="12">
        <f t="shared" si="189"/>
        <v>45281</v>
      </c>
      <c r="BK72" s="11">
        <f t="shared" si="190"/>
        <v>23.530717990628748</v>
      </c>
      <c r="BL72" s="11">
        <f t="shared" si="191"/>
        <v>8</v>
      </c>
      <c r="BN72" s="13"/>
      <c r="BO72" s="13"/>
      <c r="BP72" s="111">
        <v>250</v>
      </c>
      <c r="BQ72" s="39">
        <f t="shared" si="257"/>
        <v>288116000</v>
      </c>
      <c r="BR72" s="120">
        <f t="shared" si="264"/>
        <v>288.11599999999999</v>
      </c>
      <c r="BS72" s="39"/>
      <c r="BU72" s="13"/>
      <c r="CE72" s="18" t="e">
        <f t="shared" si="193"/>
        <v>#N/A</v>
      </c>
      <c r="CF72" s="12" t="e">
        <f t="shared" si="194"/>
        <v>#N/A</v>
      </c>
      <c r="CG72" s="11" t="e">
        <f t="shared" si="195"/>
        <v>#N/A</v>
      </c>
      <c r="CH72" s="11" t="e">
        <f t="shared" si="196"/>
        <v>#N/A</v>
      </c>
      <c r="CK72" s="13"/>
      <c r="CL72" s="26"/>
      <c r="CM72" s="25" t="s">
        <v>16</v>
      </c>
      <c r="CN72" s="25" t="s">
        <v>15</v>
      </c>
      <c r="CO72" s="24"/>
      <c r="CT72" s="18" t="e">
        <f t="shared" si="197"/>
        <v>#N/A</v>
      </c>
      <c r="CU72" s="12" t="e">
        <f t="shared" si="198"/>
        <v>#N/A</v>
      </c>
      <c r="CV72" s="11" t="e">
        <f t="shared" si="199"/>
        <v>#N/A</v>
      </c>
      <c r="CW72" s="11" t="e">
        <f t="shared" si="200"/>
        <v>#N/A</v>
      </c>
      <c r="CY72" s="13"/>
      <c r="DI72" s="18" t="e">
        <f t="shared" si="201"/>
        <v>#N/A</v>
      </c>
      <c r="DJ72" s="12" t="e">
        <f t="shared" si="202"/>
        <v>#N/A</v>
      </c>
      <c r="DK72" s="11" t="e">
        <f t="shared" si="203"/>
        <v>#N/A</v>
      </c>
      <c r="DL72" s="11" t="e">
        <f t="shared" si="204"/>
        <v>#N/A</v>
      </c>
      <c r="DN72" s="13"/>
      <c r="DO72" s="13"/>
      <c r="DX72" s="18" t="e">
        <f t="shared" si="205"/>
        <v>#N/A</v>
      </c>
      <c r="DY72" s="12" t="e">
        <f t="shared" si="206"/>
        <v>#N/A</v>
      </c>
      <c r="DZ72" s="11" t="e">
        <f t="shared" si="207"/>
        <v>#N/A</v>
      </c>
      <c r="EA72" s="11" t="e">
        <f t="shared" si="208"/>
        <v>#N/A</v>
      </c>
      <c r="EC72" s="13"/>
      <c r="ED72" s="13"/>
      <c r="EE72" s="12" t="e">
        <f t="shared" si="241"/>
        <v>#N/A</v>
      </c>
      <c r="EF72" s="12" t="e">
        <f t="shared" si="242"/>
        <v>#N/A</v>
      </c>
      <c r="EG72" s="11" t="e">
        <f t="shared" si="243"/>
        <v>#N/A</v>
      </c>
      <c r="EH72" s="11" t="e">
        <f t="shared" si="244"/>
        <v>#N/A</v>
      </c>
      <c r="EJ72" s="13"/>
      <c r="EK72" s="13"/>
      <c r="ET72" s="12" t="str">
        <f t="shared" si="209"/>
        <v>FY18-26</v>
      </c>
      <c r="EU72" s="12">
        <f t="shared" si="210"/>
        <v>43097</v>
      </c>
      <c r="EV72" s="11">
        <f t="shared" si="211"/>
        <v>27.652624450577882</v>
      </c>
      <c r="EW72" s="11">
        <f t="shared" si="212"/>
        <v>25</v>
      </c>
      <c r="EX72" s="13"/>
      <c r="EY72" s="13"/>
      <c r="EZ72" s="13"/>
      <c r="FI72" s="12" t="str">
        <f t="shared" si="213"/>
        <v>FY19</v>
      </c>
      <c r="FJ72" s="12">
        <f t="shared" si="214"/>
        <v>43461</v>
      </c>
      <c r="FK72" s="11">
        <f t="shared" si="215"/>
        <v>36.354827972027962</v>
      </c>
      <c r="FL72" s="11">
        <f t="shared" si="216"/>
        <v>30</v>
      </c>
      <c r="FN72" s="13"/>
      <c r="FO72" s="13"/>
      <c r="FP72" s="12" t="str">
        <f t="shared" si="245"/>
        <v>FY19</v>
      </c>
      <c r="FQ72" s="12">
        <f t="shared" si="246"/>
        <v>43447</v>
      </c>
      <c r="FR72" s="11">
        <f t="shared" si="247"/>
        <v>30.784708455181175</v>
      </c>
      <c r="FS72" s="11">
        <f t="shared" si="248"/>
        <v>20</v>
      </c>
      <c r="FU72" s="13"/>
      <c r="FV72" s="13"/>
      <c r="FX72" s="16"/>
      <c r="FY72" s="15"/>
      <c r="GF72" s="12" t="str">
        <f t="shared" si="217"/>
        <v>FY20</v>
      </c>
      <c r="GG72" s="12">
        <f t="shared" si="218"/>
        <v>43825</v>
      </c>
      <c r="GH72" s="11">
        <f t="shared" si="219"/>
        <v>25.073378303112815</v>
      </c>
      <c r="GI72" s="11">
        <f t="shared" si="220"/>
        <v>20</v>
      </c>
      <c r="GK72" s="13"/>
      <c r="GL72" s="13"/>
      <c r="GM72" s="12" t="str">
        <f t="shared" si="249"/>
        <v>FY20</v>
      </c>
      <c r="GN72" s="12">
        <f t="shared" si="250"/>
        <v>43811</v>
      </c>
      <c r="GO72" s="11">
        <f t="shared" si="251"/>
        <v>25.306949439940592</v>
      </c>
      <c r="GP72" s="11">
        <f t="shared" si="252"/>
        <v>12</v>
      </c>
      <c r="GR72" s="13"/>
      <c r="GS72" s="13"/>
      <c r="GU72" s="16"/>
      <c r="GV72" s="14"/>
      <c r="GW72" s="15"/>
      <c r="HB72" s="12" t="str">
        <f t="shared" si="221"/>
        <v>FY21</v>
      </c>
      <c r="HC72" s="12">
        <f t="shared" si="222"/>
        <v>44189</v>
      </c>
      <c r="HD72" s="11">
        <f t="shared" si="223"/>
        <v>19.022130495591366</v>
      </c>
      <c r="HE72" s="11">
        <f t="shared" si="224"/>
        <v>3</v>
      </c>
      <c r="HG72" s="13"/>
      <c r="HH72" s="13"/>
      <c r="HJ72" s="16"/>
      <c r="HK72" s="15"/>
      <c r="HL72" s="14"/>
      <c r="HQ72" s="12" t="str">
        <f t="shared" si="225"/>
        <v>FY22</v>
      </c>
      <c r="HR72" s="12">
        <f t="shared" si="226"/>
        <v>44553</v>
      </c>
      <c r="HS72" s="11">
        <f t="shared" si="227"/>
        <v>40.654796959562177</v>
      </c>
      <c r="HT72" s="11">
        <f t="shared" si="228"/>
        <v>20</v>
      </c>
      <c r="HV72" s="13"/>
      <c r="HW72" s="13"/>
      <c r="HX72" s="12" t="str">
        <f t="shared" si="253"/>
        <v>FY22</v>
      </c>
      <c r="HY72" s="12">
        <f t="shared" si="254"/>
        <v>44539</v>
      </c>
      <c r="HZ72" s="11">
        <f t="shared" si="255"/>
        <v>18.912447065977499</v>
      </c>
      <c r="IA72" s="11">
        <f t="shared" si="256"/>
        <v>3</v>
      </c>
      <c r="IC72" s="13"/>
      <c r="ID72" s="13"/>
      <c r="IM72" s="12" t="str">
        <f t="shared" si="271"/>
        <v>FY23</v>
      </c>
      <c r="IN72" s="12">
        <f t="shared" si="272"/>
        <v>44784</v>
      </c>
      <c r="IO72" s="11">
        <f t="shared" si="273"/>
        <v>39.456376284584977</v>
      </c>
      <c r="IP72" s="11">
        <f t="shared" si="274"/>
        <v>20</v>
      </c>
      <c r="IR72" s="13"/>
      <c r="IS72" s="13"/>
      <c r="IT72" s="40">
        <v>80</v>
      </c>
      <c r="IU72" s="39">
        <f t="shared" si="279"/>
        <v>135297000</v>
      </c>
      <c r="IV72" s="40">
        <v>230</v>
      </c>
      <c r="IW72" s="39">
        <f t="shared" si="280"/>
        <v>284546999.99999994</v>
      </c>
      <c r="IY72" s="13"/>
      <c r="IZ72" s="13"/>
      <c r="JI72" s="12" t="str">
        <f t="shared" si="275"/>
        <v>FY24</v>
      </c>
      <c r="JJ72" s="12">
        <f t="shared" si="276"/>
        <v>45148</v>
      </c>
      <c r="JK72" s="11">
        <f t="shared" si="277"/>
        <v>20.677774436090228</v>
      </c>
      <c r="JL72" s="11">
        <f t="shared" si="278"/>
        <v>4</v>
      </c>
      <c r="JN72" s="13"/>
      <c r="JO72" s="13"/>
      <c r="JP72" s="40">
        <v>120</v>
      </c>
      <c r="JQ72" s="39">
        <f t="shared" si="269"/>
        <v>215136999.99999997</v>
      </c>
      <c r="JR72" s="40">
        <v>270</v>
      </c>
      <c r="JS72" s="39">
        <f t="shared" si="270"/>
        <v>186787000.00000003</v>
      </c>
      <c r="JU72" s="13"/>
      <c r="JV72" s="13"/>
      <c r="NG72" s="12" t="str">
        <f t="shared" si="229"/>
        <v>FY18</v>
      </c>
      <c r="NH72" s="12">
        <f t="shared" si="230"/>
        <v>43013</v>
      </c>
      <c r="NI72" s="11">
        <f t="shared" si="231"/>
        <v>17.496269999999999</v>
      </c>
      <c r="NJ72" s="11">
        <f t="shared" si="232"/>
        <v>6</v>
      </c>
      <c r="NL72" s="13"/>
      <c r="NV72" s="12" t="str">
        <f t="shared" si="233"/>
        <v>FY19</v>
      </c>
      <c r="NW72" s="12">
        <f t="shared" si="234"/>
        <v>43384</v>
      </c>
      <c r="NX72" s="11">
        <f t="shared" si="235"/>
        <v>24.480720000000002</v>
      </c>
      <c r="NY72" s="11">
        <f t="shared" si="236"/>
        <v>12</v>
      </c>
      <c r="OA72" s="13"/>
      <c r="OB72" s="1"/>
    </row>
    <row r="73" spans="6:392" x14ac:dyDescent="0.2">
      <c r="F73" s="5"/>
      <c r="G73" s="5"/>
      <c r="H73" s="5"/>
      <c r="I73" s="5"/>
      <c r="M73" s="5" t="str" cm="1">
        <f t="array" ref="M73">LOOKUP(2,1/($G$19:$G$35&lt;=$V73)/($H$19:$H$35&gt;=$V73),$F$19:$F$35)</f>
        <v>2H18</v>
      </c>
      <c r="N73" s="5" t="str" cm="1">
        <f t="array" ref="N73">LOOKUP(2,1/($G$8:$G$16&lt;=$V73)/($H$8:$H$16&gt;=$V73),$F$8:$F$16)</f>
        <v>FY18</v>
      </c>
      <c r="O73" s="5" t="str">
        <f>IFERROR(N73&amp;"-"&amp;COUNTIF($N$5:N73,N73),NA())</f>
        <v>FY18-43</v>
      </c>
      <c r="P73" s="5">
        <f>COUNTIF(V$5:V73,"&gt;="&amp;MAX($V:$V)-183)</f>
        <v>0</v>
      </c>
      <c r="Q73" s="5">
        <f>COUNTIF(V$5:V73,"&gt;="&amp;MAX($V:$V)-365)</f>
        <v>0</v>
      </c>
      <c r="R73" s="5" cm="1">
        <f t="array" ref="R73">LOOKUP(2,1/($G$46:$G$50&lt;=$V73)/($H$46:$H$50&gt;=$V73),$F$46:$F$50)</f>
        <v>0</v>
      </c>
      <c r="S73" s="5" cm="1">
        <f t="array" ref="S73">LOOKUP(2,1/($G$53:$G$56&lt;=$V73)/($H$53:$H$56&gt;=$V73),$F$53:$F$56)</f>
        <v>0</v>
      </c>
      <c r="T73" s="5" t="e">
        <f>IFERROR(IF($R73&gt;0,$R73&amp;"-"&amp;COUNTIF($R$5:$R73,$R73),NA()),NA())</f>
        <v>#N/A</v>
      </c>
      <c r="U73" s="5" t="e">
        <f>IFERROR(IF($S73&gt;0,$S73&amp;"-"&amp;COUNTIF($S$5:$S73,$S73),NA()),NA())</f>
        <v>#N/A</v>
      </c>
      <c r="V73" s="10">
        <v>43216</v>
      </c>
      <c r="W73" s="9">
        <v>11440443.356643355</v>
      </c>
      <c r="X73" s="9">
        <v>13754845.047692306</v>
      </c>
      <c r="Y73" s="8">
        <v>3000000</v>
      </c>
      <c r="AI73" s="18">
        <f t="shared" si="184"/>
        <v>27</v>
      </c>
      <c r="AJ73" s="12">
        <f t="shared" si="185"/>
        <v>45470</v>
      </c>
      <c r="AK73" s="11">
        <f t="shared" si="186"/>
        <v>19.509070393374742</v>
      </c>
      <c r="AL73" s="11">
        <f t="shared" si="187"/>
        <v>4</v>
      </c>
      <c r="AN73" s="13"/>
      <c r="AO73" s="13"/>
      <c r="AP73" s="18">
        <f t="shared" si="237"/>
        <v>25</v>
      </c>
      <c r="AQ73" s="12">
        <f t="shared" si="238"/>
        <v>45456</v>
      </c>
      <c r="AR73" s="11">
        <f t="shared" si="239"/>
        <v>41.109275798191128</v>
      </c>
      <c r="AS73" s="11">
        <f t="shared" si="240"/>
        <v>20</v>
      </c>
      <c r="AU73" s="13"/>
      <c r="BI73" s="18">
        <f t="shared" si="188"/>
        <v>27</v>
      </c>
      <c r="BJ73" s="12">
        <f t="shared" si="189"/>
        <v>45288</v>
      </c>
      <c r="BK73" s="11">
        <f t="shared" si="190"/>
        <v>34.197531001416586</v>
      </c>
      <c r="BL73" s="11">
        <f t="shared" si="191"/>
        <v>20</v>
      </c>
      <c r="BN73" s="13"/>
      <c r="BO73" s="13"/>
      <c r="BP73" s="111">
        <v>300</v>
      </c>
      <c r="BQ73" s="39">
        <f t="shared" si="257"/>
        <v>342426000</v>
      </c>
      <c r="BR73" s="120">
        <f t="shared" si="264"/>
        <v>342.42599999999999</v>
      </c>
      <c r="BS73" s="39"/>
      <c r="BU73" s="13"/>
      <c r="CE73" s="18" t="e">
        <f t="shared" si="193"/>
        <v>#N/A</v>
      </c>
      <c r="CF73" s="12" t="e">
        <f t="shared" si="194"/>
        <v>#N/A</v>
      </c>
      <c r="CG73" s="11" t="e">
        <f t="shared" si="195"/>
        <v>#N/A</v>
      </c>
      <c r="CH73" s="11" t="e">
        <f t="shared" si="196"/>
        <v>#N/A</v>
      </c>
      <c r="CK73" s="13"/>
      <c r="CL73" s="23" t="s">
        <v>20</v>
      </c>
      <c r="CM73" s="31">
        <v>44707</v>
      </c>
      <c r="CN73" s="31">
        <v>44819</v>
      </c>
      <c r="CO73" s="30"/>
      <c r="CT73" s="18" t="e">
        <f t="shared" si="197"/>
        <v>#N/A</v>
      </c>
      <c r="CU73" s="12" t="e">
        <f t="shared" si="198"/>
        <v>#N/A</v>
      </c>
      <c r="CV73" s="11" t="e">
        <f t="shared" si="199"/>
        <v>#N/A</v>
      </c>
      <c r="CW73" s="11" t="e">
        <f t="shared" si="200"/>
        <v>#N/A</v>
      </c>
      <c r="CY73" s="13"/>
      <c r="DI73" s="18" t="e">
        <f t="shared" si="201"/>
        <v>#N/A</v>
      </c>
      <c r="DJ73" s="12" t="e">
        <f t="shared" si="202"/>
        <v>#N/A</v>
      </c>
      <c r="DK73" s="11" t="e">
        <f t="shared" si="203"/>
        <v>#N/A</v>
      </c>
      <c r="DL73" s="11" t="e">
        <f t="shared" si="204"/>
        <v>#N/A</v>
      </c>
      <c r="DN73" s="13"/>
      <c r="DO73" s="13"/>
      <c r="DX73" s="18" t="e">
        <f t="shared" si="205"/>
        <v>#N/A</v>
      </c>
      <c r="DY73" s="12" t="e">
        <f t="shared" si="206"/>
        <v>#N/A</v>
      </c>
      <c r="DZ73" s="11" t="e">
        <f t="shared" si="207"/>
        <v>#N/A</v>
      </c>
      <c r="EA73" s="11" t="e">
        <f t="shared" si="208"/>
        <v>#N/A</v>
      </c>
      <c r="EC73" s="13"/>
      <c r="ED73" s="13"/>
      <c r="EE73" s="12" t="e">
        <f t="shared" si="241"/>
        <v>#N/A</v>
      </c>
      <c r="EF73" s="12" t="e">
        <f t="shared" si="242"/>
        <v>#N/A</v>
      </c>
      <c r="EG73" s="11" t="e">
        <f t="shared" si="243"/>
        <v>#N/A</v>
      </c>
      <c r="EH73" s="11" t="e">
        <f t="shared" si="244"/>
        <v>#N/A</v>
      </c>
      <c r="EJ73" s="13"/>
      <c r="EK73" s="13"/>
      <c r="ET73" s="12" t="str">
        <f t="shared" si="209"/>
        <v>FY18-27</v>
      </c>
      <c r="EU73" s="12">
        <f t="shared" si="210"/>
        <v>43104</v>
      </c>
      <c r="EV73" s="11">
        <f t="shared" si="211"/>
        <v>46.986662149387612</v>
      </c>
      <c r="EW73" s="11">
        <f t="shared" si="212"/>
        <v>35</v>
      </c>
      <c r="EX73" s="13"/>
      <c r="EY73" s="13"/>
      <c r="EZ73" s="13"/>
      <c r="FI73" s="12" t="str">
        <f t="shared" si="213"/>
        <v>FY19</v>
      </c>
      <c r="FJ73" s="12">
        <f t="shared" si="214"/>
        <v>43468</v>
      </c>
      <c r="FK73" s="11">
        <f t="shared" si="215"/>
        <v>63.766761602034322</v>
      </c>
      <c r="FL73" s="11">
        <f t="shared" si="216"/>
        <v>50</v>
      </c>
      <c r="FN73" s="13"/>
      <c r="FO73" s="13"/>
      <c r="FP73" s="12" t="str">
        <f t="shared" si="245"/>
        <v>FY19</v>
      </c>
      <c r="FQ73" s="12">
        <f t="shared" si="246"/>
        <v>43454</v>
      </c>
      <c r="FR73" s="11">
        <f t="shared" si="247"/>
        <v>32.972327018436104</v>
      </c>
      <c r="FS73" s="11">
        <f t="shared" si="248"/>
        <v>25</v>
      </c>
      <c r="FU73" s="13"/>
      <c r="FV73" s="13"/>
      <c r="FX73" s="16"/>
      <c r="FY73" s="15"/>
      <c r="GF73" s="12" t="str">
        <f t="shared" si="217"/>
        <v>FY20</v>
      </c>
      <c r="GG73" s="12">
        <f t="shared" si="218"/>
        <v>43832</v>
      </c>
      <c r="GH73" s="11">
        <f t="shared" si="219"/>
        <v>14.302579986385295</v>
      </c>
      <c r="GI73" s="11">
        <f t="shared" si="220"/>
        <v>3</v>
      </c>
      <c r="GK73" s="13"/>
      <c r="GL73" s="13"/>
      <c r="GM73" s="12" t="str">
        <f t="shared" si="249"/>
        <v>FY20</v>
      </c>
      <c r="GN73" s="12">
        <f t="shared" si="250"/>
        <v>43818</v>
      </c>
      <c r="GO73" s="11">
        <f t="shared" si="251"/>
        <v>25.742781855312831</v>
      </c>
      <c r="GP73" s="11">
        <f t="shared" si="252"/>
        <v>15</v>
      </c>
      <c r="GR73" s="13"/>
      <c r="GS73" s="13"/>
      <c r="GU73" s="16"/>
      <c r="GV73" s="14"/>
      <c r="GW73" s="15"/>
      <c r="HB73" s="12" t="str">
        <f t="shared" si="221"/>
        <v>FY21</v>
      </c>
      <c r="HC73" s="12">
        <f t="shared" si="222"/>
        <v>44196</v>
      </c>
      <c r="HD73" s="11">
        <f t="shared" si="223"/>
        <v>25.387217756156883</v>
      </c>
      <c r="HE73" s="11">
        <f t="shared" si="224"/>
        <v>8</v>
      </c>
      <c r="HG73" s="13"/>
      <c r="HH73" s="13"/>
      <c r="HJ73" s="16"/>
      <c r="HK73" s="15"/>
      <c r="HL73" s="14"/>
      <c r="HQ73" s="12" t="str">
        <f t="shared" si="225"/>
        <v>FY22</v>
      </c>
      <c r="HR73" s="12">
        <f t="shared" si="226"/>
        <v>44560</v>
      </c>
      <c r="HS73" s="11">
        <f t="shared" si="227"/>
        <v>45.526023472179993</v>
      </c>
      <c r="HT73" s="11">
        <f t="shared" si="228"/>
        <v>30</v>
      </c>
      <c r="HV73" s="13"/>
      <c r="HW73" s="13"/>
      <c r="HX73" s="12" t="str">
        <f t="shared" si="253"/>
        <v>FY22</v>
      </c>
      <c r="HY73" s="12">
        <f t="shared" si="254"/>
        <v>44546</v>
      </c>
      <c r="HZ73" s="11">
        <f t="shared" si="255"/>
        <v>26.709691456369718</v>
      </c>
      <c r="IA73" s="11">
        <f t="shared" si="256"/>
        <v>8</v>
      </c>
      <c r="IC73" s="13"/>
      <c r="ID73" s="13"/>
      <c r="IM73" s="12" t="str">
        <f t="shared" si="271"/>
        <v>FY23</v>
      </c>
      <c r="IN73" s="12">
        <f t="shared" si="272"/>
        <v>44791</v>
      </c>
      <c r="IO73" s="11">
        <f t="shared" si="273"/>
        <v>20.023645363332321</v>
      </c>
      <c r="IP73" s="11">
        <f t="shared" si="274"/>
        <v>4</v>
      </c>
      <c r="IR73" s="13"/>
      <c r="IS73" s="13"/>
      <c r="IT73" s="40">
        <v>90</v>
      </c>
      <c r="IU73" s="39">
        <f t="shared" si="279"/>
        <v>155466999.99999997</v>
      </c>
      <c r="IV73" s="40">
        <v>240</v>
      </c>
      <c r="IW73" s="39">
        <f t="shared" si="280"/>
        <v>268416999.99999991</v>
      </c>
      <c r="IY73" s="13"/>
      <c r="IZ73" s="13"/>
      <c r="JI73" s="12" t="str">
        <f t="shared" si="275"/>
        <v>FY24</v>
      </c>
      <c r="JJ73" s="12">
        <f t="shared" si="276"/>
        <v>45155</v>
      </c>
      <c r="JK73" s="11">
        <f t="shared" si="277"/>
        <v>30.840203334423013</v>
      </c>
      <c r="JL73" s="11">
        <f t="shared" si="278"/>
        <v>12</v>
      </c>
      <c r="JN73" s="13"/>
      <c r="JO73" s="13"/>
      <c r="JP73" s="40">
        <v>130</v>
      </c>
      <c r="JQ73" s="39">
        <f t="shared" si="269"/>
        <v>233547000.00000003</v>
      </c>
      <c r="JR73" s="40">
        <v>280</v>
      </c>
      <c r="JS73" s="39">
        <f t="shared" si="270"/>
        <v>147296999.99999985</v>
      </c>
      <c r="JU73" s="13"/>
      <c r="JV73" s="13"/>
      <c r="NG73" s="12" t="str">
        <f t="shared" si="229"/>
        <v>FY18</v>
      </c>
      <c r="NH73" s="12">
        <f t="shared" si="230"/>
        <v>43020</v>
      </c>
      <c r="NI73" s="11">
        <f t="shared" si="231"/>
        <v>25.258199999999999</v>
      </c>
      <c r="NJ73" s="11">
        <f t="shared" si="232"/>
        <v>10</v>
      </c>
      <c r="NL73" s="13"/>
      <c r="NV73" s="12" t="str">
        <f t="shared" si="233"/>
        <v>FY19</v>
      </c>
      <c r="NW73" s="12">
        <f t="shared" si="234"/>
        <v>43391</v>
      </c>
      <c r="NX73" s="11">
        <f t="shared" si="235"/>
        <v>29.189556</v>
      </c>
      <c r="NY73" s="11">
        <f t="shared" si="236"/>
        <v>20</v>
      </c>
      <c r="OA73" s="13"/>
      <c r="OB73" s="1"/>
    </row>
    <row r="74" spans="6:392" x14ac:dyDescent="0.2">
      <c r="F74" s="5"/>
      <c r="G74" s="5"/>
      <c r="H74" s="5"/>
      <c r="I74" s="5"/>
      <c r="M74" s="5" t="str" cm="1">
        <f t="array" ref="M74">LOOKUP(2,1/($G$19:$G$35&lt;=$V74)/($H$19:$H$35&gt;=$V74),$F$19:$F$35)</f>
        <v>2H18</v>
      </c>
      <c r="N74" s="5" t="str" cm="1">
        <f t="array" ref="N74">LOOKUP(2,1/($G$8:$G$16&lt;=$V74)/($H$8:$H$16&gt;=$V74),$F$8:$F$16)</f>
        <v>FY18</v>
      </c>
      <c r="O74" s="5" t="str">
        <f>IFERROR(N74&amp;"-"&amp;COUNTIF($N$5:N74,N74),NA())</f>
        <v>FY18-44</v>
      </c>
      <c r="P74" s="5">
        <f>COUNTIF(V$5:V74,"&gt;="&amp;MAX($V:$V)-183)</f>
        <v>0</v>
      </c>
      <c r="Q74" s="5">
        <f>COUNTIF(V$5:V74,"&gt;="&amp;MAX($V:$V)-365)</f>
        <v>0</v>
      </c>
      <c r="R74" s="5" cm="1">
        <f t="array" ref="R74">LOOKUP(2,1/($G$46:$G$50&lt;=$V74)/($H$46:$H$50&gt;=$V74),$F$46:$F$50)</f>
        <v>0</v>
      </c>
      <c r="S74" s="5" cm="1">
        <f t="array" ref="S74">LOOKUP(2,1/($G$53:$G$56&lt;=$V74)/($H$53:$H$56&gt;=$V74),$F$53:$F$56)</f>
        <v>0</v>
      </c>
      <c r="T74" s="5" t="e">
        <f>IFERROR(IF($R74&gt;0,$R74&amp;"-"&amp;COUNTIF($R$5:$R74,$R74),NA()),NA())</f>
        <v>#N/A</v>
      </c>
      <c r="U74" s="5" t="e">
        <f>IFERROR(IF($S74&gt;0,$S74&amp;"-"&amp;COUNTIF($S$5:$S74,$S74),NA()),NA())</f>
        <v>#N/A</v>
      </c>
      <c r="V74" s="10">
        <v>43223</v>
      </c>
      <c r="W74" s="9">
        <v>15861424.030514937</v>
      </c>
      <c r="X74" s="9">
        <v>19070190.111888111</v>
      </c>
      <c r="Y74" s="8">
        <v>8000000</v>
      </c>
      <c r="AI74" s="18"/>
      <c r="AJ74" s="12"/>
      <c r="AK74" s="11"/>
      <c r="AL74" s="11"/>
      <c r="AN74" s="13"/>
      <c r="AO74" s="13"/>
      <c r="AP74" s="18">
        <f t="shared" si="237"/>
        <v>26</v>
      </c>
      <c r="AQ74" s="12">
        <f t="shared" si="238"/>
        <v>45463</v>
      </c>
      <c r="AR74" s="11">
        <f t="shared" si="239"/>
        <v>55.0771206276561</v>
      </c>
      <c r="AS74" s="11">
        <f t="shared" si="240"/>
        <v>40</v>
      </c>
      <c r="AU74" s="13"/>
      <c r="BI74" s="18">
        <f t="shared" si="188"/>
        <v>28</v>
      </c>
      <c r="BJ74" s="12">
        <f t="shared" si="189"/>
        <v>45295</v>
      </c>
      <c r="BK74" s="11">
        <f t="shared" si="190"/>
        <v>45.025587337910004</v>
      </c>
      <c r="BL74" s="11">
        <f t="shared" si="191"/>
        <v>30</v>
      </c>
      <c r="BN74" s="13"/>
      <c r="BO74" s="13"/>
      <c r="BP74" s="111">
        <v>350</v>
      </c>
      <c r="BQ74" s="39">
        <f t="shared" si="257"/>
        <v>396736000</v>
      </c>
      <c r="BR74" s="120">
        <f t="shared" si="264"/>
        <v>396.73599999999999</v>
      </c>
      <c r="BS74" s="39"/>
      <c r="BU74" s="13"/>
      <c r="CE74" s="18" t="e">
        <f t="shared" si="193"/>
        <v>#N/A</v>
      </c>
      <c r="CF74" s="12" t="e">
        <f t="shared" si="194"/>
        <v>#N/A</v>
      </c>
      <c r="CG74" s="11" t="e">
        <f t="shared" si="195"/>
        <v>#N/A</v>
      </c>
      <c r="CH74" s="11" t="e">
        <f t="shared" si="196"/>
        <v>#N/A</v>
      </c>
      <c r="CK74" s="13"/>
      <c r="CL74" s="23" t="s">
        <v>19</v>
      </c>
      <c r="CM74" s="31">
        <v>44812</v>
      </c>
      <c r="CN74" s="31">
        <v>44924</v>
      </c>
      <c r="CO74" s="30"/>
      <c r="CT74" s="18" t="e">
        <f t="shared" si="197"/>
        <v>#N/A</v>
      </c>
      <c r="CU74" s="12" t="e">
        <f t="shared" si="198"/>
        <v>#N/A</v>
      </c>
      <c r="CV74" s="11" t="e">
        <f t="shared" si="199"/>
        <v>#N/A</v>
      </c>
      <c r="CW74" s="11" t="e">
        <f t="shared" si="200"/>
        <v>#N/A</v>
      </c>
      <c r="CY74" s="13"/>
      <c r="DI74" s="18" t="e">
        <f t="shared" si="201"/>
        <v>#N/A</v>
      </c>
      <c r="DJ74" s="12" t="e">
        <f t="shared" si="202"/>
        <v>#N/A</v>
      </c>
      <c r="DK74" s="11" t="e">
        <f t="shared" si="203"/>
        <v>#N/A</v>
      </c>
      <c r="DL74" s="11" t="e">
        <f t="shared" si="204"/>
        <v>#N/A</v>
      </c>
      <c r="DN74" s="13"/>
      <c r="DO74" s="13"/>
      <c r="DX74" s="18" t="e">
        <f t="shared" si="205"/>
        <v>#N/A</v>
      </c>
      <c r="DY74" s="12" t="e">
        <f t="shared" si="206"/>
        <v>#N/A</v>
      </c>
      <c r="DZ74" s="11" t="e">
        <f t="shared" si="207"/>
        <v>#N/A</v>
      </c>
      <c r="EA74" s="11" t="e">
        <f t="shared" si="208"/>
        <v>#N/A</v>
      </c>
      <c r="EC74" s="13"/>
      <c r="ED74" s="13"/>
      <c r="EE74" s="12" t="e">
        <f t="shared" si="241"/>
        <v>#N/A</v>
      </c>
      <c r="EF74" s="12" t="e">
        <f t="shared" si="242"/>
        <v>#N/A</v>
      </c>
      <c r="EG74" s="11" t="e">
        <f t="shared" si="243"/>
        <v>#N/A</v>
      </c>
      <c r="EH74" s="11" t="e">
        <f t="shared" si="244"/>
        <v>#N/A</v>
      </c>
      <c r="EJ74" s="13"/>
      <c r="EK74" s="13"/>
      <c r="ET74" s="12" t="str">
        <f t="shared" si="209"/>
        <v>FY18-28</v>
      </c>
      <c r="EU74" s="12">
        <f t="shared" si="210"/>
        <v>43111</v>
      </c>
      <c r="EV74" s="11">
        <f t="shared" si="211"/>
        <v>80.521889218561327</v>
      </c>
      <c r="EW74" s="11">
        <f t="shared" si="212"/>
        <v>55</v>
      </c>
      <c r="EX74" s="13"/>
      <c r="EY74" s="13"/>
      <c r="EZ74" s="13"/>
      <c r="FI74" s="12" t="str">
        <f t="shared" si="213"/>
        <v>FY19</v>
      </c>
      <c r="FJ74" s="12">
        <f t="shared" si="214"/>
        <v>43475</v>
      </c>
      <c r="FK74" s="11">
        <f t="shared" si="215"/>
        <v>112.3132386522568</v>
      </c>
      <c r="FL74" s="11">
        <f t="shared" si="216"/>
        <v>80</v>
      </c>
      <c r="FN74" s="13"/>
      <c r="FO74" s="13"/>
      <c r="FP74" s="12" t="str">
        <f t="shared" si="245"/>
        <v>FY19</v>
      </c>
      <c r="FQ74" s="12">
        <f t="shared" si="246"/>
        <v>43461</v>
      </c>
      <c r="FR74" s="11">
        <f t="shared" si="247"/>
        <v>36.354827972027962</v>
      </c>
      <c r="FS74" s="11">
        <f t="shared" si="248"/>
        <v>30</v>
      </c>
      <c r="FU74" s="13"/>
      <c r="FV74" s="13"/>
      <c r="FX74" s="16"/>
      <c r="FY74" s="15"/>
      <c r="GF74" s="12" t="str">
        <f t="shared" si="217"/>
        <v>FY20</v>
      </c>
      <c r="GG74" s="12">
        <f t="shared" si="218"/>
        <v>43839</v>
      </c>
      <c r="GH74" s="11">
        <f t="shared" si="219"/>
        <v>20.379060090352123</v>
      </c>
      <c r="GI74" s="11">
        <f t="shared" si="220"/>
        <v>8</v>
      </c>
      <c r="GK74" s="13"/>
      <c r="GL74" s="13"/>
      <c r="GM74" s="12" t="str">
        <f t="shared" si="249"/>
        <v>FY20</v>
      </c>
      <c r="GN74" s="12">
        <f t="shared" si="250"/>
        <v>43825</v>
      </c>
      <c r="GO74" s="11">
        <f t="shared" si="251"/>
        <v>25.073378303112815</v>
      </c>
      <c r="GP74" s="11">
        <f t="shared" si="252"/>
        <v>20</v>
      </c>
      <c r="GR74" s="13"/>
      <c r="GS74" s="13"/>
      <c r="GU74" s="16"/>
      <c r="GV74" s="14"/>
      <c r="GW74" s="15"/>
      <c r="HB74" s="12" t="str">
        <f t="shared" si="221"/>
        <v>FY21</v>
      </c>
      <c r="HC74" s="12">
        <f t="shared" si="222"/>
        <v>44203</v>
      </c>
      <c r="HD74" s="11">
        <f t="shared" si="223"/>
        <v>17.082868713894804</v>
      </c>
      <c r="HE74" s="11">
        <f t="shared" si="224"/>
        <v>3</v>
      </c>
      <c r="HG74" s="13"/>
      <c r="HH74" s="13"/>
      <c r="HJ74" s="16"/>
      <c r="HK74" s="15"/>
      <c r="HL74" s="14"/>
      <c r="HQ74" s="12" t="str">
        <f t="shared" si="225"/>
        <v>FY22</v>
      </c>
      <c r="HR74" s="12">
        <f t="shared" si="226"/>
        <v>44567</v>
      </c>
      <c r="HS74" s="11">
        <f t="shared" si="227"/>
        <v>76.041502462754636</v>
      </c>
      <c r="HT74" s="11">
        <f t="shared" si="228"/>
        <v>60</v>
      </c>
      <c r="HV74" s="13"/>
      <c r="HW74" s="13"/>
      <c r="HX74" s="12" t="str">
        <f t="shared" si="253"/>
        <v>FY22</v>
      </c>
      <c r="HY74" s="12">
        <f t="shared" si="254"/>
        <v>44553</v>
      </c>
      <c r="HZ74" s="11">
        <f t="shared" si="255"/>
        <v>40.654796959562177</v>
      </c>
      <c r="IA74" s="11">
        <f t="shared" si="256"/>
        <v>20</v>
      </c>
      <c r="IC74" s="13"/>
      <c r="ID74" s="13"/>
      <c r="IM74" s="12" t="str">
        <f t="shared" si="271"/>
        <v>FY23</v>
      </c>
      <c r="IN74" s="12">
        <f t="shared" si="272"/>
        <v>44798</v>
      </c>
      <c r="IO74" s="11">
        <f t="shared" si="273"/>
        <v>25.45458339920949</v>
      </c>
      <c r="IP74" s="11">
        <f t="shared" si="274"/>
        <v>8</v>
      </c>
      <c r="IR74" s="13"/>
      <c r="IS74" s="13"/>
      <c r="IT74" s="40">
        <v>100</v>
      </c>
      <c r="IU74" s="39">
        <f t="shared" si="279"/>
        <v>175737000</v>
      </c>
      <c r="IV74" s="40">
        <v>250</v>
      </c>
      <c r="IW74" s="39">
        <f t="shared" si="280"/>
        <v>246987000</v>
      </c>
      <c r="IY74" s="13"/>
      <c r="IZ74" s="13"/>
      <c r="JI74" s="12" t="str">
        <f t="shared" si="275"/>
        <v>FY24</v>
      </c>
      <c r="JJ74" s="12">
        <f t="shared" si="276"/>
        <v>45162</v>
      </c>
      <c r="JK74" s="11">
        <f t="shared" si="277"/>
        <v>42.995307072027899</v>
      </c>
      <c r="JL74" s="11">
        <f t="shared" si="278"/>
        <v>20</v>
      </c>
      <c r="JN74" s="13"/>
      <c r="JO74" s="13"/>
      <c r="JP74" s="40">
        <v>140</v>
      </c>
      <c r="JQ74" s="39">
        <f t="shared" si="269"/>
        <v>250617000</v>
      </c>
      <c r="JR74" s="40">
        <v>290</v>
      </c>
      <c r="JS74" s="39">
        <f t="shared" si="270"/>
        <v>101066999.99999987</v>
      </c>
      <c r="JU74" s="13"/>
      <c r="JV74" s="13"/>
      <c r="NG74" s="12" t="str">
        <f t="shared" si="229"/>
        <v>FY18</v>
      </c>
      <c r="NH74" s="12">
        <f t="shared" si="230"/>
        <v>43027</v>
      </c>
      <c r="NI74" s="11">
        <f t="shared" si="231"/>
        <v>28.366800000000001</v>
      </c>
      <c r="NJ74" s="11">
        <f t="shared" si="232"/>
        <v>15</v>
      </c>
      <c r="NL74" s="13"/>
      <c r="NV74" s="12" t="str">
        <f t="shared" si="233"/>
        <v>FY19</v>
      </c>
      <c r="NW74" s="12">
        <f t="shared" si="234"/>
        <v>43398</v>
      </c>
      <c r="NX74" s="11">
        <f t="shared" si="235"/>
        <v>34.647557999999997</v>
      </c>
      <c r="NY74" s="11">
        <f t="shared" si="236"/>
        <v>30</v>
      </c>
      <c r="OA74" s="13"/>
      <c r="OB74" s="1"/>
    </row>
    <row r="75" spans="6:392" x14ac:dyDescent="0.2">
      <c r="F75" s="5"/>
      <c r="G75" s="5"/>
      <c r="H75" s="5"/>
      <c r="I75" s="5"/>
      <c r="M75" s="5" t="str" cm="1">
        <f t="array" ref="M75">LOOKUP(2,1/($G$19:$G$35&lt;=$V75)/($H$19:$H$35&gt;=$V75),$F$19:$F$35)</f>
        <v>2H18</v>
      </c>
      <c r="N75" s="5" t="str" cm="1">
        <f t="array" ref="N75">LOOKUP(2,1/($G$8:$G$16&lt;=$V75)/($H$8:$H$16&gt;=$V75),$F$8:$F$16)</f>
        <v>FY18</v>
      </c>
      <c r="O75" s="5" t="str">
        <f>IFERROR(N75&amp;"-"&amp;COUNTIF($N$5:N75,N75),NA())</f>
        <v>FY18-45</v>
      </c>
      <c r="P75" s="5">
        <f>COUNTIF(V$5:V75,"&gt;="&amp;MAX($V:$V)-183)</f>
        <v>0</v>
      </c>
      <c r="Q75" s="5">
        <f>COUNTIF(V$5:V75,"&gt;="&amp;MAX($V:$V)-365)</f>
        <v>0</v>
      </c>
      <c r="R75" s="5" cm="1">
        <f t="array" ref="R75">LOOKUP(2,1/($G$46:$G$50&lt;=$V75)/($H$46:$H$50&gt;=$V75),$F$46:$F$50)</f>
        <v>0</v>
      </c>
      <c r="S75" s="5" cm="1">
        <f t="array" ref="S75">LOOKUP(2,1/($G$53:$G$56&lt;=$V75)/($H$53:$H$56&gt;=$V75),$F$53:$F$56)</f>
        <v>0</v>
      </c>
      <c r="T75" s="5" t="e">
        <f>IFERROR(IF($R75&gt;0,$R75&amp;"-"&amp;COUNTIF($R$5:$R75,$R75),NA()),NA())</f>
        <v>#N/A</v>
      </c>
      <c r="U75" s="5" t="e">
        <f>IFERROR(IF($S75&gt;0,$S75&amp;"-"&amp;COUNTIF($S$5:$S75,$S75),NA()),NA())</f>
        <v>#N/A</v>
      </c>
      <c r="V75" s="10">
        <v>43230</v>
      </c>
      <c r="W75" s="9">
        <v>17697270.947234582</v>
      </c>
      <c r="X75" s="9">
        <v>21277428.859860141</v>
      </c>
      <c r="Y75" s="8">
        <v>12000000</v>
      </c>
      <c r="AI75" s="18"/>
      <c r="AJ75" s="12"/>
      <c r="AK75" s="11"/>
      <c r="AL75" s="11"/>
      <c r="AN75" s="13"/>
      <c r="AO75" s="13"/>
      <c r="AP75" s="18">
        <f t="shared" si="237"/>
        <v>27</v>
      </c>
      <c r="AQ75" s="12">
        <f t="shared" si="238"/>
        <v>45470</v>
      </c>
      <c r="AR75" s="11">
        <f t="shared" si="239"/>
        <v>19.509070393374742</v>
      </c>
      <c r="AS75" s="11">
        <f t="shared" si="240"/>
        <v>4</v>
      </c>
      <c r="AU75" s="13"/>
      <c r="BI75" s="18">
        <f t="shared" si="188"/>
        <v>29</v>
      </c>
      <c r="BJ75" s="12">
        <f t="shared" si="189"/>
        <v>45302</v>
      </c>
      <c r="BK75" s="11">
        <f t="shared" si="190"/>
        <v>67.199002942137952</v>
      </c>
      <c r="BL75" s="11">
        <f t="shared" si="191"/>
        <v>50</v>
      </c>
      <c r="BN75" s="13"/>
      <c r="BO75" s="13"/>
      <c r="BP75" s="111">
        <v>400</v>
      </c>
      <c r="BQ75" s="39">
        <f t="shared" si="257"/>
        <v>451046000</v>
      </c>
      <c r="BR75" s="120">
        <f t="shared" si="264"/>
        <v>451.04599999999999</v>
      </c>
      <c r="BS75" s="39"/>
      <c r="BU75" s="13"/>
      <c r="CE75" s="18" t="e">
        <f t="shared" si="193"/>
        <v>#N/A</v>
      </c>
      <c r="CF75" s="12" t="e">
        <f t="shared" si="194"/>
        <v>#N/A</v>
      </c>
      <c r="CG75" s="11" t="e">
        <f t="shared" si="195"/>
        <v>#N/A</v>
      </c>
      <c r="CH75" s="11" t="e">
        <f t="shared" si="196"/>
        <v>#N/A</v>
      </c>
      <c r="CK75" s="13"/>
      <c r="CL75" s="23" t="s">
        <v>18</v>
      </c>
      <c r="CM75" s="2">
        <v>16</v>
      </c>
      <c r="CN75" s="2">
        <v>16</v>
      </c>
      <c r="CO75" s="30"/>
      <c r="CT75" s="18" t="e">
        <f t="shared" si="197"/>
        <v>#N/A</v>
      </c>
      <c r="CU75" s="12" t="e">
        <f t="shared" si="198"/>
        <v>#N/A</v>
      </c>
      <c r="CV75" s="11" t="e">
        <f t="shared" si="199"/>
        <v>#N/A</v>
      </c>
      <c r="CW75" s="11" t="e">
        <f t="shared" si="200"/>
        <v>#N/A</v>
      </c>
      <c r="CY75" s="13"/>
      <c r="DI75" s="18" t="e">
        <f t="shared" si="201"/>
        <v>#N/A</v>
      </c>
      <c r="DJ75" s="12" t="e">
        <f t="shared" si="202"/>
        <v>#N/A</v>
      </c>
      <c r="DK75" s="11" t="e">
        <f t="shared" si="203"/>
        <v>#N/A</v>
      </c>
      <c r="DL75" s="11" t="e">
        <f t="shared" si="204"/>
        <v>#N/A</v>
      </c>
      <c r="DN75" s="13"/>
      <c r="DO75" s="13"/>
      <c r="DX75" s="18" t="e">
        <f t="shared" si="205"/>
        <v>#N/A</v>
      </c>
      <c r="DY75" s="12" t="e">
        <f t="shared" si="206"/>
        <v>#N/A</v>
      </c>
      <c r="DZ75" s="11" t="e">
        <f t="shared" si="207"/>
        <v>#N/A</v>
      </c>
      <c r="EA75" s="11" t="e">
        <f t="shared" si="208"/>
        <v>#N/A</v>
      </c>
      <c r="EC75" s="13"/>
      <c r="ED75" s="13"/>
      <c r="EE75" s="12" t="e">
        <f t="shared" si="241"/>
        <v>#N/A</v>
      </c>
      <c r="EF75" s="12" t="e">
        <f t="shared" si="242"/>
        <v>#N/A</v>
      </c>
      <c r="EG75" s="11" t="e">
        <f t="shared" si="243"/>
        <v>#N/A</v>
      </c>
      <c r="EH75" s="11" t="e">
        <f t="shared" si="244"/>
        <v>#N/A</v>
      </c>
      <c r="EJ75" s="13"/>
      <c r="EK75" s="13"/>
      <c r="ET75" s="12" t="str">
        <f t="shared" si="209"/>
        <v>FY18-29</v>
      </c>
      <c r="EU75" s="12">
        <f t="shared" si="210"/>
        <v>43118</v>
      </c>
      <c r="EV75" s="11">
        <f t="shared" si="211"/>
        <v>14.500914517854062</v>
      </c>
      <c r="EW75" s="11">
        <f t="shared" si="212"/>
        <v>3</v>
      </c>
      <c r="EX75" s="13"/>
      <c r="EY75" s="13"/>
      <c r="EZ75" s="13"/>
      <c r="FI75" s="12" t="str">
        <f t="shared" si="213"/>
        <v>FY19</v>
      </c>
      <c r="FJ75" s="12">
        <f t="shared" si="214"/>
        <v>43482</v>
      </c>
      <c r="FK75" s="11">
        <f t="shared" si="215"/>
        <v>174.14559186268272</v>
      </c>
      <c r="FL75" s="11">
        <f t="shared" si="216"/>
        <v>100</v>
      </c>
      <c r="FN75" s="13"/>
      <c r="FO75" s="13"/>
      <c r="FP75" s="12" t="str">
        <f t="shared" si="245"/>
        <v>FY19</v>
      </c>
      <c r="FQ75" s="12">
        <f t="shared" si="246"/>
        <v>43468</v>
      </c>
      <c r="FR75" s="11">
        <f t="shared" si="247"/>
        <v>63.766761602034322</v>
      </c>
      <c r="FS75" s="11">
        <f t="shared" si="248"/>
        <v>50</v>
      </c>
      <c r="FU75" s="13"/>
      <c r="FV75" s="13"/>
      <c r="FX75" s="16"/>
      <c r="FY75" s="15"/>
      <c r="GF75" s="12" t="str">
        <f t="shared" si="217"/>
        <v>FY20</v>
      </c>
      <c r="GG75" s="12">
        <f t="shared" si="218"/>
        <v>43846</v>
      </c>
      <c r="GH75" s="11">
        <f t="shared" si="219"/>
        <v>25.817218392227243</v>
      </c>
      <c r="GI75" s="11">
        <f t="shared" si="220"/>
        <v>12</v>
      </c>
      <c r="GK75" s="13"/>
      <c r="GL75" s="13"/>
      <c r="GM75" s="12" t="str">
        <f t="shared" si="249"/>
        <v>FY20</v>
      </c>
      <c r="GN75" s="12">
        <f t="shared" si="250"/>
        <v>43832</v>
      </c>
      <c r="GO75" s="11">
        <f t="shared" si="251"/>
        <v>14.302579986385295</v>
      </c>
      <c r="GP75" s="11">
        <f t="shared" si="252"/>
        <v>3</v>
      </c>
      <c r="GR75" s="13"/>
      <c r="GS75" s="13"/>
      <c r="GU75" s="16"/>
      <c r="GV75" s="14"/>
      <c r="GW75" s="15"/>
      <c r="HB75" s="12" t="str">
        <f t="shared" si="221"/>
        <v>FY21</v>
      </c>
      <c r="HC75" s="12">
        <f t="shared" si="222"/>
        <v>44210</v>
      </c>
      <c r="HD75" s="11">
        <f t="shared" si="223"/>
        <v>24.054723502584363</v>
      </c>
      <c r="HE75" s="11">
        <f t="shared" si="224"/>
        <v>8</v>
      </c>
      <c r="HG75" s="13"/>
      <c r="HH75" s="13"/>
      <c r="HJ75" s="16"/>
      <c r="HK75" s="15"/>
      <c r="HL75" s="14"/>
      <c r="HQ75" s="12" t="str">
        <f t="shared" si="225"/>
        <v>FY22</v>
      </c>
      <c r="HR75" s="12">
        <f t="shared" si="226"/>
        <v>44574</v>
      </c>
      <c r="HS75" s="11">
        <f t="shared" si="227"/>
        <v>18.115088355123142</v>
      </c>
      <c r="HT75" s="11">
        <f t="shared" si="228"/>
        <v>3</v>
      </c>
      <c r="HV75" s="13"/>
      <c r="HW75" s="13"/>
      <c r="HX75" s="12" t="str">
        <f t="shared" si="253"/>
        <v>FY22</v>
      </c>
      <c r="HY75" s="12">
        <f t="shared" si="254"/>
        <v>44560</v>
      </c>
      <c r="HZ75" s="11">
        <f t="shared" si="255"/>
        <v>45.526023472179993</v>
      </c>
      <c r="IA75" s="11">
        <f t="shared" si="256"/>
        <v>30</v>
      </c>
      <c r="IC75" s="13"/>
      <c r="ID75" s="13"/>
      <c r="IM75" s="12" t="str">
        <f t="shared" si="271"/>
        <v>FY23</v>
      </c>
      <c r="IN75" s="12">
        <f t="shared" si="272"/>
        <v>44805</v>
      </c>
      <c r="IO75" s="11">
        <f t="shared" si="273"/>
        <v>39.743730009121315</v>
      </c>
      <c r="IP75" s="11">
        <f t="shared" si="274"/>
        <v>20</v>
      </c>
      <c r="IR75" s="13"/>
      <c r="IS75" s="13"/>
      <c r="IT75" s="40">
        <v>110</v>
      </c>
      <c r="IU75" s="39">
        <f t="shared" si="279"/>
        <v>195747000</v>
      </c>
      <c r="IV75" s="40">
        <v>260</v>
      </c>
      <c r="IW75" s="39">
        <f t="shared" si="280"/>
        <v>219897000.00000012</v>
      </c>
      <c r="IY75" s="13"/>
      <c r="IZ75" s="13"/>
      <c r="JI75" s="12" t="str">
        <f t="shared" si="275"/>
        <v>FY24</v>
      </c>
      <c r="JJ75" s="12">
        <f t="shared" si="276"/>
        <v>45169</v>
      </c>
      <c r="JK75" s="11">
        <f t="shared" si="277"/>
        <v>59.703342595619482</v>
      </c>
      <c r="JL75" s="11">
        <f t="shared" si="278"/>
        <v>40</v>
      </c>
      <c r="JN75" s="13"/>
      <c r="JO75" s="13"/>
      <c r="JP75" s="40">
        <v>150</v>
      </c>
      <c r="JQ75" s="39">
        <f t="shared" si="269"/>
        <v>265987000.00000003</v>
      </c>
      <c r="JR75" s="40">
        <v>300</v>
      </c>
      <c r="JS75" s="39">
        <f t="shared" si="270"/>
        <v>47736999.999999993</v>
      </c>
      <c r="JU75" s="13"/>
      <c r="JV75" s="13"/>
      <c r="NG75" s="12" t="str">
        <f t="shared" si="229"/>
        <v>FY18</v>
      </c>
      <c r="NH75" s="12">
        <f t="shared" si="230"/>
        <v>43034</v>
      </c>
      <c r="NI75" s="11">
        <f t="shared" si="231"/>
        <v>12.711600000000001</v>
      </c>
      <c r="NJ75" s="11">
        <f t="shared" si="232"/>
        <v>3</v>
      </c>
      <c r="NL75" s="13"/>
      <c r="NV75" s="12" t="str">
        <f t="shared" si="233"/>
        <v>FY19</v>
      </c>
      <c r="NW75" s="12">
        <f t="shared" si="234"/>
        <v>43405</v>
      </c>
      <c r="NX75" s="11">
        <f t="shared" si="235"/>
        <v>42.118955999999997</v>
      </c>
      <c r="NY75" s="11">
        <f t="shared" si="236"/>
        <v>40</v>
      </c>
      <c r="OA75" s="13"/>
      <c r="OB75" s="1"/>
    </row>
    <row r="76" spans="6:392" x14ac:dyDescent="0.2">
      <c r="F76" s="5"/>
      <c r="G76" s="5"/>
      <c r="H76" s="5"/>
      <c r="I76" s="5"/>
      <c r="M76" s="5" t="str" cm="1">
        <f t="array" ref="M76">LOOKUP(2,1/($G$19:$G$35&lt;=$V76)/($H$19:$H$35&gt;=$V76),$F$19:$F$35)</f>
        <v>2H18</v>
      </c>
      <c r="N76" s="5" t="str" cm="1">
        <f t="array" ref="N76">LOOKUP(2,1/($G$8:$G$16&lt;=$V76)/($H$8:$H$16&gt;=$V76),$F$8:$F$16)</f>
        <v>FY18</v>
      </c>
      <c r="O76" s="5" t="str">
        <f>IFERROR(N76&amp;"-"&amp;COUNTIF($N$5:N76,N76),NA())</f>
        <v>FY18-46</v>
      </c>
      <c r="P76" s="5">
        <f>COUNTIF(V$5:V76,"&gt;="&amp;MAX($V:$V)-183)</f>
        <v>0</v>
      </c>
      <c r="Q76" s="5">
        <f>COUNTIF(V$5:V76,"&gt;="&amp;MAX($V:$V)-365)</f>
        <v>0</v>
      </c>
      <c r="R76" s="5" cm="1">
        <f t="array" ref="R76">LOOKUP(2,1/($G$46:$G$50&lt;=$V76)/($H$46:$H$50&gt;=$V76),$F$46:$F$50)</f>
        <v>0</v>
      </c>
      <c r="S76" s="5" cm="1">
        <f t="array" ref="S76">LOOKUP(2,1/($G$53:$G$56&lt;=$V76)/($H$53:$H$56&gt;=$V76),$F$53:$F$56)</f>
        <v>0</v>
      </c>
      <c r="T76" s="5" t="e">
        <f>IFERROR(IF($R76&gt;0,$R76&amp;"-"&amp;COUNTIF($R$5:$R76,$R76),NA()),NA())</f>
        <v>#N/A</v>
      </c>
      <c r="U76" s="5" t="e">
        <f>IFERROR(IF($S76&gt;0,$S76&amp;"-"&amp;COUNTIF($S$5:$S76,$S76),NA()),NA())</f>
        <v>#N/A</v>
      </c>
      <c r="V76" s="10">
        <v>43237</v>
      </c>
      <c r="W76" s="9">
        <v>26087560.584869672</v>
      </c>
      <c r="X76" s="9">
        <v>31365074.091188811</v>
      </c>
      <c r="Y76" s="8">
        <v>20000000</v>
      </c>
      <c r="AI76" s="18"/>
      <c r="AJ76" s="12"/>
      <c r="AK76" s="11"/>
      <c r="AL76" s="11"/>
      <c r="AN76" s="13"/>
      <c r="AO76" s="13"/>
      <c r="AP76" s="18" t="e">
        <f t="shared" si="237"/>
        <v>#N/A</v>
      </c>
      <c r="AQ76" s="12" t="e">
        <f t="shared" si="238"/>
        <v>#N/A</v>
      </c>
      <c r="AR76" s="11" t="e">
        <f t="shared" si="239"/>
        <v>#N/A</v>
      </c>
      <c r="AS76" s="11" t="e">
        <f t="shared" si="240"/>
        <v>#N/A</v>
      </c>
      <c r="AU76" s="13"/>
      <c r="BI76" s="18">
        <f t="shared" si="188"/>
        <v>30</v>
      </c>
      <c r="BJ76" s="12">
        <f t="shared" si="189"/>
        <v>45309</v>
      </c>
      <c r="BK76" s="11">
        <f t="shared" si="190"/>
        <v>155.08314144055797</v>
      </c>
      <c r="BL76" s="11">
        <f t="shared" si="191"/>
        <v>100</v>
      </c>
      <c r="BN76" s="13"/>
      <c r="BO76" s="13"/>
      <c r="BP76" s="111">
        <v>450</v>
      </c>
      <c r="BQ76" s="39">
        <f t="shared" si="257"/>
        <v>505356000</v>
      </c>
      <c r="BR76" s="120">
        <f t="shared" si="264"/>
        <v>505.35599999999999</v>
      </c>
      <c r="BS76" s="39"/>
      <c r="BU76" s="13"/>
      <c r="CE76" s="18" t="e">
        <f t="shared" si="193"/>
        <v>#N/A</v>
      </c>
      <c r="CF76" s="12" t="e">
        <f t="shared" si="194"/>
        <v>#N/A</v>
      </c>
      <c r="CG76" s="11" t="e">
        <f t="shared" si="195"/>
        <v>#N/A</v>
      </c>
      <c r="CH76" s="11" t="e">
        <f t="shared" si="196"/>
        <v>#N/A</v>
      </c>
      <c r="CK76" s="13"/>
      <c r="CL76" s="29" t="s">
        <v>17</v>
      </c>
      <c r="CM76" s="28"/>
      <c r="CN76" s="28"/>
      <c r="CO76" s="27"/>
      <c r="CT76" s="18" t="e">
        <f t="shared" si="197"/>
        <v>#N/A</v>
      </c>
      <c r="CU76" s="12" t="e">
        <f t="shared" si="198"/>
        <v>#N/A</v>
      </c>
      <c r="CV76" s="11" t="e">
        <f t="shared" si="199"/>
        <v>#N/A</v>
      </c>
      <c r="CW76" s="11" t="e">
        <f t="shared" si="200"/>
        <v>#N/A</v>
      </c>
      <c r="CY76" s="13"/>
      <c r="DI76" s="18" t="e">
        <f t="shared" si="201"/>
        <v>#N/A</v>
      </c>
      <c r="DJ76" s="12" t="e">
        <f t="shared" si="202"/>
        <v>#N/A</v>
      </c>
      <c r="DK76" s="11" t="e">
        <f t="shared" si="203"/>
        <v>#N/A</v>
      </c>
      <c r="DL76" s="11" t="e">
        <f t="shared" si="204"/>
        <v>#N/A</v>
      </c>
      <c r="DN76" s="13"/>
      <c r="DO76" s="13"/>
      <c r="DX76" s="18" t="e">
        <f t="shared" si="205"/>
        <v>#N/A</v>
      </c>
      <c r="DY76" s="12" t="e">
        <f t="shared" si="206"/>
        <v>#N/A</v>
      </c>
      <c r="DZ76" s="11" t="e">
        <f t="shared" si="207"/>
        <v>#N/A</v>
      </c>
      <c r="EA76" s="11" t="e">
        <f t="shared" si="208"/>
        <v>#N/A</v>
      </c>
      <c r="EC76" s="13"/>
      <c r="ED76" s="13"/>
      <c r="EE76" s="12" t="e">
        <f t="shared" si="241"/>
        <v>#N/A</v>
      </c>
      <c r="EF76" s="12" t="e">
        <f t="shared" si="242"/>
        <v>#N/A</v>
      </c>
      <c r="EG76" s="11" t="e">
        <f t="shared" si="243"/>
        <v>#N/A</v>
      </c>
      <c r="EH76" s="11" t="e">
        <f t="shared" si="244"/>
        <v>#N/A</v>
      </c>
      <c r="EJ76" s="13"/>
      <c r="EK76" s="13"/>
      <c r="ET76" s="12" t="str">
        <f t="shared" si="209"/>
        <v>FY18-30</v>
      </c>
      <c r="EU76" s="12">
        <f t="shared" si="210"/>
        <v>43125</v>
      </c>
      <c r="EV76" s="11">
        <f t="shared" si="211"/>
        <v>16.030550110401929</v>
      </c>
      <c r="EW76" s="11">
        <f t="shared" si="212"/>
        <v>3</v>
      </c>
      <c r="EX76" s="13"/>
      <c r="EY76" s="13"/>
      <c r="EZ76" s="13"/>
      <c r="FI76" s="12" t="str">
        <f t="shared" si="213"/>
        <v>FY19</v>
      </c>
      <c r="FJ76" s="12">
        <f t="shared" si="214"/>
        <v>43489</v>
      </c>
      <c r="FK76" s="11">
        <f t="shared" si="215"/>
        <v>13.937889720898571</v>
      </c>
      <c r="FL76" s="11">
        <f t="shared" si="216"/>
        <v>3</v>
      </c>
      <c r="FN76" s="13"/>
      <c r="FO76" s="13"/>
      <c r="FP76" s="12" t="str">
        <f t="shared" si="245"/>
        <v>FY19</v>
      </c>
      <c r="FQ76" s="12">
        <f t="shared" si="246"/>
        <v>43475</v>
      </c>
      <c r="FR76" s="11">
        <f t="shared" si="247"/>
        <v>112.3132386522568</v>
      </c>
      <c r="FS76" s="11">
        <f t="shared" si="248"/>
        <v>80</v>
      </c>
      <c r="FU76" s="13"/>
      <c r="FV76" s="13"/>
      <c r="FX76" s="16"/>
      <c r="FY76" s="15"/>
      <c r="GF76" s="12" t="str">
        <f t="shared" si="217"/>
        <v>FY20</v>
      </c>
      <c r="GG76" s="12">
        <f t="shared" si="218"/>
        <v>43853</v>
      </c>
      <c r="GH76" s="11">
        <f t="shared" si="219"/>
        <v>34.282351135590076</v>
      </c>
      <c r="GI76" s="11">
        <f t="shared" si="220"/>
        <v>20</v>
      </c>
      <c r="GK76" s="13"/>
      <c r="GL76" s="13"/>
      <c r="GM76" s="12" t="str">
        <f t="shared" si="249"/>
        <v>FY20</v>
      </c>
      <c r="GN76" s="12">
        <f t="shared" si="250"/>
        <v>43839</v>
      </c>
      <c r="GO76" s="11">
        <f t="shared" si="251"/>
        <v>20.379060090352123</v>
      </c>
      <c r="GP76" s="11">
        <f t="shared" si="252"/>
        <v>8</v>
      </c>
      <c r="GR76" s="13"/>
      <c r="GS76" s="13"/>
      <c r="GU76" s="16"/>
      <c r="GV76" s="14"/>
      <c r="GW76" s="15"/>
      <c r="HB76" s="12" t="str">
        <f t="shared" si="221"/>
        <v>FY21</v>
      </c>
      <c r="HC76" s="12">
        <f t="shared" si="222"/>
        <v>44217</v>
      </c>
      <c r="HD76" s="11">
        <f t="shared" si="223"/>
        <v>39.055239160839157</v>
      </c>
      <c r="HE76" s="11">
        <f t="shared" si="224"/>
        <v>20</v>
      </c>
      <c r="HG76" s="13"/>
      <c r="HH76" s="13"/>
      <c r="HJ76" s="16"/>
      <c r="HK76" s="15"/>
      <c r="HL76" s="14"/>
      <c r="HQ76" s="12" t="str">
        <f t="shared" si="225"/>
        <v>FY22</v>
      </c>
      <c r="HR76" s="12">
        <f t="shared" si="226"/>
        <v>44581</v>
      </c>
      <c r="HS76" s="11">
        <f t="shared" si="227"/>
        <v>23.312285071450287</v>
      </c>
      <c r="HT76" s="11">
        <f t="shared" si="228"/>
        <v>8</v>
      </c>
      <c r="HV76" s="13"/>
      <c r="HW76" s="13"/>
      <c r="HX76" s="12" t="str">
        <f t="shared" si="253"/>
        <v>FY22</v>
      </c>
      <c r="HY76" s="12">
        <f t="shared" si="254"/>
        <v>44567</v>
      </c>
      <c r="HZ76" s="11">
        <f t="shared" si="255"/>
        <v>76.041502462754636</v>
      </c>
      <c r="IA76" s="11">
        <f t="shared" si="256"/>
        <v>60</v>
      </c>
      <c r="IC76" s="13"/>
      <c r="ID76" s="13"/>
      <c r="IM76" s="12" t="str">
        <f t="shared" si="271"/>
        <v>FY23</v>
      </c>
      <c r="IN76" s="12">
        <f t="shared" si="272"/>
        <v>44812</v>
      </c>
      <c r="IO76" s="11">
        <f t="shared" si="273"/>
        <v>61.420572818485859</v>
      </c>
      <c r="IP76" s="11">
        <f t="shared" si="274"/>
        <v>40</v>
      </c>
      <c r="IR76" s="13"/>
      <c r="IS76" s="13"/>
      <c r="IT76" s="40">
        <v>120</v>
      </c>
      <c r="IU76" s="39">
        <f t="shared" si="279"/>
        <v>215136999.99999997</v>
      </c>
      <c r="IV76" s="40">
        <v>270</v>
      </c>
      <c r="IW76" s="39">
        <f t="shared" si="280"/>
        <v>186787000.00000003</v>
      </c>
      <c r="IY76" s="13"/>
      <c r="IZ76" s="13"/>
      <c r="JI76" s="12" t="str">
        <f t="shared" si="275"/>
        <v>FY24</v>
      </c>
      <c r="JJ76" s="12">
        <f t="shared" si="276"/>
        <v>45176</v>
      </c>
      <c r="JK76" s="11">
        <f t="shared" si="277"/>
        <v>20.222166067342272</v>
      </c>
      <c r="JL76" s="11">
        <f t="shared" si="278"/>
        <v>4</v>
      </c>
      <c r="JN76" s="13"/>
      <c r="JO76" s="13"/>
      <c r="JP76" s="40">
        <v>160</v>
      </c>
      <c r="JQ76" s="39">
        <f t="shared" si="269"/>
        <v>279296999.99999994</v>
      </c>
      <c r="JR76" s="40">
        <v>310</v>
      </c>
      <c r="JS76" s="39">
        <f t="shared" si="270"/>
        <v>-13053000.000000164</v>
      </c>
      <c r="JU76" s="13"/>
      <c r="JV76" s="13"/>
      <c r="NG76" s="12" t="str">
        <f t="shared" si="229"/>
        <v>FY18</v>
      </c>
      <c r="NH76" s="12">
        <f t="shared" si="230"/>
        <v>43041</v>
      </c>
      <c r="NI76" s="11">
        <f t="shared" si="231"/>
        <v>16.118189999999998</v>
      </c>
      <c r="NJ76" s="11">
        <f t="shared" si="232"/>
        <v>6</v>
      </c>
      <c r="NL76" s="13"/>
      <c r="NV76" s="12" t="str">
        <f t="shared" si="233"/>
        <v>FY19</v>
      </c>
      <c r="NW76" s="12">
        <f t="shared" si="234"/>
        <v>43412</v>
      </c>
      <c r="NX76" s="11">
        <f t="shared" si="235"/>
        <v>69.371610000000004</v>
      </c>
      <c r="NY76" s="11">
        <f t="shared" si="236"/>
        <v>60</v>
      </c>
      <c r="OA76" s="13"/>
      <c r="OB76" s="1"/>
    </row>
    <row r="77" spans="6:392" x14ac:dyDescent="0.2">
      <c r="F77" s="5"/>
      <c r="G77" s="5"/>
      <c r="H77" s="5"/>
      <c r="I77" s="5"/>
      <c r="M77" s="5" t="str" cm="1">
        <f t="array" ref="M77">LOOKUP(2,1/($G$19:$G$35&lt;=$V77)/($H$19:$H$35&gt;=$V77),$F$19:$F$35)</f>
        <v>2H18</v>
      </c>
      <c r="N77" s="5" t="str" cm="1">
        <f t="array" ref="N77">LOOKUP(2,1/($G$8:$G$16&lt;=$V77)/($H$8:$H$16&gt;=$V77),$F$8:$F$16)</f>
        <v>FY18</v>
      </c>
      <c r="O77" s="5" t="str">
        <f>IFERROR(N77&amp;"-"&amp;COUNTIF($N$5:N77,N77),NA())</f>
        <v>FY18-47</v>
      </c>
      <c r="P77" s="5">
        <f>COUNTIF(V$5:V77,"&gt;="&amp;MAX($V:$V)-183)</f>
        <v>0</v>
      </c>
      <c r="Q77" s="5">
        <f>COUNTIF(V$5:V77,"&gt;="&amp;MAX($V:$V)-365)</f>
        <v>0</v>
      </c>
      <c r="R77" s="5" cm="1">
        <f t="array" ref="R77">LOOKUP(2,1/($G$46:$G$50&lt;=$V77)/($H$46:$H$50&gt;=$V77),$F$46:$F$50)</f>
        <v>0</v>
      </c>
      <c r="S77" s="5" cm="1">
        <f t="array" ref="S77">LOOKUP(2,1/($G$53:$G$56&lt;=$V77)/($H$53:$H$56&gt;=$V77),$F$53:$F$56)</f>
        <v>0</v>
      </c>
      <c r="T77" s="5" t="e">
        <f>IFERROR(IF($R77&gt;0,$R77&amp;"-"&amp;COUNTIF($R$5:$R77,$R77),NA()),NA())</f>
        <v>#N/A</v>
      </c>
      <c r="U77" s="5" t="e">
        <f>IFERROR(IF($S77&gt;0,$S77&amp;"-"&amp;COUNTIF($S$5:$S77,$S77),NA()),NA())</f>
        <v>#N/A</v>
      </c>
      <c r="V77" s="10">
        <v>43244</v>
      </c>
      <c r="W77" s="9">
        <v>36432706.166560702</v>
      </c>
      <c r="X77" s="9">
        <v>43803042.624055937</v>
      </c>
      <c r="Y77" s="8">
        <v>30000000</v>
      </c>
      <c r="AI77" s="18"/>
      <c r="AJ77" s="12"/>
      <c r="AK77" s="11"/>
      <c r="AL77" s="11"/>
      <c r="AN77" s="13"/>
      <c r="AO77" s="13"/>
      <c r="AP77" s="18" t="e">
        <f t="shared" si="237"/>
        <v>#N/A</v>
      </c>
      <c r="AQ77" s="12" t="e">
        <f t="shared" si="238"/>
        <v>#N/A</v>
      </c>
      <c r="AR77" s="11" t="e">
        <f t="shared" si="239"/>
        <v>#N/A</v>
      </c>
      <c r="AS77" s="11" t="e">
        <f t="shared" si="240"/>
        <v>#N/A</v>
      </c>
      <c r="AU77" s="13"/>
      <c r="BI77" s="18">
        <f t="shared" si="188"/>
        <v>31</v>
      </c>
      <c r="BJ77" s="12">
        <f t="shared" si="189"/>
        <v>45316</v>
      </c>
      <c r="BK77" s="11">
        <f t="shared" si="190"/>
        <v>224.51918818786098</v>
      </c>
      <c r="BL77" s="11">
        <f t="shared" si="191"/>
        <v>150</v>
      </c>
      <c r="BN77" s="13"/>
      <c r="BO77" s="13"/>
      <c r="BP77" s="111">
        <v>480</v>
      </c>
      <c r="BQ77" s="39">
        <f t="shared" si="257"/>
        <v>537942000</v>
      </c>
      <c r="BR77" s="120">
        <f t="shared" si="264"/>
        <v>537.94200000000001</v>
      </c>
      <c r="BS77" s="39"/>
      <c r="CE77" s="18" t="e">
        <f t="shared" si="193"/>
        <v>#N/A</v>
      </c>
      <c r="CF77" s="12" t="e">
        <f t="shared" si="194"/>
        <v>#N/A</v>
      </c>
      <c r="CG77" s="11" t="e">
        <f t="shared" si="195"/>
        <v>#N/A</v>
      </c>
      <c r="CH77" s="11" t="e">
        <f t="shared" si="196"/>
        <v>#N/A</v>
      </c>
      <c r="CJ77" s="13"/>
      <c r="CK77" s="13"/>
      <c r="CL77" s="26"/>
      <c r="CM77" s="25" t="s">
        <v>16</v>
      </c>
      <c r="CN77" s="25" t="s">
        <v>15</v>
      </c>
      <c r="CO77" s="24" t="s">
        <v>14</v>
      </c>
      <c r="CT77" s="18" t="e">
        <f t="shared" si="197"/>
        <v>#N/A</v>
      </c>
      <c r="CU77" s="12" t="e">
        <f t="shared" si="198"/>
        <v>#N/A</v>
      </c>
      <c r="CV77" s="11" t="e">
        <f t="shared" si="199"/>
        <v>#N/A</v>
      </c>
      <c r="CW77" s="11" t="e">
        <f t="shared" si="200"/>
        <v>#N/A</v>
      </c>
      <c r="CY77" s="13"/>
      <c r="DI77" s="18" t="e">
        <f t="shared" si="201"/>
        <v>#N/A</v>
      </c>
      <c r="DJ77" s="12" t="e">
        <f t="shared" si="202"/>
        <v>#N/A</v>
      </c>
      <c r="DK77" s="11" t="e">
        <f t="shared" si="203"/>
        <v>#N/A</v>
      </c>
      <c r="DL77" s="11" t="e">
        <f t="shared" si="204"/>
        <v>#N/A</v>
      </c>
      <c r="DN77" s="13"/>
      <c r="DO77" s="13"/>
      <c r="DX77" s="18" t="e">
        <f t="shared" si="205"/>
        <v>#N/A</v>
      </c>
      <c r="DY77" s="12" t="e">
        <f t="shared" si="206"/>
        <v>#N/A</v>
      </c>
      <c r="DZ77" s="11" t="e">
        <f t="shared" si="207"/>
        <v>#N/A</v>
      </c>
      <c r="EA77" s="11" t="e">
        <f t="shared" si="208"/>
        <v>#N/A</v>
      </c>
      <c r="EC77" s="13"/>
      <c r="ED77" s="13"/>
      <c r="EE77" s="12" t="e">
        <f t="shared" si="241"/>
        <v>#N/A</v>
      </c>
      <c r="EF77" s="12" t="e">
        <f t="shared" si="242"/>
        <v>#N/A</v>
      </c>
      <c r="EG77" s="11" t="e">
        <f t="shared" si="243"/>
        <v>#N/A</v>
      </c>
      <c r="EH77" s="11" t="e">
        <f t="shared" si="244"/>
        <v>#N/A</v>
      </c>
      <c r="EJ77" s="13"/>
      <c r="EK77" s="13"/>
      <c r="ET77" s="12" t="str">
        <f t="shared" si="209"/>
        <v>FY18-31</v>
      </c>
      <c r="EU77" s="12">
        <f t="shared" si="210"/>
        <v>43132</v>
      </c>
      <c r="EV77" s="11">
        <f t="shared" si="211"/>
        <v>12.84580488528549</v>
      </c>
      <c r="EW77" s="11">
        <f t="shared" si="212"/>
        <v>3</v>
      </c>
      <c r="EX77" s="13"/>
      <c r="EY77" s="13"/>
      <c r="EZ77" s="13"/>
      <c r="FI77" s="12" t="str">
        <f t="shared" si="213"/>
        <v>FY19</v>
      </c>
      <c r="FJ77" s="12">
        <f t="shared" si="214"/>
        <v>43496</v>
      </c>
      <c r="FK77" s="11">
        <f t="shared" si="215"/>
        <v>18.140342842997711</v>
      </c>
      <c r="FL77" s="11">
        <f t="shared" si="216"/>
        <v>8</v>
      </c>
      <c r="FN77" s="13"/>
      <c r="FO77" s="13"/>
      <c r="FP77" s="12" t="e">
        <f t="shared" si="245"/>
        <v>#N/A</v>
      </c>
      <c r="FQ77" s="12" t="e">
        <f t="shared" si="246"/>
        <v>#N/A</v>
      </c>
      <c r="FR77" s="11" t="e">
        <f t="shared" si="247"/>
        <v>#N/A</v>
      </c>
      <c r="FS77" s="11" t="e">
        <f t="shared" si="248"/>
        <v>#N/A</v>
      </c>
      <c r="FU77" s="13"/>
      <c r="FV77" s="13"/>
      <c r="FX77" s="16"/>
      <c r="FY77" s="15"/>
      <c r="GF77" s="12" t="str">
        <f t="shared" si="217"/>
        <v>FY20</v>
      </c>
      <c r="GG77" s="12">
        <f t="shared" si="218"/>
        <v>43860</v>
      </c>
      <c r="GH77" s="11">
        <f t="shared" si="219"/>
        <v>45.674629370629361</v>
      </c>
      <c r="GI77" s="11">
        <f t="shared" si="220"/>
        <v>40</v>
      </c>
      <c r="GK77" s="13"/>
      <c r="GL77" s="13"/>
      <c r="GM77" s="12" t="str">
        <f t="shared" si="249"/>
        <v>FY20</v>
      </c>
      <c r="GN77" s="12">
        <f t="shared" si="250"/>
        <v>43846</v>
      </c>
      <c r="GO77" s="11">
        <f t="shared" si="251"/>
        <v>25.817218392227243</v>
      </c>
      <c r="GP77" s="11">
        <f t="shared" si="252"/>
        <v>12</v>
      </c>
      <c r="GR77" s="13"/>
      <c r="GS77" s="13"/>
      <c r="GU77" s="16"/>
      <c r="GV77" s="14"/>
      <c r="GW77" s="15"/>
      <c r="HB77" s="12" t="str">
        <f t="shared" si="221"/>
        <v>FY21</v>
      </c>
      <c r="HC77" s="12">
        <f t="shared" si="222"/>
        <v>44224</v>
      </c>
      <c r="HD77" s="11">
        <f t="shared" si="223"/>
        <v>22.19027935542718</v>
      </c>
      <c r="HE77" s="11">
        <f t="shared" si="224"/>
        <v>8</v>
      </c>
      <c r="HG77" s="13"/>
      <c r="HH77" s="13"/>
      <c r="HJ77" s="16"/>
      <c r="HK77" s="15"/>
      <c r="HL77" s="14"/>
      <c r="HQ77" s="12" t="str">
        <f t="shared" si="225"/>
        <v>FY22</v>
      </c>
      <c r="HR77" s="12">
        <f t="shared" si="226"/>
        <v>44588</v>
      </c>
      <c r="HS77" s="11">
        <f t="shared" si="227"/>
        <v>34.469990878686531</v>
      </c>
      <c r="HT77" s="11">
        <f t="shared" si="228"/>
        <v>20</v>
      </c>
      <c r="HV77" s="13"/>
      <c r="HW77" s="13"/>
      <c r="HX77" s="12" t="str">
        <f t="shared" si="253"/>
        <v>FY22</v>
      </c>
      <c r="HY77" s="12">
        <f t="shared" si="254"/>
        <v>44574</v>
      </c>
      <c r="HZ77" s="11">
        <f t="shared" si="255"/>
        <v>18.115088355123142</v>
      </c>
      <c r="IA77" s="11">
        <f t="shared" si="256"/>
        <v>3</v>
      </c>
      <c r="IC77" s="13"/>
      <c r="ID77" s="13"/>
      <c r="IM77" s="12" t="str">
        <f t="shared" si="271"/>
        <v>FY23</v>
      </c>
      <c r="IN77" s="12">
        <f t="shared" si="272"/>
        <v>44819</v>
      </c>
      <c r="IO77" s="11">
        <f t="shared" si="273"/>
        <v>25.008818485861962</v>
      </c>
      <c r="IP77" s="11">
        <f t="shared" si="274"/>
        <v>8</v>
      </c>
      <c r="IR77" s="13"/>
      <c r="IS77" s="13"/>
      <c r="IT77" s="40">
        <v>130</v>
      </c>
      <c r="IU77" s="39">
        <f t="shared" si="279"/>
        <v>233547000.00000003</v>
      </c>
      <c r="IV77" s="40">
        <v>280</v>
      </c>
      <c r="IW77" s="39">
        <f t="shared" si="280"/>
        <v>147296999.99999985</v>
      </c>
      <c r="IY77" s="13"/>
      <c r="IZ77" s="13"/>
      <c r="JI77" s="12" t="str">
        <f t="shared" si="275"/>
        <v>FY24</v>
      </c>
      <c r="JJ77" s="12">
        <f t="shared" si="276"/>
        <v>45183</v>
      </c>
      <c r="JK77" s="11">
        <f t="shared" si="277"/>
        <v>32.237415277323748</v>
      </c>
      <c r="JL77" s="11">
        <f t="shared" si="278"/>
        <v>12</v>
      </c>
      <c r="JN77" s="13"/>
      <c r="JO77" s="13"/>
      <c r="JP77" s="40">
        <v>170</v>
      </c>
      <c r="JQ77" s="39">
        <f t="shared" si="269"/>
        <v>290186999.99999994</v>
      </c>
      <c r="JR77" s="40">
        <v>320</v>
      </c>
      <c r="JS77" s="39">
        <f t="shared" si="270"/>
        <v>-81663000.000000238</v>
      </c>
      <c r="JU77" s="13"/>
      <c r="JV77" s="13"/>
      <c r="NG77" s="12" t="str">
        <f t="shared" si="229"/>
        <v>FY18</v>
      </c>
      <c r="NH77" s="12">
        <f t="shared" si="230"/>
        <v>43048</v>
      </c>
      <c r="NI77" s="11">
        <f t="shared" si="231"/>
        <v>13.037419999999999</v>
      </c>
      <c r="NJ77" s="11">
        <f t="shared" si="232"/>
        <v>3</v>
      </c>
      <c r="NL77" s="13"/>
      <c r="NV77" s="12" t="str">
        <f t="shared" si="233"/>
        <v>FY19</v>
      </c>
      <c r="NW77" s="12">
        <f t="shared" si="234"/>
        <v>43419</v>
      </c>
      <c r="NX77" s="11">
        <f t="shared" si="235"/>
        <v>13.565772000000001</v>
      </c>
      <c r="NY77" s="11">
        <f t="shared" si="236"/>
        <v>3</v>
      </c>
      <c r="OA77" s="13"/>
      <c r="OB77" s="1"/>
    </row>
    <row r="78" spans="6:392" x14ac:dyDescent="0.2">
      <c r="F78" s="5"/>
      <c r="G78" s="5"/>
      <c r="H78" s="5"/>
      <c r="I78" s="5"/>
      <c r="M78" s="5" t="str" cm="1">
        <f t="array" ref="M78">LOOKUP(2,1/($G$19:$G$35&lt;=$V78)/($H$19:$H$35&gt;=$V78),$F$19:$F$35)</f>
        <v>2H18</v>
      </c>
      <c r="N78" s="5" t="str" cm="1">
        <f t="array" ref="N78">LOOKUP(2,1/($G$8:$G$16&lt;=$V78)/($H$8:$H$16&gt;=$V78),$F$8:$F$16)</f>
        <v>FY18</v>
      </c>
      <c r="O78" s="5" t="str">
        <f>IFERROR(N78&amp;"-"&amp;COUNTIF($N$5:N78,N78),NA())</f>
        <v>FY18-48</v>
      </c>
      <c r="P78" s="5">
        <f>COUNTIF(V$5:V78,"&gt;="&amp;MAX($V:$V)-183)</f>
        <v>0</v>
      </c>
      <c r="Q78" s="5">
        <f>COUNTIF(V$5:V78,"&gt;="&amp;MAX($V:$V)-365)</f>
        <v>0</v>
      </c>
      <c r="R78" s="5" cm="1">
        <f t="array" ref="R78">LOOKUP(2,1/($G$46:$G$50&lt;=$V78)/($H$46:$H$50&gt;=$V78),$F$46:$F$50)</f>
        <v>0</v>
      </c>
      <c r="S78" s="5" cm="1">
        <f t="array" ref="S78">LOOKUP(2,1/($G$53:$G$56&lt;=$V78)/($H$53:$H$56&gt;=$V78),$F$53:$F$56)</f>
        <v>0</v>
      </c>
      <c r="T78" s="5" t="e">
        <f>IFERROR(IF($R78&gt;0,$R78&amp;"-"&amp;COUNTIF($R$5:$R78,$R78),NA()),NA())</f>
        <v>#N/A</v>
      </c>
      <c r="U78" s="5" t="e">
        <f>IFERROR(IF($S78&gt;0,$S78&amp;"-"&amp;COUNTIF($S$5:$S78,$S78),NA()),NA())</f>
        <v>#N/A</v>
      </c>
      <c r="V78" s="10">
        <v>43251</v>
      </c>
      <c r="W78" s="9">
        <v>46219221.614748873</v>
      </c>
      <c r="X78" s="9">
        <v>55569370.147412576</v>
      </c>
      <c r="Y78" s="8">
        <v>40000000</v>
      </c>
      <c r="AI78" s="18"/>
      <c r="AJ78" s="12"/>
      <c r="AK78" s="11"/>
      <c r="AL78" s="11"/>
      <c r="AN78" s="13"/>
      <c r="AO78" s="13"/>
      <c r="AP78" s="18" t="e">
        <f t="shared" si="237"/>
        <v>#N/A</v>
      </c>
      <c r="AQ78" s="12" t="e">
        <f t="shared" si="238"/>
        <v>#N/A</v>
      </c>
      <c r="AR78" s="11" t="e">
        <f t="shared" si="239"/>
        <v>#N/A</v>
      </c>
      <c r="AS78" s="11" t="e">
        <f t="shared" si="240"/>
        <v>#N/A</v>
      </c>
      <c r="AU78" s="13"/>
      <c r="BI78" s="18">
        <f t="shared" si="188"/>
        <v>32</v>
      </c>
      <c r="BJ78" s="12">
        <f t="shared" si="189"/>
        <v>45323</v>
      </c>
      <c r="BK78" s="11">
        <f t="shared" si="190"/>
        <v>305.33054625694672</v>
      </c>
      <c r="BL78" s="11">
        <f t="shared" si="191"/>
        <v>200</v>
      </c>
      <c r="BN78" s="13"/>
      <c r="BO78" s="13"/>
      <c r="BP78" s="111">
        <v>500</v>
      </c>
      <c r="BQ78" s="39">
        <f t="shared" si="257"/>
        <v>559666000</v>
      </c>
      <c r="BR78" s="120">
        <f t="shared" si="264"/>
        <v>559.66600000000005</v>
      </c>
      <c r="BS78" s="39"/>
      <c r="BU78" s="13"/>
      <c r="CE78" s="18" t="e">
        <f t="shared" si="193"/>
        <v>#N/A</v>
      </c>
      <c r="CF78" s="12" t="e">
        <f t="shared" si="194"/>
        <v>#N/A</v>
      </c>
      <c r="CG78" s="11" t="e">
        <f t="shared" si="195"/>
        <v>#N/A</v>
      </c>
      <c r="CH78" s="11" t="e">
        <f t="shared" si="196"/>
        <v>#N/A</v>
      </c>
      <c r="CJ78" s="13"/>
      <c r="CK78" s="13"/>
      <c r="CL78" s="23" t="s">
        <v>13</v>
      </c>
      <c r="CM78" s="2">
        <v>234</v>
      </c>
      <c r="CN78" s="2">
        <v>140</v>
      </c>
      <c r="CO78" s="22">
        <f>CN78/CM78-1</f>
        <v>-0.40170940170940173</v>
      </c>
      <c r="CT78" s="18" t="e">
        <f t="shared" si="197"/>
        <v>#N/A</v>
      </c>
      <c r="CU78" s="12" t="e">
        <f t="shared" si="198"/>
        <v>#N/A</v>
      </c>
      <c r="CV78" s="11" t="e">
        <f t="shared" si="199"/>
        <v>#N/A</v>
      </c>
      <c r="CW78" s="11" t="e">
        <f t="shared" si="200"/>
        <v>#N/A</v>
      </c>
      <c r="CY78" s="13"/>
      <c r="DI78" s="18" t="e">
        <f t="shared" si="201"/>
        <v>#N/A</v>
      </c>
      <c r="DJ78" s="12" t="e">
        <f t="shared" si="202"/>
        <v>#N/A</v>
      </c>
      <c r="DK78" s="11" t="e">
        <f t="shared" si="203"/>
        <v>#N/A</v>
      </c>
      <c r="DL78" s="11" t="e">
        <f t="shared" si="204"/>
        <v>#N/A</v>
      </c>
      <c r="DN78" s="13"/>
      <c r="DO78" s="13"/>
      <c r="DX78" s="18" t="e">
        <f t="shared" si="205"/>
        <v>#N/A</v>
      </c>
      <c r="DY78" s="12" t="e">
        <f t="shared" si="206"/>
        <v>#N/A</v>
      </c>
      <c r="DZ78" s="11" t="e">
        <f t="shared" si="207"/>
        <v>#N/A</v>
      </c>
      <c r="EA78" s="11" t="e">
        <f t="shared" si="208"/>
        <v>#N/A</v>
      </c>
      <c r="EC78" s="13"/>
      <c r="ED78" s="13"/>
      <c r="EE78" s="12" t="e">
        <f t="shared" si="241"/>
        <v>#N/A</v>
      </c>
      <c r="EF78" s="12" t="e">
        <f t="shared" si="242"/>
        <v>#N/A</v>
      </c>
      <c r="EG78" s="11" t="e">
        <f t="shared" si="243"/>
        <v>#N/A</v>
      </c>
      <c r="EH78" s="11" t="e">
        <f t="shared" si="244"/>
        <v>#N/A</v>
      </c>
      <c r="EJ78" s="13"/>
      <c r="EK78" s="13"/>
      <c r="ET78" s="12" t="str">
        <f t="shared" si="209"/>
        <v>FY18-32</v>
      </c>
      <c r="EU78" s="12">
        <f t="shared" si="210"/>
        <v>43139</v>
      </c>
      <c r="EV78" s="11">
        <f t="shared" si="211"/>
        <v>16.219147414179748</v>
      </c>
      <c r="EW78" s="11">
        <f t="shared" si="212"/>
        <v>6</v>
      </c>
      <c r="EX78" s="13"/>
      <c r="EY78" s="13"/>
      <c r="EZ78" s="13"/>
      <c r="FI78" s="12" t="str">
        <f t="shared" si="213"/>
        <v>FY19</v>
      </c>
      <c r="FJ78" s="12">
        <f t="shared" si="214"/>
        <v>43503</v>
      </c>
      <c r="FK78" s="11">
        <f t="shared" si="215"/>
        <v>25.118955133362217</v>
      </c>
      <c r="FL78" s="11">
        <f t="shared" si="216"/>
        <v>12</v>
      </c>
      <c r="FN78" s="13"/>
      <c r="FO78" s="13"/>
      <c r="FP78" s="12" t="str">
        <f t="shared" si="245"/>
        <v>FY19</v>
      </c>
      <c r="FQ78" s="12">
        <f t="shared" si="246"/>
        <v>43489</v>
      </c>
      <c r="FR78" s="11">
        <f t="shared" si="247"/>
        <v>13.937889720898571</v>
      </c>
      <c r="FS78" s="11">
        <f t="shared" si="248"/>
        <v>3</v>
      </c>
      <c r="FU78" s="13"/>
      <c r="FV78" s="13"/>
      <c r="FX78" s="16"/>
      <c r="FY78" s="15"/>
      <c r="GF78" s="12" t="str">
        <f t="shared" si="217"/>
        <v>FY20</v>
      </c>
      <c r="GG78" s="12">
        <f t="shared" si="218"/>
        <v>43867</v>
      </c>
      <c r="GH78" s="11">
        <f t="shared" si="219"/>
        <v>67.313625100563158</v>
      </c>
      <c r="GI78" s="11">
        <f t="shared" si="220"/>
        <v>60</v>
      </c>
      <c r="GK78" s="13"/>
      <c r="GL78" s="13"/>
      <c r="GM78" s="12" t="str">
        <f t="shared" si="249"/>
        <v>FY20</v>
      </c>
      <c r="GN78" s="12">
        <f t="shared" si="250"/>
        <v>43853</v>
      </c>
      <c r="GO78" s="11">
        <f t="shared" si="251"/>
        <v>34.282351135590076</v>
      </c>
      <c r="GP78" s="11">
        <f t="shared" si="252"/>
        <v>20</v>
      </c>
      <c r="GR78" s="13"/>
      <c r="GS78" s="13"/>
      <c r="GU78" s="16"/>
      <c r="GV78" s="14"/>
      <c r="GW78" s="15"/>
      <c r="HB78" s="12" t="str">
        <f t="shared" si="221"/>
        <v>FY21</v>
      </c>
      <c r="HC78" s="12">
        <f t="shared" si="222"/>
        <v>44231</v>
      </c>
      <c r="HD78" s="11">
        <f t="shared" si="223"/>
        <v>36.953457707509884</v>
      </c>
      <c r="HE78" s="11">
        <f t="shared" si="224"/>
        <v>20</v>
      </c>
      <c r="HG78" s="13"/>
      <c r="HH78" s="13"/>
      <c r="HJ78" s="16"/>
      <c r="HK78" s="15"/>
      <c r="HL78" s="14"/>
      <c r="HQ78" s="12" t="str">
        <f t="shared" si="225"/>
        <v>FY22</v>
      </c>
      <c r="HR78" s="12">
        <f t="shared" si="226"/>
        <v>44595</v>
      </c>
      <c r="HS78" s="11">
        <f t="shared" si="227"/>
        <v>56.254159197324419</v>
      </c>
      <c r="HT78" s="11">
        <f t="shared" si="228"/>
        <v>40</v>
      </c>
      <c r="HV78" s="13"/>
      <c r="HW78" s="13"/>
      <c r="HX78" s="12" t="str">
        <f t="shared" si="253"/>
        <v>FY22</v>
      </c>
      <c r="HY78" s="12">
        <f t="shared" si="254"/>
        <v>44581</v>
      </c>
      <c r="HZ78" s="11">
        <f t="shared" si="255"/>
        <v>23.312285071450287</v>
      </c>
      <c r="IA78" s="11">
        <f t="shared" si="256"/>
        <v>8</v>
      </c>
      <c r="IC78" s="13"/>
      <c r="ID78" s="13"/>
      <c r="IM78" s="12" t="str">
        <f t="shared" si="271"/>
        <v>FY23</v>
      </c>
      <c r="IN78" s="12">
        <f t="shared" si="272"/>
        <v>44826</v>
      </c>
      <c r="IO78" s="11">
        <f t="shared" si="273"/>
        <v>22.65982973548191</v>
      </c>
      <c r="IP78" s="11">
        <f t="shared" si="274"/>
        <v>8</v>
      </c>
      <c r="IR78" s="13"/>
      <c r="IS78" s="13"/>
      <c r="IT78" s="40">
        <v>140</v>
      </c>
      <c r="IU78" s="39">
        <f t="shared" si="279"/>
        <v>250617000</v>
      </c>
      <c r="IV78" s="40">
        <v>290</v>
      </c>
      <c r="IW78" s="39">
        <f t="shared" si="280"/>
        <v>101066999.99999987</v>
      </c>
      <c r="IY78" s="13"/>
      <c r="IZ78" s="13"/>
      <c r="JI78" s="12" t="str">
        <f t="shared" si="275"/>
        <v>FY24</v>
      </c>
      <c r="JJ78" s="12">
        <f t="shared" si="276"/>
        <v>45190</v>
      </c>
      <c r="JK78" s="11">
        <f t="shared" si="277"/>
        <v>41.746812901819773</v>
      </c>
      <c r="JL78" s="11">
        <f t="shared" si="278"/>
        <v>20</v>
      </c>
      <c r="JN78" s="13"/>
      <c r="JO78" s="13"/>
      <c r="JP78" s="40">
        <v>180</v>
      </c>
      <c r="JQ78" s="39">
        <f t="shared" si="269"/>
        <v>298297000</v>
      </c>
      <c r="JR78" s="40">
        <v>330</v>
      </c>
      <c r="JS78" s="39">
        <f t="shared" si="270"/>
        <v>-158453000.00000036</v>
      </c>
      <c r="JU78" s="13"/>
      <c r="JV78" s="13"/>
      <c r="NG78" s="12" t="str">
        <f t="shared" si="229"/>
        <v>FY18</v>
      </c>
      <c r="NH78" s="12">
        <f t="shared" si="230"/>
        <v>43055</v>
      </c>
      <c r="NI78" s="11">
        <f t="shared" si="231"/>
        <v>17.39518</v>
      </c>
      <c r="NJ78" s="11">
        <f t="shared" si="232"/>
        <v>6</v>
      </c>
      <c r="NL78" s="13"/>
      <c r="NV78" s="12" t="str">
        <f t="shared" si="233"/>
        <v>FY19</v>
      </c>
      <c r="NW78" s="12">
        <f t="shared" si="234"/>
        <v>43426</v>
      </c>
      <c r="NX78" s="11">
        <f t="shared" si="235"/>
        <v>13.172082</v>
      </c>
      <c r="NY78" s="11">
        <f t="shared" si="236"/>
        <v>3</v>
      </c>
      <c r="OA78" s="13"/>
      <c r="OB78" s="1"/>
    </row>
    <row r="79" spans="6:392" x14ac:dyDescent="0.2">
      <c r="F79" s="5"/>
      <c r="G79" s="5"/>
      <c r="H79" s="5"/>
      <c r="I79" s="5"/>
      <c r="M79" s="5" t="str" cm="1">
        <f t="array" ref="M79">LOOKUP(2,1/($G$19:$G$35&lt;=$V79)/($H$19:$H$35&gt;=$V79),$F$19:$F$35)</f>
        <v>2H18</v>
      </c>
      <c r="N79" s="5" t="str" cm="1">
        <f t="array" ref="N79">LOOKUP(2,1/($G$8:$G$16&lt;=$V79)/($H$8:$H$16&gt;=$V79),$F$8:$F$16)</f>
        <v>FY18</v>
      </c>
      <c r="O79" s="5" t="str">
        <f>IFERROR(N79&amp;"-"&amp;COUNTIF($N$5:N79,N79),NA())</f>
        <v>FY18-49</v>
      </c>
      <c r="P79" s="5">
        <f>COUNTIF(V$5:V79,"&gt;="&amp;MAX($V:$V)-183)</f>
        <v>0</v>
      </c>
      <c r="Q79" s="5">
        <f>COUNTIF(V$5:V79,"&gt;="&amp;MAX($V:$V)-365)</f>
        <v>0</v>
      </c>
      <c r="R79" s="5" cm="1">
        <f t="array" ref="R79">LOOKUP(2,1/($G$46:$G$50&lt;=$V79)/($H$46:$H$50&gt;=$V79),$F$46:$F$50)</f>
        <v>0</v>
      </c>
      <c r="S79" s="5" cm="1">
        <f t="array" ref="S79">LOOKUP(2,1/($G$53:$G$56&lt;=$V79)/($H$53:$H$56&gt;=$V79),$F$53:$F$56)</f>
        <v>0</v>
      </c>
      <c r="T79" s="5" t="e">
        <f>IFERROR(IF($R79&gt;0,$R79&amp;"-"&amp;COUNTIF($R$5:$R79,$R79),NA()),NA())</f>
        <v>#N/A</v>
      </c>
      <c r="U79" s="5" t="e">
        <f>IFERROR(IF($S79&gt;0,$S79&amp;"-"&amp;COUNTIF($S$5:$S79,$S79),NA()),NA())</f>
        <v>#N/A</v>
      </c>
      <c r="V79" s="10">
        <v>43258</v>
      </c>
      <c r="W79" s="9">
        <v>56921146.598855674</v>
      </c>
      <c r="X79" s="9">
        <v>68436294.555804178</v>
      </c>
      <c r="Y79" s="8">
        <v>50000000</v>
      </c>
      <c r="AI79" s="18"/>
      <c r="AJ79" s="12"/>
      <c r="AK79" s="11"/>
      <c r="AL79" s="11"/>
      <c r="AN79" s="13"/>
      <c r="AO79" s="13"/>
      <c r="AP79" s="18" t="e">
        <f t="shared" si="237"/>
        <v>#N/A</v>
      </c>
      <c r="AQ79" s="12" t="e">
        <f t="shared" si="238"/>
        <v>#N/A</v>
      </c>
      <c r="AR79" s="11" t="e">
        <f t="shared" si="239"/>
        <v>#N/A</v>
      </c>
      <c r="AS79" s="11" t="e">
        <f t="shared" si="240"/>
        <v>#N/A</v>
      </c>
      <c r="AU79" s="13"/>
      <c r="BI79" s="18">
        <f t="shared" ref="BI79:BI99" si="281">AW37</f>
        <v>33</v>
      </c>
      <c r="BJ79" s="12">
        <f t="shared" ref="BJ79:BJ99" si="282">AX37</f>
        <v>45330</v>
      </c>
      <c r="BK79" s="11">
        <f t="shared" ref="BK79:BK99" si="283">AY37/1000000</f>
        <v>22.03278903781192</v>
      </c>
      <c r="BL79" s="11">
        <f t="shared" ref="BL79:BL99" si="284">AZ37/1000000</f>
        <v>4</v>
      </c>
      <c r="BN79" s="13"/>
      <c r="BO79" s="13"/>
      <c r="BP79" s="111">
        <v>600</v>
      </c>
      <c r="BQ79" s="39">
        <f t="shared" si="257"/>
        <v>668286000</v>
      </c>
      <c r="BR79" s="120">
        <f t="shared" si="264"/>
        <v>668.28599999999994</v>
      </c>
      <c r="BS79" s="39"/>
      <c r="BU79" s="13"/>
      <c r="CE79" s="18" t="e">
        <f t="shared" ref="CE79:CE99" si="285">BW37</f>
        <v>#N/A</v>
      </c>
      <c r="CF79" s="12" t="e">
        <f t="shared" ref="CF79:CF99" si="286">BX37</f>
        <v>#N/A</v>
      </c>
      <c r="CG79" s="11" t="e">
        <f t="shared" ref="CG79:CG99" si="287">BY37/1000000</f>
        <v>#N/A</v>
      </c>
      <c r="CH79" s="11" t="e">
        <f t="shared" ref="CH79:CH99" si="288">BZ37/1000000</f>
        <v>#N/A</v>
      </c>
      <c r="CJ79" s="13"/>
      <c r="CK79" s="13"/>
      <c r="CL79" s="21" t="s">
        <v>12</v>
      </c>
      <c r="CM79" s="20">
        <v>154</v>
      </c>
      <c r="CN79" s="20">
        <v>139</v>
      </c>
      <c r="CO79" s="19">
        <f>CN79/CM79-1</f>
        <v>-9.740259740259738E-2</v>
      </c>
      <c r="CT79" s="18" t="e">
        <f t="shared" ref="CT79:CT99" si="289">CL37</f>
        <v>#N/A</v>
      </c>
      <c r="CU79" s="12" t="e">
        <f t="shared" ref="CU79:CU99" si="290">CM37</f>
        <v>#N/A</v>
      </c>
      <c r="CV79" s="11" t="e">
        <f t="shared" ref="CV79:CV99" si="291">CN37/1000000</f>
        <v>#N/A</v>
      </c>
      <c r="CW79" s="11" t="e">
        <f t="shared" ref="CW79:CW99" si="292">CO37/1000000</f>
        <v>#N/A</v>
      </c>
      <c r="CY79" s="13"/>
      <c r="DI79" s="18" t="e">
        <f t="shared" ref="DI79:DI99" si="293">DA37</f>
        <v>#N/A</v>
      </c>
      <c r="DJ79" s="12" t="e">
        <f t="shared" ref="DJ79:DJ99" si="294">DB37</f>
        <v>#N/A</v>
      </c>
      <c r="DK79" s="11" t="e">
        <f t="shared" ref="DK79:DK99" si="295">DC37/1000000</f>
        <v>#N/A</v>
      </c>
      <c r="DL79" s="11" t="e">
        <f t="shared" ref="DL79:DL99" si="296">DD37/1000000</f>
        <v>#N/A</v>
      </c>
      <c r="DN79" s="13"/>
      <c r="DO79" s="13"/>
      <c r="DX79" s="18" t="e">
        <f t="shared" ref="DX79:DX99" si="297">DP37</f>
        <v>#N/A</v>
      </c>
      <c r="DY79" s="12" t="e">
        <f t="shared" ref="DY79:DY99" si="298">DQ37</f>
        <v>#N/A</v>
      </c>
      <c r="DZ79" s="11" t="e">
        <f t="shared" ref="DZ79:DZ99" si="299">DR37/1000000</f>
        <v>#N/A</v>
      </c>
      <c r="EA79" s="11" t="e">
        <f t="shared" ref="EA79:EA99" si="300">DS37/1000000</f>
        <v>#N/A</v>
      </c>
      <c r="EC79" s="13"/>
      <c r="ED79" s="13"/>
      <c r="EE79" s="12" t="e">
        <f t="shared" si="241"/>
        <v>#N/A</v>
      </c>
      <c r="EF79" s="12" t="e">
        <f t="shared" si="242"/>
        <v>#N/A</v>
      </c>
      <c r="EG79" s="11" t="e">
        <f t="shared" si="243"/>
        <v>#N/A</v>
      </c>
      <c r="EH79" s="11" t="e">
        <f t="shared" si="244"/>
        <v>#N/A</v>
      </c>
      <c r="EJ79" s="13"/>
      <c r="EK79" s="13"/>
      <c r="ET79" s="12" t="str">
        <f t="shared" ref="ET79:ET98" si="301">EL37</f>
        <v>FY18-33</v>
      </c>
      <c r="EU79" s="12">
        <f t="shared" ref="EU79:EU98" si="302">EM37</f>
        <v>43146</v>
      </c>
      <c r="EV79" s="11">
        <f t="shared" ref="EV79:EV98" si="303">EN37/1000000</f>
        <v>14.328098030015525</v>
      </c>
      <c r="EW79" s="11">
        <f t="shared" ref="EW79:EW98" si="304">EO37/1000000</f>
        <v>3</v>
      </c>
      <c r="EX79" s="13"/>
      <c r="EY79" s="13"/>
      <c r="EZ79" s="13"/>
      <c r="FI79" s="12" t="str">
        <f t="shared" ref="FI79:FI98" si="305">FA37</f>
        <v>FY19</v>
      </c>
      <c r="FJ79" s="12">
        <f t="shared" ref="FJ79:FJ98" si="306">FB37</f>
        <v>43510</v>
      </c>
      <c r="FK79" s="11">
        <f t="shared" ref="FK79:FK98" si="307">FC37/1000000</f>
        <v>31.354336778265978</v>
      </c>
      <c r="FL79" s="11">
        <f t="shared" ref="FL79:FL98" si="308">FD37/1000000</f>
        <v>20</v>
      </c>
      <c r="FN79" s="13"/>
      <c r="FO79" s="13"/>
      <c r="FP79" s="12" t="str">
        <f t="shared" si="245"/>
        <v>FY19</v>
      </c>
      <c r="FQ79" s="12">
        <f t="shared" si="246"/>
        <v>43496</v>
      </c>
      <c r="FR79" s="11">
        <f t="shared" si="247"/>
        <v>18.140342842997711</v>
      </c>
      <c r="FS79" s="11">
        <f t="shared" si="248"/>
        <v>8</v>
      </c>
      <c r="FU79" s="13"/>
      <c r="FV79" s="13"/>
      <c r="FX79" s="16"/>
      <c r="FY79" s="15"/>
      <c r="GF79" s="12" t="str">
        <f t="shared" ref="GF79:GF98" si="309">FW37</f>
        <v>FY20</v>
      </c>
      <c r="GG79" s="12">
        <f t="shared" ref="GG79:GG98" si="310">FX37</f>
        <v>43874</v>
      </c>
      <c r="GH79" s="11">
        <f t="shared" ref="GH79:GH98" si="311">FY37/1000000</f>
        <v>14.466345689708522</v>
      </c>
      <c r="GI79" s="11">
        <f t="shared" ref="GI79:GI98" si="312">FZ37/1000000</f>
        <v>3</v>
      </c>
      <c r="GK79" s="13"/>
      <c r="GL79" s="13"/>
      <c r="GM79" s="12" t="str">
        <f t="shared" si="249"/>
        <v>FY20</v>
      </c>
      <c r="GN79" s="12">
        <f t="shared" si="250"/>
        <v>43860</v>
      </c>
      <c r="GO79" s="11">
        <f t="shared" si="251"/>
        <v>45.674629370629361</v>
      </c>
      <c r="GP79" s="11">
        <f t="shared" si="252"/>
        <v>40</v>
      </c>
      <c r="GR79" s="13"/>
      <c r="GS79" s="13"/>
      <c r="GU79" s="16"/>
      <c r="GV79" s="14"/>
      <c r="GW79" s="15"/>
      <c r="HB79" s="12" t="str">
        <f t="shared" ref="HB79:HB98" si="313">GT37</f>
        <v>FY21</v>
      </c>
      <c r="HC79" s="12">
        <f t="shared" ref="HC79:HC98" si="314">GU37</f>
        <v>44238</v>
      </c>
      <c r="HD79" s="11">
        <f t="shared" ref="HD79:HD98" si="315">GV37/1000000</f>
        <v>48.994890605047111</v>
      </c>
      <c r="HE79" s="11">
        <f t="shared" ref="HE79:HE98" si="316">GW37/1000000</f>
        <v>30</v>
      </c>
      <c r="HG79" s="13"/>
      <c r="HH79" s="13"/>
      <c r="HJ79" s="16"/>
      <c r="HK79" s="15"/>
      <c r="HL79" s="14"/>
      <c r="HQ79" s="12" t="str">
        <f t="shared" ref="HQ79:HQ99" si="317">HI37</f>
        <v>FY22</v>
      </c>
      <c r="HR79" s="12">
        <f t="shared" ref="HR79:HR99" si="318">HJ37</f>
        <v>44602</v>
      </c>
      <c r="HS79" s="11">
        <f t="shared" ref="HS79:HS99" si="319">HK37/1000000</f>
        <v>79.133284037701429</v>
      </c>
      <c r="HT79" s="11">
        <f t="shared" ref="HT79:HT99" si="320">HL37/1000000</f>
        <v>60</v>
      </c>
      <c r="HV79" s="13"/>
      <c r="HW79" s="13"/>
      <c r="HX79" s="12" t="str">
        <f t="shared" si="253"/>
        <v>FY22</v>
      </c>
      <c r="HY79" s="12">
        <f t="shared" si="254"/>
        <v>44588</v>
      </c>
      <c r="HZ79" s="11">
        <f t="shared" si="255"/>
        <v>34.469990878686531</v>
      </c>
      <c r="IA79" s="11">
        <f t="shared" si="256"/>
        <v>20</v>
      </c>
      <c r="IC79" s="13"/>
      <c r="ID79" s="13"/>
      <c r="IM79" s="12" t="str">
        <f t="shared" si="271"/>
        <v>FY23</v>
      </c>
      <c r="IN79" s="12">
        <f t="shared" si="272"/>
        <v>44833</v>
      </c>
      <c r="IO79" s="11">
        <f t="shared" si="273"/>
        <v>35.905405655214345</v>
      </c>
      <c r="IP79" s="11">
        <f t="shared" si="274"/>
        <v>20</v>
      </c>
      <c r="IR79" s="13"/>
      <c r="IS79" s="13"/>
      <c r="IT79" s="40">
        <v>150</v>
      </c>
      <c r="IU79" s="39">
        <f t="shared" si="279"/>
        <v>265987000.00000003</v>
      </c>
      <c r="IV79" s="40">
        <v>300</v>
      </c>
      <c r="IW79" s="39">
        <f t="shared" si="280"/>
        <v>47736999.999999993</v>
      </c>
      <c r="IY79" s="13"/>
      <c r="IZ79" s="13"/>
      <c r="JI79" s="12" t="str">
        <f t="shared" si="275"/>
        <v>FY24</v>
      </c>
      <c r="JJ79" s="12">
        <f t="shared" si="276"/>
        <v>45197</v>
      </c>
      <c r="JK79" s="11">
        <f t="shared" si="277"/>
        <v>56.641298899422473</v>
      </c>
      <c r="JL79" s="11">
        <f t="shared" si="278"/>
        <v>40</v>
      </c>
      <c r="JN79" s="13"/>
      <c r="JO79" s="13"/>
      <c r="JP79" s="40">
        <v>190</v>
      </c>
      <c r="JQ79" s="39">
        <f t="shared" si="269"/>
        <v>303267000</v>
      </c>
      <c r="JR79" s="40">
        <v>340</v>
      </c>
      <c r="JS79" s="39">
        <f t="shared" si="270"/>
        <v>-243783000.00000027</v>
      </c>
      <c r="JU79" s="13"/>
      <c r="JV79" s="13"/>
      <c r="NG79" s="12" t="str">
        <f t="shared" si="229"/>
        <v>FY18</v>
      </c>
      <c r="NH79" s="12">
        <f t="shared" si="230"/>
        <v>43062</v>
      </c>
      <c r="NI79" s="11">
        <f t="shared" si="231"/>
        <v>25.136980000000001</v>
      </c>
      <c r="NJ79" s="11">
        <f t="shared" si="232"/>
        <v>10</v>
      </c>
      <c r="NL79" s="13"/>
      <c r="NV79" s="12" t="str">
        <f t="shared" si="233"/>
        <v>FY19</v>
      </c>
      <c r="NW79" s="12">
        <f t="shared" si="234"/>
        <v>43433</v>
      </c>
      <c r="NX79" s="11">
        <f t="shared" si="235"/>
        <v>19.567152</v>
      </c>
      <c r="NY79" s="11">
        <f t="shared" si="236"/>
        <v>8</v>
      </c>
      <c r="OA79" s="13"/>
      <c r="OB79" s="1"/>
    </row>
    <row r="80" spans="6:392" x14ac:dyDescent="0.2">
      <c r="F80" s="5"/>
      <c r="G80" s="5"/>
      <c r="H80" s="5"/>
      <c r="I80" s="5"/>
      <c r="M80" s="5" t="str" cm="1">
        <f t="array" ref="M80">LOOKUP(2,1/($G$19:$G$35&lt;=$V80)/($H$19:$H$35&gt;=$V80),$F$19:$F$35)</f>
        <v>2H18</v>
      </c>
      <c r="N80" s="5" t="str" cm="1">
        <f t="array" ref="N80">LOOKUP(2,1/($G$8:$G$16&lt;=$V80)/($H$8:$H$16&gt;=$V80),$F$8:$F$16)</f>
        <v>FY18</v>
      </c>
      <c r="O80" s="5" t="str">
        <f>IFERROR(N80&amp;"-"&amp;COUNTIF($N$5:N80,N80),NA())</f>
        <v>FY18-50</v>
      </c>
      <c r="P80" s="5">
        <f>COUNTIF(V$5:V80,"&gt;="&amp;MAX($V:$V)-183)</f>
        <v>0</v>
      </c>
      <c r="Q80" s="5">
        <f>COUNTIF(V$5:V80,"&gt;="&amp;MAX($V:$V)-365)</f>
        <v>0</v>
      </c>
      <c r="R80" s="5" cm="1">
        <f t="array" ref="R80">LOOKUP(2,1/($G$46:$G$50&lt;=$V80)/($H$46:$H$50&gt;=$V80),$F$46:$F$50)</f>
        <v>0</v>
      </c>
      <c r="S80" s="5" cm="1">
        <f t="array" ref="S80">LOOKUP(2,1/($G$53:$G$56&lt;=$V80)/($H$53:$H$56&gt;=$V80),$F$53:$F$56)</f>
        <v>0</v>
      </c>
      <c r="T80" s="5" t="e">
        <f>IFERROR(IF($R80&gt;0,$R80&amp;"-"&amp;COUNTIF($R$5:$R80,$R80),NA()),NA())</f>
        <v>#N/A</v>
      </c>
      <c r="U80" s="5" t="e">
        <f>IFERROR(IF($S80&gt;0,$S80&amp;"-"&amp;COUNTIF($S$5:$S80,$S80),NA()),NA())</f>
        <v>#N/A</v>
      </c>
      <c r="V80" s="10">
        <v>43265</v>
      </c>
      <c r="W80" s="9">
        <v>12004837.380801015</v>
      </c>
      <c r="X80" s="9">
        <v>14433415.982937062</v>
      </c>
      <c r="Y80" s="8">
        <v>3000000</v>
      </c>
      <c r="AI80" s="18"/>
      <c r="AJ80" s="12"/>
      <c r="AK80" s="11"/>
      <c r="AL80" s="11"/>
      <c r="AN80" s="13"/>
      <c r="AO80" s="13"/>
      <c r="AP80" s="18" t="e">
        <f t="shared" si="237"/>
        <v>#N/A</v>
      </c>
      <c r="AQ80" s="12" t="e">
        <f t="shared" si="238"/>
        <v>#N/A</v>
      </c>
      <c r="AR80" s="11" t="e">
        <f t="shared" si="239"/>
        <v>#N/A</v>
      </c>
      <c r="AS80" s="11" t="e">
        <f t="shared" si="240"/>
        <v>#N/A</v>
      </c>
      <c r="AU80" s="13"/>
      <c r="BI80" s="18">
        <f t="shared" si="281"/>
        <v>34</v>
      </c>
      <c r="BJ80" s="12">
        <f t="shared" si="282"/>
        <v>45337</v>
      </c>
      <c r="BK80" s="11">
        <f t="shared" si="283"/>
        <v>21.26904805491991</v>
      </c>
      <c r="BL80" s="11">
        <f t="shared" si="284"/>
        <v>4</v>
      </c>
      <c r="BN80" s="13"/>
      <c r="BO80" s="13"/>
      <c r="BP80" s="40"/>
      <c r="BQ80" s="39"/>
      <c r="BR80" s="110"/>
      <c r="BS80" s="39"/>
      <c r="BU80" s="13"/>
      <c r="CE80" s="18" t="e">
        <f t="shared" si="285"/>
        <v>#N/A</v>
      </c>
      <c r="CF80" s="12" t="e">
        <f t="shared" si="286"/>
        <v>#N/A</v>
      </c>
      <c r="CG80" s="11" t="e">
        <f t="shared" si="287"/>
        <v>#N/A</v>
      </c>
      <c r="CH80" s="11" t="e">
        <f t="shared" si="288"/>
        <v>#N/A</v>
      </c>
      <c r="CJ80" s="13"/>
      <c r="CK80" s="13"/>
      <c r="CT80" s="18" t="e">
        <f t="shared" si="289"/>
        <v>#N/A</v>
      </c>
      <c r="CU80" s="12" t="e">
        <f t="shared" si="290"/>
        <v>#N/A</v>
      </c>
      <c r="CV80" s="11" t="e">
        <f t="shared" si="291"/>
        <v>#N/A</v>
      </c>
      <c r="CW80" s="11" t="e">
        <f t="shared" si="292"/>
        <v>#N/A</v>
      </c>
      <c r="CY80" s="13"/>
      <c r="DI80" s="18" t="e">
        <f t="shared" si="293"/>
        <v>#N/A</v>
      </c>
      <c r="DJ80" s="12" t="e">
        <f t="shared" si="294"/>
        <v>#N/A</v>
      </c>
      <c r="DK80" s="11" t="e">
        <f t="shared" si="295"/>
        <v>#N/A</v>
      </c>
      <c r="DL80" s="11" t="e">
        <f t="shared" si="296"/>
        <v>#N/A</v>
      </c>
      <c r="DN80" s="13"/>
      <c r="DO80" s="13"/>
      <c r="DX80" s="18" t="e">
        <f t="shared" si="297"/>
        <v>#N/A</v>
      </c>
      <c r="DY80" s="12" t="e">
        <f t="shared" si="298"/>
        <v>#N/A</v>
      </c>
      <c r="DZ80" s="11" t="e">
        <f t="shared" si="299"/>
        <v>#N/A</v>
      </c>
      <c r="EA80" s="11" t="e">
        <f t="shared" si="300"/>
        <v>#N/A</v>
      </c>
      <c r="EC80" s="13"/>
      <c r="ED80" s="13"/>
      <c r="EE80" s="12" t="e">
        <f t="shared" si="241"/>
        <v>#N/A</v>
      </c>
      <c r="EF80" s="12" t="e">
        <f t="shared" si="242"/>
        <v>#N/A</v>
      </c>
      <c r="EG80" s="11" t="e">
        <f t="shared" si="243"/>
        <v>#N/A</v>
      </c>
      <c r="EH80" s="11" t="e">
        <f t="shared" si="244"/>
        <v>#N/A</v>
      </c>
      <c r="EJ80" s="13"/>
      <c r="EK80" s="13"/>
      <c r="ET80" s="12" t="str">
        <f t="shared" si="301"/>
        <v>FY18-34</v>
      </c>
      <c r="EU80" s="12">
        <f t="shared" si="302"/>
        <v>43153</v>
      </c>
      <c r="EV80" s="11">
        <f t="shared" si="303"/>
        <v>17.18608104536829</v>
      </c>
      <c r="EW80" s="11">
        <f t="shared" si="304"/>
        <v>6</v>
      </c>
      <c r="EX80" s="13"/>
      <c r="EY80" s="13"/>
      <c r="EZ80" s="13"/>
      <c r="FI80" s="12" t="str">
        <f t="shared" si="305"/>
        <v>FY19</v>
      </c>
      <c r="FJ80" s="12">
        <f t="shared" si="306"/>
        <v>43517</v>
      </c>
      <c r="FK80" s="11">
        <f t="shared" si="307"/>
        <v>38.283030633083733</v>
      </c>
      <c r="FL80" s="11">
        <f t="shared" si="308"/>
        <v>30</v>
      </c>
      <c r="FN80" s="13"/>
      <c r="FO80" s="13"/>
      <c r="FP80" s="12" t="str">
        <f t="shared" si="245"/>
        <v>FY19</v>
      </c>
      <c r="FQ80" s="12">
        <f t="shared" si="246"/>
        <v>43503</v>
      </c>
      <c r="FR80" s="11">
        <f t="shared" si="247"/>
        <v>25.118955133362217</v>
      </c>
      <c r="FS80" s="11">
        <f t="shared" si="248"/>
        <v>12</v>
      </c>
      <c r="FU80" s="13"/>
      <c r="FV80" s="13"/>
      <c r="FX80" s="16"/>
      <c r="FY80" s="15"/>
      <c r="GF80" s="12" t="str">
        <f t="shared" si="309"/>
        <v>FY20</v>
      </c>
      <c r="GG80" s="12">
        <f t="shared" si="310"/>
        <v>43881</v>
      </c>
      <c r="GH80" s="11">
        <f t="shared" si="311"/>
        <v>21.31719914867741</v>
      </c>
      <c r="GI80" s="11">
        <f t="shared" si="312"/>
        <v>8</v>
      </c>
      <c r="GK80" s="13"/>
      <c r="GL80" s="13"/>
      <c r="GM80" s="12" t="str">
        <f t="shared" si="249"/>
        <v>FY20</v>
      </c>
      <c r="GN80" s="12">
        <f t="shared" si="250"/>
        <v>43867</v>
      </c>
      <c r="GO80" s="11">
        <f t="shared" si="251"/>
        <v>67.313625100563158</v>
      </c>
      <c r="GP80" s="11">
        <f t="shared" si="252"/>
        <v>60</v>
      </c>
      <c r="GR80" s="13"/>
      <c r="GS80" s="13"/>
      <c r="GU80" s="16"/>
      <c r="GV80" s="14"/>
      <c r="GW80" s="15"/>
      <c r="HB80" s="12" t="str">
        <f t="shared" si="313"/>
        <v>FY21</v>
      </c>
      <c r="HC80" s="12">
        <f t="shared" si="314"/>
        <v>44245</v>
      </c>
      <c r="HD80" s="11">
        <f t="shared" si="315"/>
        <v>78.306876740650651</v>
      </c>
      <c r="HE80" s="11">
        <f t="shared" si="316"/>
        <v>50</v>
      </c>
      <c r="HG80" s="13"/>
      <c r="HH80" s="13"/>
      <c r="HJ80" s="16"/>
      <c r="HK80" s="15"/>
      <c r="HL80" s="14"/>
      <c r="HQ80" s="12" t="str">
        <f t="shared" si="317"/>
        <v>FY22</v>
      </c>
      <c r="HR80" s="12">
        <f t="shared" si="318"/>
        <v>44609</v>
      </c>
      <c r="HS80" s="11">
        <f t="shared" si="319"/>
        <v>115.9472403770143</v>
      </c>
      <c r="HT80" s="11">
        <f t="shared" si="320"/>
        <v>80</v>
      </c>
      <c r="HV80" s="13"/>
      <c r="HW80" s="13"/>
      <c r="HX80" s="12" t="str">
        <f t="shared" si="253"/>
        <v>FY22</v>
      </c>
      <c r="HY80" s="12">
        <f t="shared" si="254"/>
        <v>44595</v>
      </c>
      <c r="HZ80" s="11">
        <f t="shared" si="255"/>
        <v>56.254159197324419</v>
      </c>
      <c r="IA80" s="11">
        <f t="shared" si="256"/>
        <v>40</v>
      </c>
      <c r="IC80" s="13"/>
      <c r="ID80" s="13"/>
      <c r="IM80" s="12" t="str">
        <f t="shared" si="271"/>
        <v>FY23</v>
      </c>
      <c r="IN80" s="12">
        <f t="shared" si="272"/>
        <v>44840</v>
      </c>
      <c r="IO80" s="11">
        <f t="shared" si="273"/>
        <v>47.423181270903001</v>
      </c>
      <c r="IP80" s="11">
        <f t="shared" si="274"/>
        <v>30</v>
      </c>
      <c r="IR80" s="13"/>
      <c r="IS80" s="13"/>
      <c r="IT80" s="40">
        <v>160</v>
      </c>
      <c r="IU80" s="39">
        <f t="shared" si="279"/>
        <v>279296999.99999994</v>
      </c>
      <c r="IV80" s="40">
        <v>310</v>
      </c>
      <c r="IW80" s="39">
        <f t="shared" si="280"/>
        <v>-13053000.000000164</v>
      </c>
      <c r="IY80" s="13"/>
      <c r="IZ80" s="13"/>
      <c r="JI80" s="12" t="str">
        <f t="shared" si="275"/>
        <v>FY24</v>
      </c>
      <c r="JJ80" s="12">
        <f t="shared" si="276"/>
        <v>45204</v>
      </c>
      <c r="JK80" s="11">
        <f t="shared" si="277"/>
        <v>85.3851064618067</v>
      </c>
      <c r="JL80" s="11">
        <f t="shared" si="278"/>
        <v>60</v>
      </c>
      <c r="JN80" s="13"/>
      <c r="JO80" s="13"/>
      <c r="JP80" s="40">
        <v>200</v>
      </c>
      <c r="JQ80" s="39">
        <f t="shared" si="269"/>
        <v>304737000</v>
      </c>
      <c r="JR80" s="40">
        <v>350</v>
      </c>
      <c r="JS80" s="39">
        <f t="shared" si="270"/>
        <v>-338013000</v>
      </c>
      <c r="JU80" s="13"/>
      <c r="JV80" s="13"/>
      <c r="NG80" s="12" t="str">
        <f t="shared" si="229"/>
        <v>FY18</v>
      </c>
      <c r="NH80" s="12">
        <f t="shared" si="230"/>
        <v>43069</v>
      </c>
      <c r="NI80" s="11">
        <f t="shared" si="231"/>
        <v>13.05095</v>
      </c>
      <c r="NJ80" s="11">
        <f t="shared" si="232"/>
        <v>3</v>
      </c>
      <c r="NL80" s="13"/>
      <c r="NV80" s="12" t="str">
        <f t="shared" si="233"/>
        <v>FY19</v>
      </c>
      <c r="NW80" s="12">
        <f t="shared" si="234"/>
        <v>43440</v>
      </c>
      <c r="NX80" s="11">
        <f t="shared" si="235"/>
        <v>24.038585999999999</v>
      </c>
      <c r="NY80" s="11">
        <f t="shared" si="236"/>
        <v>12</v>
      </c>
      <c r="OA80" s="13"/>
      <c r="OB80" s="1"/>
    </row>
    <row r="81" spans="6:392" x14ac:dyDescent="0.2">
      <c r="F81" s="5"/>
      <c r="G81" s="5"/>
      <c r="H81" s="5"/>
      <c r="I81" s="5"/>
      <c r="M81" s="5" t="str" cm="1">
        <f t="array" ref="M81">LOOKUP(2,1/($G$19:$G$35&lt;=$V81)/($H$19:$H$35&gt;=$V81),$F$19:$F$35)</f>
        <v>2H18</v>
      </c>
      <c r="N81" s="5" t="str" cm="1">
        <f t="array" ref="N81">LOOKUP(2,1/($G$8:$G$16&lt;=$V81)/($H$8:$H$16&gt;=$V81),$F$8:$F$16)</f>
        <v>FY18</v>
      </c>
      <c r="O81" s="5" t="str">
        <f>IFERROR(N81&amp;"-"&amp;COUNTIF($N$5:N81,N81),NA())</f>
        <v>FY18-51</v>
      </c>
      <c r="P81" s="5">
        <f>COUNTIF(V$5:V81,"&gt;="&amp;MAX($V:$V)-183)</f>
        <v>0</v>
      </c>
      <c r="Q81" s="5">
        <f>COUNTIF(V$5:V81,"&gt;="&amp;MAX($V:$V)-365)</f>
        <v>0</v>
      </c>
      <c r="R81" s="5" cm="1">
        <f t="array" ref="R81">LOOKUP(2,1/($G$46:$G$50&lt;=$V81)/($H$46:$H$50&gt;=$V81),$F$46:$F$50)</f>
        <v>0</v>
      </c>
      <c r="S81" s="5" cm="1">
        <f t="array" ref="S81">LOOKUP(2,1/($G$53:$G$56&lt;=$V81)/($H$53:$H$56&gt;=$V81),$F$53:$F$56)</f>
        <v>0</v>
      </c>
      <c r="T81" s="5" t="e">
        <f>IFERROR(IF($R81&gt;0,$R81&amp;"-"&amp;COUNTIF($R$5:$R81,$R81),NA()),NA())</f>
        <v>#N/A</v>
      </c>
      <c r="U81" s="5" t="e">
        <f>IFERROR(IF($S81&gt;0,$S81&amp;"-"&amp;COUNTIF($S$5:$S81,$S81),NA()),NA())</f>
        <v>#N/A</v>
      </c>
      <c r="V81" s="10">
        <v>43272</v>
      </c>
      <c r="W81" s="9">
        <v>11422460.775588047</v>
      </c>
      <c r="X81" s="9">
        <v>13733224.59048951</v>
      </c>
      <c r="Y81" s="8">
        <v>3000000</v>
      </c>
      <c r="AI81" s="18"/>
      <c r="AJ81" s="12"/>
      <c r="AK81" s="11"/>
      <c r="AL81" s="11"/>
      <c r="AN81" s="13"/>
      <c r="AO81" s="13"/>
      <c r="AP81" s="18" t="e">
        <f t="shared" ref="AP81:AP101" si="321">IF(OR(ISBLANK(AA37),$AD37&gt;=$AQ$46),NA(),AA37)</f>
        <v>#N/A</v>
      </c>
      <c r="AQ81" s="12" t="e">
        <f t="shared" ref="AQ81:AQ101" si="322">IF(OR(ISBLANK(AB37),$AD37&gt;=$AQ$46),NA(),AB37)</f>
        <v>#N/A</v>
      </c>
      <c r="AR81" s="11" t="e">
        <f t="shared" ref="AR81:AR101" si="323">IF(OR(ISBLANK(AC37),$AD37&gt;=$AQ$46),NA(),AC37/1000000)</f>
        <v>#N/A</v>
      </c>
      <c r="AS81" s="11" t="e">
        <f t="shared" ref="AS81:AS101" si="324">IF(OR(ISBLANK(AD37),$AD37&gt;=$AQ$46),NA(),AD37/1000000)</f>
        <v>#N/A</v>
      </c>
      <c r="AU81" s="13"/>
      <c r="BI81" s="18">
        <f t="shared" si="281"/>
        <v>35</v>
      </c>
      <c r="BJ81" s="12">
        <f t="shared" si="282"/>
        <v>45344</v>
      </c>
      <c r="BK81" s="11">
        <f t="shared" si="283"/>
        <v>20.955573934837091</v>
      </c>
      <c r="BL81" s="11">
        <f t="shared" si="284"/>
        <v>4</v>
      </c>
      <c r="BN81" s="13"/>
      <c r="BO81" s="13"/>
      <c r="BP81" s="40"/>
      <c r="BQ81" s="39"/>
      <c r="BR81" s="110"/>
      <c r="BS81" s="39"/>
      <c r="BU81" s="13"/>
      <c r="CE81" s="18" t="e">
        <f t="shared" si="285"/>
        <v>#N/A</v>
      </c>
      <c r="CF81" s="12" t="e">
        <f t="shared" si="286"/>
        <v>#N/A</v>
      </c>
      <c r="CG81" s="11" t="e">
        <f t="shared" si="287"/>
        <v>#N/A</v>
      </c>
      <c r="CH81" s="11" t="e">
        <f t="shared" si="288"/>
        <v>#N/A</v>
      </c>
      <c r="CJ81" s="13"/>
      <c r="CK81" s="13"/>
      <c r="CT81" s="18" t="e">
        <f t="shared" si="289"/>
        <v>#N/A</v>
      </c>
      <c r="CU81" s="12" t="e">
        <f t="shared" si="290"/>
        <v>#N/A</v>
      </c>
      <c r="CV81" s="11" t="e">
        <f t="shared" si="291"/>
        <v>#N/A</v>
      </c>
      <c r="CW81" s="11" t="e">
        <f t="shared" si="292"/>
        <v>#N/A</v>
      </c>
      <c r="CY81" s="13"/>
      <c r="DI81" s="18" t="e">
        <f t="shared" si="293"/>
        <v>#N/A</v>
      </c>
      <c r="DJ81" s="12" t="e">
        <f t="shared" si="294"/>
        <v>#N/A</v>
      </c>
      <c r="DK81" s="11" t="e">
        <f t="shared" si="295"/>
        <v>#N/A</v>
      </c>
      <c r="DL81" s="11" t="e">
        <f t="shared" si="296"/>
        <v>#N/A</v>
      </c>
      <c r="DN81" s="13"/>
      <c r="DO81" s="13"/>
      <c r="DX81" s="18" t="e">
        <f t="shared" si="297"/>
        <v>#N/A</v>
      </c>
      <c r="DY81" s="12" t="e">
        <f t="shared" si="298"/>
        <v>#N/A</v>
      </c>
      <c r="DZ81" s="11" t="e">
        <f t="shared" si="299"/>
        <v>#N/A</v>
      </c>
      <c r="EA81" s="11" t="e">
        <f t="shared" si="300"/>
        <v>#N/A</v>
      </c>
      <c r="EC81" s="13"/>
      <c r="ED81" s="13"/>
      <c r="EE81" s="12" t="e">
        <f t="shared" ref="EE81:EE101" si="325">IF(OR(ISBLANK(DP37),$DS37&gt;=$EF$46),NA(),DP37)</f>
        <v>#N/A</v>
      </c>
      <c r="EF81" s="12" t="e">
        <f t="shared" ref="EF81:EF101" si="326">IF(OR(ISBLANK(DQ37),$DS37&gt;=$EF$46),NA(),DQ37)</f>
        <v>#N/A</v>
      </c>
      <c r="EG81" s="11" t="e">
        <f t="shared" ref="EG81:EG101" si="327">IF(OR(ISBLANK(DR37),$DS37&gt;=$EF$46),NA(),DR37/1000000)</f>
        <v>#N/A</v>
      </c>
      <c r="EH81" s="11" t="e">
        <f t="shared" ref="EH81:EH101" si="328">IF(OR(ISBLANK(DS37),$DS37&gt;=$EF$46),NA(),DS37/1000000)</f>
        <v>#N/A</v>
      </c>
      <c r="EJ81" s="13"/>
      <c r="EK81" s="13"/>
      <c r="ET81" s="12" t="str">
        <f t="shared" si="301"/>
        <v>FY18-35</v>
      </c>
      <c r="EU81" s="12">
        <f t="shared" si="302"/>
        <v>43160</v>
      </c>
      <c r="EV81" s="11">
        <f t="shared" si="303"/>
        <v>21.685931050543381</v>
      </c>
      <c r="EW81" s="11">
        <f t="shared" si="304"/>
        <v>10</v>
      </c>
      <c r="EX81" s="13"/>
      <c r="EY81" s="13"/>
      <c r="EZ81" s="13"/>
      <c r="FI81" s="12" t="str">
        <f t="shared" si="305"/>
        <v>FY19</v>
      </c>
      <c r="FJ81" s="12">
        <f t="shared" si="306"/>
        <v>43524</v>
      </c>
      <c r="FK81" s="11">
        <f t="shared" si="307"/>
        <v>44.982119438084034</v>
      </c>
      <c r="FL81" s="11">
        <f t="shared" si="308"/>
        <v>40</v>
      </c>
      <c r="FN81" s="13"/>
      <c r="FO81" s="13"/>
      <c r="FP81" s="12" t="str">
        <f t="shared" ref="FP81:FP101" si="329">IF(OR(ISBLANK(FA37),$FD37&gt;=$FQ$46),NA(),FA37)</f>
        <v>FY19</v>
      </c>
      <c r="FQ81" s="12">
        <f t="shared" ref="FQ81:FQ101" si="330">IF(OR(ISBLANK(FB37),$FD37&gt;=$FQ$46),NA(),FB37)</f>
        <v>43510</v>
      </c>
      <c r="FR81" s="11">
        <f t="shared" ref="FR81:FR101" si="331">IF(OR(ISBLANK(FC37),$FD37&gt;=$FQ$46),NA(),FC37/1000000)</f>
        <v>31.354336778265978</v>
      </c>
      <c r="FS81" s="11">
        <f t="shared" ref="FS81:FS101" si="332">IF(OR(ISBLANK(FD37),$FD37&gt;=$FQ$46),NA(),FD37/1000000)</f>
        <v>20</v>
      </c>
      <c r="FU81" s="13"/>
      <c r="FV81" s="13"/>
      <c r="FX81" s="16"/>
      <c r="FY81" s="15"/>
      <c r="GF81" s="12" t="str">
        <f t="shared" si="309"/>
        <v>FY20</v>
      </c>
      <c r="GG81" s="12">
        <f t="shared" si="310"/>
        <v>43888</v>
      </c>
      <c r="GH81" s="11">
        <f t="shared" si="311"/>
        <v>28.132182912739434</v>
      </c>
      <c r="GI81" s="11">
        <f t="shared" si="312"/>
        <v>12</v>
      </c>
      <c r="GK81" s="13"/>
      <c r="GL81" s="13"/>
      <c r="GM81" s="12" t="str">
        <f t="shared" ref="GM81:GM101" si="333">IF(OR(ISBLANK(FW37),$FZ37&gt;=$GN$46),NA(),FW37)</f>
        <v>FY20</v>
      </c>
      <c r="GN81" s="12">
        <f t="shared" ref="GN81:GN101" si="334">IF(OR(ISBLANK(FX37),$FZ37&gt;=$GN$46),NA(),FX37)</f>
        <v>43874</v>
      </c>
      <c r="GO81" s="11">
        <f t="shared" ref="GO81:GO101" si="335">IF(OR(ISBLANK(FY37),$FZ37&gt;=$GN$46),NA(),FY37/1000000)</f>
        <v>14.466345689708522</v>
      </c>
      <c r="GP81" s="11">
        <f t="shared" ref="GP81:GP101" si="336">IF(OR(ISBLANK(FZ37),$FZ37&gt;=$GN$46),NA(),FZ37/1000000)</f>
        <v>3</v>
      </c>
      <c r="GR81" s="13"/>
      <c r="GS81" s="13"/>
      <c r="GU81" s="16"/>
      <c r="GV81" s="14"/>
      <c r="GW81" s="15"/>
      <c r="HB81" s="12" t="str">
        <f t="shared" si="313"/>
        <v>FY21</v>
      </c>
      <c r="HC81" s="12">
        <f t="shared" si="314"/>
        <v>44252</v>
      </c>
      <c r="HD81" s="11">
        <f t="shared" si="315"/>
        <v>22.972673761021586</v>
      </c>
      <c r="HE81" s="11">
        <f t="shared" si="316"/>
        <v>8</v>
      </c>
      <c r="HG81" s="13"/>
      <c r="HH81" s="13"/>
      <c r="HJ81" s="16"/>
      <c r="HK81" s="15"/>
      <c r="HL81" s="14"/>
      <c r="HQ81" s="12" t="str">
        <f t="shared" si="317"/>
        <v>FY22</v>
      </c>
      <c r="HR81" s="12">
        <f t="shared" si="318"/>
        <v>44616</v>
      </c>
      <c r="HS81" s="11">
        <f t="shared" si="319"/>
        <v>244.63164487686225</v>
      </c>
      <c r="HT81" s="11">
        <f t="shared" si="320"/>
        <v>120</v>
      </c>
      <c r="HV81" s="13"/>
      <c r="HW81" s="13"/>
      <c r="HX81" s="12" t="str">
        <f t="shared" ref="HX81:HX101" si="337">IF(OR(ISBLANK(HI37),$HL37&gt;=$HY$46),NA(),HI37)</f>
        <v>FY22</v>
      </c>
      <c r="HY81" s="12">
        <f t="shared" ref="HY81:HY101" si="338">IF(OR(ISBLANK(HJ37),$HL37&gt;=$HY$46),NA(),HJ37)</f>
        <v>44602</v>
      </c>
      <c r="HZ81" s="11">
        <f t="shared" ref="HZ81:HZ101" si="339">IF(OR(ISBLANK(HK37),$HL37&gt;=$HY$46),NA(),HK37/1000000)</f>
        <v>79.133284037701429</v>
      </c>
      <c r="IA81" s="11">
        <f t="shared" ref="IA81:IA101" si="340">IF(OR(ISBLANK(HL37),$HL37&gt;=$HY$46),NA(),HL37/1000000)</f>
        <v>60</v>
      </c>
      <c r="IC81" s="13"/>
      <c r="ID81" s="13"/>
      <c r="IM81" s="12" t="str">
        <f t="shared" si="271"/>
        <v>FY23</v>
      </c>
      <c r="IN81" s="12">
        <f t="shared" si="272"/>
        <v>44847</v>
      </c>
      <c r="IO81" s="11">
        <f t="shared" si="273"/>
        <v>77.692655761629666</v>
      </c>
      <c r="IP81" s="11">
        <f t="shared" si="274"/>
        <v>50</v>
      </c>
      <c r="IR81" s="13"/>
      <c r="IS81" s="13"/>
      <c r="IT81" s="40">
        <v>170</v>
      </c>
      <c r="IU81" s="39">
        <f t="shared" si="279"/>
        <v>290186999.99999994</v>
      </c>
      <c r="IV81" s="40">
        <v>320</v>
      </c>
      <c r="IW81" s="39">
        <f t="shared" si="280"/>
        <v>-81663000.000000238</v>
      </c>
      <c r="IY81" s="13"/>
      <c r="IZ81" s="13"/>
      <c r="JI81" s="12" t="str">
        <f t="shared" si="275"/>
        <v>FY24</v>
      </c>
      <c r="JJ81" s="12">
        <f t="shared" si="276"/>
        <v>45211</v>
      </c>
      <c r="JK81" s="11">
        <f t="shared" si="277"/>
        <v>19.942564454614796</v>
      </c>
      <c r="JL81" s="11">
        <f t="shared" si="278"/>
        <v>4</v>
      </c>
      <c r="JN81" s="13"/>
      <c r="JO81" s="13"/>
      <c r="JP81" s="40"/>
      <c r="JQ81" s="39"/>
      <c r="JR81" s="40"/>
      <c r="JS81" s="39"/>
      <c r="JU81" s="13"/>
      <c r="JV81" s="13"/>
      <c r="NG81" s="12" t="str">
        <f t="shared" si="229"/>
        <v>FY18</v>
      </c>
      <c r="NH81" s="12">
        <f t="shared" si="230"/>
        <v>43076</v>
      </c>
      <c r="NI81" s="11">
        <f t="shared" si="231"/>
        <v>17.104120000000002</v>
      </c>
      <c r="NJ81" s="11">
        <f t="shared" si="232"/>
        <v>6</v>
      </c>
      <c r="NL81" s="13"/>
      <c r="NV81" s="12" t="str">
        <f t="shared" si="233"/>
        <v>FY19</v>
      </c>
      <c r="NW81" s="12">
        <f t="shared" si="234"/>
        <v>43447</v>
      </c>
      <c r="NX81" s="11">
        <f t="shared" si="235"/>
        <v>31.84929</v>
      </c>
      <c r="NY81" s="11">
        <f t="shared" si="236"/>
        <v>20</v>
      </c>
      <c r="OA81" s="13"/>
      <c r="OB81" s="1"/>
    </row>
    <row r="82" spans="6:392" x14ac:dyDescent="0.2">
      <c r="F82" s="5"/>
      <c r="G82" s="5"/>
      <c r="H82" s="5"/>
      <c r="I82" s="5"/>
      <c r="M82" s="5" t="str" cm="1">
        <f t="array" ref="M82">LOOKUP(2,1/($G$19:$G$35&lt;=$V82)/($H$19:$H$35&gt;=$V82),$F$19:$F$35)</f>
        <v>2H18</v>
      </c>
      <c r="N82" s="5" t="str" cm="1">
        <f t="array" ref="N82">LOOKUP(2,1/($G$8:$G$16&lt;=$V82)/($H$8:$H$16&gt;=$V82),$F$8:$F$16)</f>
        <v>FY18</v>
      </c>
      <c r="O82" s="5" t="str">
        <f>IFERROR(N82&amp;"-"&amp;COUNTIF($N$5:N82,N82),NA())</f>
        <v>FY18-52</v>
      </c>
      <c r="P82" s="5">
        <f>COUNTIF(V$5:V82,"&gt;="&amp;MAX($V:$V)-183)</f>
        <v>0</v>
      </c>
      <c r="Q82" s="5">
        <f>COUNTIF(V$5:V82,"&gt;="&amp;MAX($V:$V)-365)</f>
        <v>0</v>
      </c>
      <c r="R82" s="5" cm="1">
        <f t="array" ref="R82">LOOKUP(2,1/($G$46:$G$50&lt;=$V82)/($H$46:$H$50&gt;=$V82),$F$46:$F$50)</f>
        <v>0</v>
      </c>
      <c r="S82" s="5" cm="1">
        <f t="array" ref="S82">LOOKUP(2,1/($G$53:$G$56&lt;=$V82)/($H$53:$H$56&gt;=$V82),$F$53:$F$56)</f>
        <v>0</v>
      </c>
      <c r="T82" s="5" t="e">
        <f>IFERROR(IF($R82&gt;0,$R82&amp;"-"&amp;COUNTIF($R$5:$R82,$R82),NA()),NA())</f>
        <v>#N/A</v>
      </c>
      <c r="U82" s="5" t="e">
        <f>IFERROR(IF($S82&gt;0,$S82&amp;"-"&amp;COUNTIF($S$5:$S82,$S82),NA()),NA())</f>
        <v>#N/A</v>
      </c>
      <c r="V82" s="10">
        <v>43279</v>
      </c>
      <c r="W82" s="9">
        <v>16829889.891926251</v>
      </c>
      <c r="X82" s="9">
        <v>20234576.617062934</v>
      </c>
      <c r="Y82" s="8">
        <v>8000000</v>
      </c>
      <c r="AI82" s="18"/>
      <c r="AJ82" s="12"/>
      <c r="AK82" s="11"/>
      <c r="AL82" s="11"/>
      <c r="AN82" s="13"/>
      <c r="AO82" s="13"/>
      <c r="AP82" s="18" t="e">
        <f t="shared" si="321"/>
        <v>#N/A</v>
      </c>
      <c r="AQ82" s="12" t="e">
        <f t="shared" si="322"/>
        <v>#N/A</v>
      </c>
      <c r="AR82" s="11" t="e">
        <f t="shared" si="323"/>
        <v>#N/A</v>
      </c>
      <c r="AS82" s="11" t="e">
        <f t="shared" si="324"/>
        <v>#N/A</v>
      </c>
      <c r="AU82" s="13"/>
      <c r="BI82" s="18">
        <f t="shared" si="281"/>
        <v>36</v>
      </c>
      <c r="BJ82" s="12">
        <f t="shared" si="282"/>
        <v>45351</v>
      </c>
      <c r="BK82" s="11">
        <f t="shared" si="283"/>
        <v>33.186050670153648</v>
      </c>
      <c r="BL82" s="11">
        <f t="shared" si="284"/>
        <v>12</v>
      </c>
      <c r="BN82" s="13"/>
      <c r="BO82" s="13"/>
      <c r="BP82" s="40"/>
      <c r="BQ82" s="39"/>
      <c r="BR82" s="110"/>
      <c r="BS82" s="39"/>
      <c r="BU82" s="13"/>
      <c r="CE82" s="18" t="e">
        <f t="shared" si="285"/>
        <v>#N/A</v>
      </c>
      <c r="CF82" s="12" t="e">
        <f t="shared" si="286"/>
        <v>#N/A</v>
      </c>
      <c r="CG82" s="11" t="e">
        <f t="shared" si="287"/>
        <v>#N/A</v>
      </c>
      <c r="CH82" s="11" t="e">
        <f t="shared" si="288"/>
        <v>#N/A</v>
      </c>
      <c r="CJ82" s="13"/>
      <c r="CK82" s="13"/>
      <c r="CT82" s="18" t="e">
        <f t="shared" si="289"/>
        <v>#N/A</v>
      </c>
      <c r="CU82" s="12" t="e">
        <f t="shared" si="290"/>
        <v>#N/A</v>
      </c>
      <c r="CV82" s="11" t="e">
        <f t="shared" si="291"/>
        <v>#N/A</v>
      </c>
      <c r="CW82" s="11" t="e">
        <f t="shared" si="292"/>
        <v>#N/A</v>
      </c>
      <c r="CY82" s="13"/>
      <c r="DI82" s="18" t="e">
        <f t="shared" si="293"/>
        <v>#N/A</v>
      </c>
      <c r="DJ82" s="12" t="e">
        <f t="shared" si="294"/>
        <v>#N/A</v>
      </c>
      <c r="DK82" s="11" t="e">
        <f t="shared" si="295"/>
        <v>#N/A</v>
      </c>
      <c r="DL82" s="11" t="e">
        <f t="shared" si="296"/>
        <v>#N/A</v>
      </c>
      <c r="DN82" s="13"/>
      <c r="DO82" s="13"/>
      <c r="DX82" s="18" t="e">
        <f t="shared" si="297"/>
        <v>#N/A</v>
      </c>
      <c r="DY82" s="12" t="e">
        <f t="shared" si="298"/>
        <v>#N/A</v>
      </c>
      <c r="DZ82" s="11" t="e">
        <f t="shared" si="299"/>
        <v>#N/A</v>
      </c>
      <c r="EA82" s="11" t="e">
        <f t="shared" si="300"/>
        <v>#N/A</v>
      </c>
      <c r="EC82" s="13"/>
      <c r="ED82" s="13"/>
      <c r="EE82" s="12" t="e">
        <f t="shared" si="325"/>
        <v>#N/A</v>
      </c>
      <c r="EF82" s="12" t="e">
        <f t="shared" si="326"/>
        <v>#N/A</v>
      </c>
      <c r="EG82" s="11" t="e">
        <f t="shared" si="327"/>
        <v>#N/A</v>
      </c>
      <c r="EH82" s="11" t="e">
        <f t="shared" si="328"/>
        <v>#N/A</v>
      </c>
      <c r="EJ82" s="13"/>
      <c r="EK82" s="13"/>
      <c r="ET82" s="12" t="str">
        <f t="shared" si="301"/>
        <v>FY18-36</v>
      </c>
      <c r="EU82" s="12">
        <f t="shared" si="302"/>
        <v>43167</v>
      </c>
      <c r="EV82" s="11">
        <f t="shared" si="303"/>
        <v>27.412380840089696</v>
      </c>
      <c r="EW82" s="11">
        <f t="shared" si="304"/>
        <v>15</v>
      </c>
      <c r="EX82" s="13"/>
      <c r="EY82" s="13"/>
      <c r="EZ82" s="13"/>
      <c r="FI82" s="12" t="str">
        <f t="shared" si="305"/>
        <v>FY19</v>
      </c>
      <c r="FJ82" s="12">
        <f t="shared" si="306"/>
        <v>43531</v>
      </c>
      <c r="FK82" s="11">
        <f t="shared" si="307"/>
        <v>13.444204963178414</v>
      </c>
      <c r="FL82" s="11">
        <f t="shared" si="308"/>
        <v>3</v>
      </c>
      <c r="FN82" s="13"/>
      <c r="FO82" s="13"/>
      <c r="FP82" s="12" t="str">
        <f t="shared" si="329"/>
        <v>FY19</v>
      </c>
      <c r="FQ82" s="12">
        <f t="shared" si="330"/>
        <v>43517</v>
      </c>
      <c r="FR82" s="11">
        <f t="shared" si="331"/>
        <v>38.283030633083733</v>
      </c>
      <c r="FS82" s="11">
        <f t="shared" si="332"/>
        <v>30</v>
      </c>
      <c r="FU82" s="13"/>
      <c r="FV82" s="13"/>
      <c r="FX82" s="16"/>
      <c r="FY82" s="15"/>
      <c r="GF82" s="12" t="str">
        <f t="shared" si="309"/>
        <v>FY20</v>
      </c>
      <c r="GG82" s="12">
        <f t="shared" si="310"/>
        <v>43895</v>
      </c>
      <c r="GH82" s="11">
        <f t="shared" si="311"/>
        <v>36.338271571906361</v>
      </c>
      <c r="GI82" s="11">
        <f t="shared" si="312"/>
        <v>20</v>
      </c>
      <c r="GK82" s="13"/>
      <c r="GL82" s="13"/>
      <c r="GM82" s="12" t="str">
        <f t="shared" si="333"/>
        <v>FY20</v>
      </c>
      <c r="GN82" s="12">
        <f t="shared" si="334"/>
        <v>43881</v>
      </c>
      <c r="GO82" s="11">
        <f t="shared" si="335"/>
        <v>21.31719914867741</v>
      </c>
      <c r="GP82" s="11">
        <f t="shared" si="336"/>
        <v>8</v>
      </c>
      <c r="GR82" s="13"/>
      <c r="GS82" s="13"/>
      <c r="GU82" s="16"/>
      <c r="GV82" s="14"/>
      <c r="GW82" s="15"/>
      <c r="HB82" s="12" t="str">
        <f t="shared" si="313"/>
        <v>FY21</v>
      </c>
      <c r="HC82" s="12">
        <f t="shared" si="314"/>
        <v>44259</v>
      </c>
      <c r="HD82" s="11">
        <f t="shared" si="315"/>
        <v>37.058402918820313</v>
      </c>
      <c r="HE82" s="11">
        <f t="shared" si="316"/>
        <v>20</v>
      </c>
      <c r="HG82" s="13"/>
      <c r="HH82" s="13"/>
      <c r="HJ82" s="16"/>
      <c r="HK82" s="15"/>
      <c r="HL82" s="14"/>
      <c r="HQ82" s="12" t="str">
        <f t="shared" si="317"/>
        <v>FY22</v>
      </c>
      <c r="HR82" s="12">
        <f t="shared" si="318"/>
        <v>44623</v>
      </c>
      <c r="HS82" s="11">
        <f t="shared" si="319"/>
        <v>19.764375068409851</v>
      </c>
      <c r="HT82" s="11">
        <f t="shared" si="320"/>
        <v>3</v>
      </c>
      <c r="HV82" s="13"/>
      <c r="HW82" s="13"/>
      <c r="HX82" s="12" t="str">
        <f t="shared" si="337"/>
        <v>FY22</v>
      </c>
      <c r="HY82" s="12">
        <f t="shared" si="338"/>
        <v>44609</v>
      </c>
      <c r="HZ82" s="11">
        <f t="shared" si="339"/>
        <v>115.9472403770143</v>
      </c>
      <c r="IA82" s="11">
        <f t="shared" si="340"/>
        <v>80</v>
      </c>
      <c r="IC82" s="13"/>
      <c r="ID82" s="13"/>
      <c r="IM82" s="12" t="str">
        <f t="shared" si="271"/>
        <v>FY23</v>
      </c>
      <c r="IN82" s="12">
        <f t="shared" si="272"/>
        <v>44854</v>
      </c>
      <c r="IO82" s="11">
        <f t="shared" si="273"/>
        <v>183.08447309212528</v>
      </c>
      <c r="IP82" s="11">
        <f t="shared" si="274"/>
        <v>100</v>
      </c>
      <c r="IR82" s="13"/>
      <c r="IS82" s="13"/>
      <c r="IT82" s="40">
        <v>180</v>
      </c>
      <c r="IU82" s="39">
        <f t="shared" si="279"/>
        <v>298297000</v>
      </c>
      <c r="IV82" s="40">
        <v>330</v>
      </c>
      <c r="IW82" s="39">
        <f t="shared" si="280"/>
        <v>-158453000.00000036</v>
      </c>
      <c r="IY82" s="13"/>
      <c r="IZ82" s="13"/>
      <c r="JI82" s="12" t="str">
        <f t="shared" si="275"/>
        <v>FY24</v>
      </c>
      <c r="JJ82" s="12">
        <f t="shared" si="276"/>
        <v>45218</v>
      </c>
      <c r="JK82" s="11">
        <f t="shared" si="277"/>
        <v>28.337262286150157</v>
      </c>
      <c r="JL82" s="11">
        <f t="shared" si="278"/>
        <v>12</v>
      </c>
      <c r="JN82" s="13"/>
      <c r="JO82" s="13"/>
      <c r="JP82" s="2" t="s">
        <v>28</v>
      </c>
      <c r="JQ82" s="42">
        <v>100000000</v>
      </c>
      <c r="JR82" s="40"/>
      <c r="JS82" s="39"/>
      <c r="JU82" s="13"/>
      <c r="JV82" s="13"/>
      <c r="NG82" s="12" t="str">
        <f t="shared" si="229"/>
        <v>FY18</v>
      </c>
      <c r="NH82" s="12">
        <f t="shared" si="230"/>
        <v>43083</v>
      </c>
      <c r="NI82" s="11">
        <f t="shared" si="231"/>
        <v>19.45515</v>
      </c>
      <c r="NJ82" s="11">
        <f t="shared" si="232"/>
        <v>10</v>
      </c>
      <c r="NL82" s="13"/>
      <c r="NV82" s="12" t="str">
        <f t="shared" si="233"/>
        <v>FY19</v>
      </c>
      <c r="NW82" s="12">
        <f t="shared" si="234"/>
        <v>43454</v>
      </c>
      <c r="NX82" s="11">
        <f t="shared" si="235"/>
        <v>32.226612000000003</v>
      </c>
      <c r="NY82" s="11">
        <f t="shared" si="236"/>
        <v>25</v>
      </c>
      <c r="OA82" s="13"/>
      <c r="OB82" s="1"/>
    </row>
    <row r="83" spans="6:392" x14ac:dyDescent="0.2">
      <c r="F83" s="5"/>
      <c r="G83" s="5"/>
      <c r="H83" s="5"/>
      <c r="I83" s="5"/>
      <c r="M83" s="5" t="str" cm="1">
        <f t="array" ref="M83">LOOKUP(2,1/($G$19:$G$35&lt;=$V83)/($H$19:$H$35&gt;=$V83),$F$19:$F$35)</f>
        <v>1H19</v>
      </c>
      <c r="N83" s="5" t="str" cm="1">
        <f t="array" ref="N83">LOOKUP(2,1/($G$8:$G$16&lt;=$V83)/($H$8:$H$16&gt;=$V83),$F$8:$F$16)</f>
        <v>FY19</v>
      </c>
      <c r="O83" s="5" t="str">
        <f>IFERROR(N83&amp;"-"&amp;COUNTIF($N$5:N83,N83),NA())</f>
        <v>FY19-1</v>
      </c>
      <c r="P83" s="5">
        <f>COUNTIF(V$5:V83,"&gt;="&amp;MAX($V:$V)-183)</f>
        <v>0</v>
      </c>
      <c r="Q83" s="5">
        <f>COUNTIF(V$5:V83,"&gt;="&amp;MAX($V:$V)-365)</f>
        <v>0</v>
      </c>
      <c r="R83" s="5" cm="1">
        <f t="array" ref="R83">LOOKUP(2,1/($G$46:$G$50&lt;=$V83)/($H$46:$H$50&gt;=$V83),$F$46:$F$50)</f>
        <v>0</v>
      </c>
      <c r="S83" s="5" cm="1">
        <f t="array" ref="S83">LOOKUP(2,1/($G$53:$G$56&lt;=$V83)/($H$53:$H$56&gt;=$V83),$F$53:$F$56)</f>
        <v>0</v>
      </c>
      <c r="T83" s="5" t="e">
        <f>IFERROR(IF($R83&gt;0,$R83&amp;"-"&amp;COUNTIF($R$5:$R83,$R83),NA()),NA())</f>
        <v>#N/A</v>
      </c>
      <c r="U83" s="5" t="e">
        <f>IFERROR(IF($S83&gt;0,$S83&amp;"-"&amp;COUNTIF($S$5:$S83,$S83),NA()),NA())</f>
        <v>#N/A</v>
      </c>
      <c r="V83" s="10">
        <v>43286</v>
      </c>
      <c r="W83" s="9">
        <v>20852316.083916079</v>
      </c>
      <c r="X83" s="9">
        <v>25070739.627692305</v>
      </c>
      <c r="Y83" s="8">
        <v>12000000</v>
      </c>
      <c r="AI83" s="18"/>
      <c r="AJ83" s="12"/>
      <c r="AK83" s="11"/>
      <c r="AL83" s="11"/>
      <c r="AN83" s="13"/>
      <c r="AO83" s="13"/>
      <c r="AP83" s="18" t="e">
        <f t="shared" si="321"/>
        <v>#N/A</v>
      </c>
      <c r="AQ83" s="12" t="e">
        <f t="shared" si="322"/>
        <v>#N/A</v>
      </c>
      <c r="AR83" s="11" t="e">
        <f t="shared" si="323"/>
        <v>#N/A</v>
      </c>
      <c r="AS83" s="11" t="e">
        <f t="shared" si="324"/>
        <v>#N/A</v>
      </c>
      <c r="AU83" s="13"/>
      <c r="BI83" s="18">
        <f t="shared" si="281"/>
        <v>37</v>
      </c>
      <c r="BJ83" s="12">
        <f t="shared" si="282"/>
        <v>45358</v>
      </c>
      <c r="BK83" s="11">
        <f t="shared" si="283"/>
        <v>40.790859104282447</v>
      </c>
      <c r="BL83" s="11">
        <f t="shared" si="284"/>
        <v>20</v>
      </c>
      <c r="BN83" s="13"/>
      <c r="BO83" s="13"/>
      <c r="BP83" s="40"/>
      <c r="BQ83" s="39"/>
      <c r="BR83" s="110"/>
      <c r="BS83" s="39"/>
      <c r="BU83" s="13"/>
      <c r="CE83" s="18" t="e">
        <f t="shared" si="285"/>
        <v>#N/A</v>
      </c>
      <c r="CF83" s="12" t="e">
        <f t="shared" si="286"/>
        <v>#N/A</v>
      </c>
      <c r="CG83" s="11" t="e">
        <f t="shared" si="287"/>
        <v>#N/A</v>
      </c>
      <c r="CH83" s="11" t="e">
        <f t="shared" si="288"/>
        <v>#N/A</v>
      </c>
      <c r="CJ83" s="13"/>
      <c r="CK83" s="13"/>
      <c r="CT83" s="18" t="e">
        <f t="shared" si="289"/>
        <v>#N/A</v>
      </c>
      <c r="CU83" s="12" t="e">
        <f t="shared" si="290"/>
        <v>#N/A</v>
      </c>
      <c r="CV83" s="11" t="e">
        <f t="shared" si="291"/>
        <v>#N/A</v>
      </c>
      <c r="CW83" s="11" t="e">
        <f t="shared" si="292"/>
        <v>#N/A</v>
      </c>
      <c r="CY83" s="13"/>
      <c r="DI83" s="18" t="e">
        <f t="shared" si="293"/>
        <v>#N/A</v>
      </c>
      <c r="DJ83" s="12" t="e">
        <f t="shared" si="294"/>
        <v>#N/A</v>
      </c>
      <c r="DK83" s="11" t="e">
        <f t="shared" si="295"/>
        <v>#N/A</v>
      </c>
      <c r="DL83" s="11" t="e">
        <f t="shared" si="296"/>
        <v>#N/A</v>
      </c>
      <c r="DN83" s="13"/>
      <c r="DO83" s="13"/>
      <c r="DX83" s="18" t="e">
        <f t="shared" si="297"/>
        <v>#N/A</v>
      </c>
      <c r="DY83" s="12" t="e">
        <f t="shared" si="298"/>
        <v>#N/A</v>
      </c>
      <c r="DZ83" s="11" t="e">
        <f t="shared" si="299"/>
        <v>#N/A</v>
      </c>
      <c r="EA83" s="11" t="e">
        <f t="shared" si="300"/>
        <v>#N/A</v>
      </c>
      <c r="EC83" s="13"/>
      <c r="ED83" s="13"/>
      <c r="EE83" s="12" t="e">
        <f t="shared" si="325"/>
        <v>#N/A</v>
      </c>
      <c r="EF83" s="12" t="e">
        <f t="shared" si="326"/>
        <v>#N/A</v>
      </c>
      <c r="EG83" s="11" t="e">
        <f t="shared" si="327"/>
        <v>#N/A</v>
      </c>
      <c r="EH83" s="11" t="e">
        <f t="shared" si="328"/>
        <v>#N/A</v>
      </c>
      <c r="EJ83" s="13"/>
      <c r="EK83" s="13"/>
      <c r="ET83" s="12" t="str">
        <f t="shared" si="301"/>
        <v>FY18-37</v>
      </c>
      <c r="EU83" s="12">
        <f t="shared" si="302"/>
        <v>43174</v>
      </c>
      <c r="EV83" s="11">
        <f t="shared" si="303"/>
        <v>42.040755794376395</v>
      </c>
      <c r="EW83" s="11">
        <f t="shared" si="304"/>
        <v>30</v>
      </c>
      <c r="EX83" s="13"/>
      <c r="EY83" s="13"/>
      <c r="EZ83" s="13"/>
      <c r="FI83" s="12" t="str">
        <f t="shared" si="305"/>
        <v>FY19</v>
      </c>
      <c r="FJ83" s="12">
        <f t="shared" si="306"/>
        <v>43538</v>
      </c>
      <c r="FK83" s="11">
        <f t="shared" si="307"/>
        <v>16.484335664335664</v>
      </c>
      <c r="FL83" s="11">
        <f t="shared" si="308"/>
        <v>8</v>
      </c>
      <c r="FN83" s="13"/>
      <c r="FO83" s="13"/>
      <c r="FP83" s="12" t="str">
        <f t="shared" si="329"/>
        <v>FY19</v>
      </c>
      <c r="FQ83" s="12">
        <f t="shared" si="330"/>
        <v>43524</v>
      </c>
      <c r="FR83" s="11">
        <f t="shared" si="331"/>
        <v>44.982119438084034</v>
      </c>
      <c r="FS83" s="11">
        <f t="shared" si="332"/>
        <v>40</v>
      </c>
      <c r="FU83" s="13"/>
      <c r="FV83" s="13"/>
      <c r="FX83" s="16"/>
      <c r="FY83" s="15"/>
      <c r="GF83" s="12" t="str">
        <f t="shared" si="309"/>
        <v>FY20</v>
      </c>
      <c r="GG83" s="12">
        <f t="shared" si="310"/>
        <v>43902</v>
      </c>
      <c r="GH83" s="11">
        <f t="shared" si="311"/>
        <v>47.382249437519008</v>
      </c>
      <c r="GI83" s="11">
        <f t="shared" si="312"/>
        <v>40</v>
      </c>
      <c r="GK83" s="13"/>
      <c r="GL83" s="13"/>
      <c r="GM83" s="12" t="str">
        <f t="shared" si="333"/>
        <v>FY20</v>
      </c>
      <c r="GN83" s="12">
        <f t="shared" si="334"/>
        <v>43888</v>
      </c>
      <c r="GO83" s="11">
        <f t="shared" si="335"/>
        <v>28.132182912739434</v>
      </c>
      <c r="GP83" s="11">
        <f t="shared" si="336"/>
        <v>12</v>
      </c>
      <c r="GR83" s="13"/>
      <c r="GS83" s="13"/>
      <c r="GU83" s="16"/>
      <c r="GV83" s="14"/>
      <c r="GW83" s="15"/>
      <c r="HB83" s="12" t="str">
        <f t="shared" si="313"/>
        <v>FY21</v>
      </c>
      <c r="HC83" s="12">
        <f t="shared" si="314"/>
        <v>44266</v>
      </c>
      <c r="HD83" s="11">
        <f t="shared" si="315"/>
        <v>45.393461356035267</v>
      </c>
      <c r="HE83" s="11">
        <f t="shared" si="316"/>
        <v>30</v>
      </c>
      <c r="HG83" s="13"/>
      <c r="HH83" s="13"/>
      <c r="HJ83" s="16"/>
      <c r="HK83" s="15"/>
      <c r="HL83" s="14"/>
      <c r="HQ83" s="12" t="str">
        <f t="shared" si="317"/>
        <v>FY22</v>
      </c>
      <c r="HR83" s="12">
        <f t="shared" si="318"/>
        <v>44630</v>
      </c>
      <c r="HS83" s="11">
        <f t="shared" si="319"/>
        <v>26.335124840377009</v>
      </c>
      <c r="HT83" s="11">
        <f t="shared" si="320"/>
        <v>8</v>
      </c>
      <c r="HV83" s="13"/>
      <c r="HW83" s="13"/>
      <c r="HX83" s="12" t="e">
        <f t="shared" si="337"/>
        <v>#N/A</v>
      </c>
      <c r="HY83" s="12" t="e">
        <f t="shared" si="338"/>
        <v>#N/A</v>
      </c>
      <c r="HZ83" s="11" t="e">
        <f t="shared" si="339"/>
        <v>#N/A</v>
      </c>
      <c r="IA83" s="11" t="e">
        <f t="shared" si="340"/>
        <v>#N/A</v>
      </c>
      <c r="IC83" s="13"/>
      <c r="ID83" s="13"/>
      <c r="IM83" s="12" t="str">
        <f t="shared" si="271"/>
        <v>FY23</v>
      </c>
      <c r="IN83" s="12">
        <f t="shared" si="272"/>
        <v>44861</v>
      </c>
      <c r="IO83" s="11">
        <f t="shared" si="273"/>
        <v>284.83741380358765</v>
      </c>
      <c r="IP83" s="11">
        <f t="shared" si="274"/>
        <v>160</v>
      </c>
      <c r="IR83" s="13"/>
      <c r="IS83" s="13"/>
      <c r="IT83" s="40">
        <v>190</v>
      </c>
      <c r="IU83" s="39">
        <f t="shared" si="279"/>
        <v>303267000</v>
      </c>
      <c r="IV83" s="40">
        <v>340</v>
      </c>
      <c r="IW83" s="39">
        <f t="shared" si="280"/>
        <v>-243783000.00000027</v>
      </c>
      <c r="IY83" s="13"/>
      <c r="IZ83" s="13"/>
      <c r="JI83" s="12" t="str">
        <f t="shared" si="275"/>
        <v>FY24</v>
      </c>
      <c r="JJ83" s="12">
        <f t="shared" si="276"/>
        <v>45225</v>
      </c>
      <c r="JK83" s="11">
        <f t="shared" si="277"/>
        <v>41.102714394682366</v>
      </c>
      <c r="JL83" s="11">
        <f t="shared" si="278"/>
        <v>20</v>
      </c>
      <c r="JN83" s="13"/>
      <c r="JO83" s="13"/>
      <c r="JP83" s="40"/>
      <c r="JQ83" s="39"/>
      <c r="JR83" s="40"/>
      <c r="JS83" s="39"/>
      <c r="JU83" s="13"/>
      <c r="JV83" s="13"/>
      <c r="NG83" s="12"/>
      <c r="NH83" s="12"/>
      <c r="NI83" s="11"/>
      <c r="NJ83" s="11"/>
      <c r="NL83" s="13"/>
      <c r="NV83" s="12"/>
      <c r="NW83" s="12"/>
      <c r="NX83" s="11"/>
      <c r="NY83" s="11"/>
      <c r="OA83" s="13"/>
      <c r="OB83" s="1"/>
    </row>
    <row r="84" spans="6:392" x14ac:dyDescent="0.2">
      <c r="F84" s="5"/>
      <c r="G84" s="5"/>
      <c r="H84" s="5"/>
      <c r="I84" s="5"/>
      <c r="M84" s="5" t="str" cm="1">
        <f t="array" ref="M84">LOOKUP(2,1/($G$19:$G$35&lt;=$V84)/($H$19:$H$35&gt;=$V84),$F$19:$F$35)</f>
        <v>1H19</v>
      </c>
      <c r="N84" s="5" t="str" cm="1">
        <f t="array" ref="N84">LOOKUP(2,1/($G$8:$G$16&lt;=$V84)/($H$8:$H$16&gt;=$V84),$F$8:$F$16)</f>
        <v>FY19</v>
      </c>
      <c r="O84" s="5" t="str">
        <f>IFERROR(N84&amp;"-"&amp;COUNTIF($N$5:N84,N84),NA())</f>
        <v>FY19-2</v>
      </c>
      <c r="P84" s="5">
        <f>COUNTIF(V$5:V84,"&gt;="&amp;MAX($V:$V)-183)</f>
        <v>0</v>
      </c>
      <c r="Q84" s="5">
        <f>COUNTIF(V$5:V84,"&gt;="&amp;MAX($V:$V)-365)</f>
        <v>0</v>
      </c>
      <c r="R84" s="5" cm="1">
        <f t="array" ref="R84">LOOKUP(2,1/($G$46:$G$50&lt;=$V84)/($H$46:$H$50&gt;=$V84),$F$46:$F$50)</f>
        <v>0</v>
      </c>
      <c r="S84" s="5" cm="1">
        <f t="array" ref="S84">LOOKUP(2,1/($G$53:$G$56&lt;=$V84)/($H$53:$H$56&gt;=$V84),$F$53:$F$56)</f>
        <v>0</v>
      </c>
      <c r="T84" s="5" t="e">
        <f>IFERROR(IF($R84&gt;0,$R84&amp;"-"&amp;COUNTIF($R$5:$R84,$R84),NA()),NA())</f>
        <v>#N/A</v>
      </c>
      <c r="U84" s="5" t="e">
        <f>IFERROR(IF($S84&gt;0,$S84&amp;"-"&amp;COUNTIF($S$5:$S84,$S84),NA()),NA())</f>
        <v>#N/A</v>
      </c>
      <c r="V84" s="10">
        <v>43293</v>
      </c>
      <c r="W84" s="9">
        <v>26842498.410680223</v>
      </c>
      <c r="X84" s="9">
        <v>32272735.839160837</v>
      </c>
      <c r="Y84" s="8">
        <v>20000000</v>
      </c>
      <c r="AI84" s="18"/>
      <c r="AJ84" s="12"/>
      <c r="AK84" s="11"/>
      <c r="AL84" s="11"/>
      <c r="AN84" s="13"/>
      <c r="AO84" s="13"/>
      <c r="AP84" s="18" t="e">
        <f t="shared" si="321"/>
        <v>#N/A</v>
      </c>
      <c r="AQ84" s="12" t="e">
        <f t="shared" si="322"/>
        <v>#N/A</v>
      </c>
      <c r="AR84" s="11" t="e">
        <f t="shared" si="323"/>
        <v>#N/A</v>
      </c>
      <c r="AS84" s="11" t="e">
        <f t="shared" si="324"/>
        <v>#N/A</v>
      </c>
      <c r="AU84" s="13"/>
      <c r="BI84" s="18">
        <f t="shared" si="281"/>
        <v>38</v>
      </c>
      <c r="BJ84" s="12">
        <f t="shared" si="282"/>
        <v>45365</v>
      </c>
      <c r="BK84" s="11">
        <f t="shared" si="283"/>
        <v>52.908046965239187</v>
      </c>
      <c r="BL84" s="11">
        <f t="shared" si="284"/>
        <v>40</v>
      </c>
      <c r="BN84" s="13"/>
      <c r="BO84" s="13"/>
      <c r="BP84" s="40"/>
      <c r="BQ84" s="39"/>
      <c r="BR84" s="110"/>
      <c r="BS84" s="39"/>
      <c r="BU84" s="13"/>
      <c r="CE84" s="18" t="e">
        <f t="shared" si="285"/>
        <v>#N/A</v>
      </c>
      <c r="CF84" s="12" t="e">
        <f t="shared" si="286"/>
        <v>#N/A</v>
      </c>
      <c r="CG84" s="11" t="e">
        <f t="shared" si="287"/>
        <v>#N/A</v>
      </c>
      <c r="CH84" s="11" t="e">
        <f t="shared" si="288"/>
        <v>#N/A</v>
      </c>
      <c r="CJ84" s="13"/>
      <c r="CK84" s="13"/>
      <c r="CT84" s="18" t="e">
        <f t="shared" si="289"/>
        <v>#N/A</v>
      </c>
      <c r="CU84" s="12" t="e">
        <f t="shared" si="290"/>
        <v>#N/A</v>
      </c>
      <c r="CV84" s="11" t="e">
        <f t="shared" si="291"/>
        <v>#N/A</v>
      </c>
      <c r="CW84" s="11" t="e">
        <f t="shared" si="292"/>
        <v>#N/A</v>
      </c>
      <c r="CY84" s="13"/>
      <c r="DI84" s="18" t="e">
        <f t="shared" si="293"/>
        <v>#N/A</v>
      </c>
      <c r="DJ84" s="12" t="e">
        <f t="shared" si="294"/>
        <v>#N/A</v>
      </c>
      <c r="DK84" s="11" t="e">
        <f t="shared" si="295"/>
        <v>#N/A</v>
      </c>
      <c r="DL84" s="11" t="e">
        <f t="shared" si="296"/>
        <v>#N/A</v>
      </c>
      <c r="DN84" s="13"/>
      <c r="DO84" s="13"/>
      <c r="DX84" s="18" t="e">
        <f t="shared" si="297"/>
        <v>#N/A</v>
      </c>
      <c r="DY84" s="12" t="e">
        <f t="shared" si="298"/>
        <v>#N/A</v>
      </c>
      <c r="DZ84" s="11" t="e">
        <f t="shared" si="299"/>
        <v>#N/A</v>
      </c>
      <c r="EA84" s="11" t="e">
        <f t="shared" si="300"/>
        <v>#N/A</v>
      </c>
      <c r="EC84" s="13"/>
      <c r="ED84" s="13"/>
      <c r="EE84" s="12" t="e">
        <f t="shared" si="325"/>
        <v>#N/A</v>
      </c>
      <c r="EF84" s="12" t="e">
        <f t="shared" si="326"/>
        <v>#N/A</v>
      </c>
      <c r="EG84" s="11" t="e">
        <f t="shared" si="327"/>
        <v>#N/A</v>
      </c>
      <c r="EH84" s="11" t="e">
        <f t="shared" si="328"/>
        <v>#N/A</v>
      </c>
      <c r="EJ84" s="13"/>
      <c r="EK84" s="13"/>
      <c r="ET84" s="12" t="str">
        <f t="shared" si="301"/>
        <v>FY18-38</v>
      </c>
      <c r="EU84" s="12">
        <f t="shared" si="302"/>
        <v>43181</v>
      </c>
      <c r="EV84" s="11">
        <f t="shared" si="303"/>
        <v>52.311528797653949</v>
      </c>
      <c r="EW84" s="11">
        <f t="shared" si="304"/>
        <v>40</v>
      </c>
      <c r="EX84" s="13"/>
      <c r="EY84" s="13"/>
      <c r="EZ84" s="13"/>
      <c r="FI84" s="12" t="str">
        <f t="shared" si="305"/>
        <v>FY19</v>
      </c>
      <c r="FJ84" s="12">
        <f t="shared" si="306"/>
        <v>43545</v>
      </c>
      <c r="FK84" s="11">
        <f t="shared" si="307"/>
        <v>20.282530107061081</v>
      </c>
      <c r="FL84" s="11">
        <f t="shared" si="308"/>
        <v>12</v>
      </c>
      <c r="FN84" s="13"/>
      <c r="FO84" s="13"/>
      <c r="FP84" s="12" t="str">
        <f t="shared" si="329"/>
        <v>FY19</v>
      </c>
      <c r="FQ84" s="12">
        <f t="shared" si="330"/>
        <v>43531</v>
      </c>
      <c r="FR84" s="11">
        <f t="shared" si="331"/>
        <v>13.444204963178414</v>
      </c>
      <c r="FS84" s="11">
        <f t="shared" si="332"/>
        <v>3</v>
      </c>
      <c r="FU84" s="13"/>
      <c r="FV84" s="13"/>
      <c r="FX84" s="16"/>
      <c r="FY84" s="15"/>
      <c r="GF84" s="12" t="str">
        <f t="shared" si="309"/>
        <v>FY20</v>
      </c>
      <c r="GG84" s="12">
        <f t="shared" si="310"/>
        <v>43909</v>
      </c>
      <c r="GH84" s="11">
        <f t="shared" si="311"/>
        <v>63.68030355731225</v>
      </c>
      <c r="GI84" s="11">
        <f t="shared" si="312"/>
        <v>60</v>
      </c>
      <c r="GK84" s="13"/>
      <c r="GL84" s="13"/>
      <c r="GM84" s="12" t="str">
        <f t="shared" si="333"/>
        <v>FY20</v>
      </c>
      <c r="GN84" s="12">
        <f t="shared" si="334"/>
        <v>43895</v>
      </c>
      <c r="GO84" s="11">
        <f t="shared" si="335"/>
        <v>36.338271571906361</v>
      </c>
      <c r="GP84" s="11">
        <f t="shared" si="336"/>
        <v>20</v>
      </c>
      <c r="GR84" s="13"/>
      <c r="GS84" s="13"/>
      <c r="GU84" s="16"/>
      <c r="GV84" s="14"/>
      <c r="GW84" s="15"/>
      <c r="HB84" s="12" t="str">
        <f t="shared" si="313"/>
        <v>FY21</v>
      </c>
      <c r="HC84" s="12">
        <f t="shared" si="314"/>
        <v>44273</v>
      </c>
      <c r="HD84" s="11">
        <f t="shared" si="315"/>
        <v>69.99746646397081</v>
      </c>
      <c r="HE84" s="11">
        <f t="shared" si="316"/>
        <v>50</v>
      </c>
      <c r="HG84" s="13"/>
      <c r="HH84" s="13"/>
      <c r="HJ84" s="16"/>
      <c r="HK84" s="15"/>
      <c r="HL84" s="14"/>
      <c r="HQ84" s="12" t="str">
        <f t="shared" si="317"/>
        <v>FY22</v>
      </c>
      <c r="HR84" s="12">
        <f t="shared" si="318"/>
        <v>44637</v>
      </c>
      <c r="HS84" s="11">
        <f t="shared" si="319"/>
        <v>40.906184493767107</v>
      </c>
      <c r="HT84" s="11">
        <f t="shared" si="320"/>
        <v>20</v>
      </c>
      <c r="HV84" s="13"/>
      <c r="HW84" s="13"/>
      <c r="HX84" s="12" t="str">
        <f t="shared" si="337"/>
        <v>FY22</v>
      </c>
      <c r="HY84" s="12">
        <f t="shared" si="338"/>
        <v>44623</v>
      </c>
      <c r="HZ84" s="11">
        <f t="shared" si="339"/>
        <v>19.764375068409851</v>
      </c>
      <c r="IA84" s="11">
        <f t="shared" si="340"/>
        <v>3</v>
      </c>
      <c r="IC84" s="13"/>
      <c r="ID84" s="13"/>
      <c r="IM84" s="12" t="str">
        <f t="shared" si="271"/>
        <v>FY23</v>
      </c>
      <c r="IN84" s="12">
        <f t="shared" si="272"/>
        <v>44868</v>
      </c>
      <c r="IO84" s="11">
        <f t="shared" si="273"/>
        <v>27.003392885375497</v>
      </c>
      <c r="IP84" s="11">
        <f t="shared" si="274"/>
        <v>8</v>
      </c>
      <c r="IR84" s="13"/>
      <c r="IS84" s="13"/>
      <c r="IT84" s="40">
        <v>200</v>
      </c>
      <c r="IU84" s="39">
        <f t="shared" si="279"/>
        <v>304737000</v>
      </c>
      <c r="IV84" s="40">
        <v>350</v>
      </c>
      <c r="IW84" s="39">
        <f t="shared" si="280"/>
        <v>-338013000</v>
      </c>
      <c r="IY84" s="13"/>
      <c r="IZ84" s="13"/>
      <c r="JI84" s="12" t="str">
        <f t="shared" si="275"/>
        <v>FY24</v>
      </c>
      <c r="JJ84" s="12">
        <f t="shared" si="276"/>
        <v>45232</v>
      </c>
      <c r="JK84" s="11">
        <f t="shared" si="277"/>
        <v>58.296434782608699</v>
      </c>
      <c r="JL84" s="11">
        <f t="shared" si="278"/>
        <v>40</v>
      </c>
      <c r="JN84" s="13"/>
      <c r="JO84" s="13"/>
      <c r="JP84" s="38" t="s">
        <v>27</v>
      </c>
      <c r="JQ84" s="38" t="s">
        <v>26</v>
      </c>
      <c r="JR84" s="38" t="s">
        <v>25</v>
      </c>
      <c r="JS84" s="38" t="s">
        <v>24</v>
      </c>
      <c r="JU84" s="13"/>
      <c r="JV84" s="13"/>
      <c r="NG84" s="12"/>
      <c r="NH84" s="12"/>
      <c r="NI84" s="11"/>
      <c r="NJ84" s="11"/>
      <c r="NL84" s="13"/>
      <c r="NV84" s="12"/>
      <c r="NW84" s="12"/>
      <c r="NX84" s="11"/>
      <c r="NY84" s="11"/>
      <c r="OA84" s="13"/>
      <c r="OB84" s="1"/>
    </row>
    <row r="85" spans="6:392" x14ac:dyDescent="0.2">
      <c r="F85" s="5"/>
      <c r="G85" s="5"/>
      <c r="H85" s="5"/>
      <c r="I85" s="5"/>
      <c r="M85" s="5" t="str" cm="1">
        <f t="array" ref="M85">LOOKUP(2,1/($G$19:$G$35&lt;=$V85)/($H$19:$H$35&gt;=$V85),$F$19:$F$35)</f>
        <v>1H19</v>
      </c>
      <c r="N85" s="5" t="str" cm="1">
        <f t="array" ref="N85">LOOKUP(2,1/($G$8:$G$16&lt;=$V85)/($H$8:$H$16&gt;=$V85),$F$8:$F$16)</f>
        <v>FY19</v>
      </c>
      <c r="O85" s="5" t="str">
        <f>IFERROR(N85&amp;"-"&amp;COUNTIF($N$5:N85,N85),NA())</f>
        <v>FY19-3</v>
      </c>
      <c r="P85" s="5">
        <f>COUNTIF(V$5:V85,"&gt;="&amp;MAX($V:$V)-183)</f>
        <v>0</v>
      </c>
      <c r="Q85" s="5">
        <f>COUNTIF(V$5:V85,"&gt;="&amp;MAX($V:$V)-365)</f>
        <v>0</v>
      </c>
      <c r="R85" s="5" cm="1">
        <f t="array" ref="R85">LOOKUP(2,1/($G$46:$G$50&lt;=$V85)/($H$46:$H$50&gt;=$V85),$F$46:$F$50)</f>
        <v>0</v>
      </c>
      <c r="S85" s="5" cm="1">
        <f t="array" ref="S85">LOOKUP(2,1/($G$53:$G$56&lt;=$V85)/($H$53:$H$56&gt;=$V85),$F$53:$F$56)</f>
        <v>0</v>
      </c>
      <c r="T85" s="5" t="e">
        <f>IFERROR(IF($R85&gt;0,$R85&amp;"-"&amp;COUNTIF($R$5:$R85,$R85),NA()),NA())</f>
        <v>#N/A</v>
      </c>
      <c r="U85" s="5" t="e">
        <f>IFERROR(IF($S85&gt;0,$S85&amp;"-"&amp;COUNTIF($S$5:$S85,$S85),NA()),NA())</f>
        <v>#N/A</v>
      </c>
      <c r="V85" s="10">
        <v>43300</v>
      </c>
      <c r="W85" s="9">
        <v>32449661.792752694</v>
      </c>
      <c r="X85" s="9">
        <v>39014228.373426571</v>
      </c>
      <c r="Y85" s="8">
        <v>30000000</v>
      </c>
      <c r="AI85" s="18"/>
      <c r="AJ85" s="12"/>
      <c r="AK85" s="11"/>
      <c r="AL85" s="11"/>
      <c r="AN85" s="13"/>
      <c r="AO85" s="13"/>
      <c r="AP85" s="18" t="e">
        <f t="shared" si="321"/>
        <v>#N/A</v>
      </c>
      <c r="AQ85" s="12" t="e">
        <f t="shared" si="322"/>
        <v>#N/A</v>
      </c>
      <c r="AR85" s="11" t="e">
        <f t="shared" si="323"/>
        <v>#N/A</v>
      </c>
      <c r="AS85" s="11" t="e">
        <f t="shared" si="324"/>
        <v>#N/A</v>
      </c>
      <c r="AU85" s="13"/>
      <c r="BI85" s="18">
        <f t="shared" si="281"/>
        <v>39</v>
      </c>
      <c r="BJ85" s="12">
        <f t="shared" si="282"/>
        <v>45372</v>
      </c>
      <c r="BK85" s="11">
        <f t="shared" si="283"/>
        <v>19.7636487959028</v>
      </c>
      <c r="BL85" s="11">
        <f t="shared" si="284"/>
        <v>4</v>
      </c>
      <c r="BN85" s="13"/>
      <c r="BO85" s="13"/>
      <c r="BP85" s="112" t="s">
        <v>171</v>
      </c>
      <c r="BQ85" s="113"/>
      <c r="BR85" s="114"/>
      <c r="BS85" s="113"/>
      <c r="BU85" s="13"/>
      <c r="CE85" s="18" t="e">
        <f t="shared" si="285"/>
        <v>#N/A</v>
      </c>
      <c r="CF85" s="12" t="e">
        <f t="shared" si="286"/>
        <v>#N/A</v>
      </c>
      <c r="CG85" s="11" t="e">
        <f t="shared" si="287"/>
        <v>#N/A</v>
      </c>
      <c r="CH85" s="11" t="e">
        <f t="shared" si="288"/>
        <v>#N/A</v>
      </c>
      <c r="CJ85" s="13"/>
      <c r="CK85" s="13"/>
      <c r="CT85" s="18" t="e">
        <f t="shared" si="289"/>
        <v>#N/A</v>
      </c>
      <c r="CU85" s="12" t="e">
        <f t="shared" si="290"/>
        <v>#N/A</v>
      </c>
      <c r="CV85" s="11" t="e">
        <f t="shared" si="291"/>
        <v>#N/A</v>
      </c>
      <c r="CW85" s="11" t="e">
        <f t="shared" si="292"/>
        <v>#N/A</v>
      </c>
      <c r="CY85" s="13"/>
      <c r="DI85" s="18" t="e">
        <f t="shared" si="293"/>
        <v>#N/A</v>
      </c>
      <c r="DJ85" s="12" t="e">
        <f t="shared" si="294"/>
        <v>#N/A</v>
      </c>
      <c r="DK85" s="11" t="e">
        <f t="shared" si="295"/>
        <v>#N/A</v>
      </c>
      <c r="DL85" s="11" t="e">
        <f t="shared" si="296"/>
        <v>#N/A</v>
      </c>
      <c r="DN85" s="13"/>
      <c r="DO85" s="13"/>
      <c r="DX85" s="18" t="e">
        <f t="shared" si="297"/>
        <v>#N/A</v>
      </c>
      <c r="DY85" s="12" t="e">
        <f t="shared" si="298"/>
        <v>#N/A</v>
      </c>
      <c r="DZ85" s="11" t="e">
        <f t="shared" si="299"/>
        <v>#N/A</v>
      </c>
      <c r="EA85" s="11" t="e">
        <f t="shared" si="300"/>
        <v>#N/A</v>
      </c>
      <c r="EC85" s="13"/>
      <c r="ED85" s="13"/>
      <c r="EE85" s="12" t="e">
        <f t="shared" si="325"/>
        <v>#N/A</v>
      </c>
      <c r="EF85" s="12" t="e">
        <f t="shared" si="326"/>
        <v>#N/A</v>
      </c>
      <c r="EG85" s="11" t="e">
        <f t="shared" si="327"/>
        <v>#N/A</v>
      </c>
      <c r="EH85" s="11" t="e">
        <f t="shared" si="328"/>
        <v>#N/A</v>
      </c>
      <c r="EJ85" s="13"/>
      <c r="EK85" s="13"/>
      <c r="ET85" s="12" t="str">
        <f t="shared" si="301"/>
        <v>FY18-39</v>
      </c>
      <c r="EU85" s="12">
        <f t="shared" si="302"/>
        <v>43188</v>
      </c>
      <c r="EV85" s="11">
        <f t="shared" si="303"/>
        <v>15.128946850094875</v>
      </c>
      <c r="EW85" s="11">
        <f t="shared" si="304"/>
        <v>3</v>
      </c>
      <c r="EX85" s="13"/>
      <c r="EY85" s="13"/>
      <c r="EZ85" s="13"/>
      <c r="FI85" s="12" t="str">
        <f t="shared" si="305"/>
        <v>FY19</v>
      </c>
      <c r="FJ85" s="12">
        <f t="shared" si="306"/>
        <v>43552</v>
      </c>
      <c r="FK85" s="11">
        <f t="shared" si="307"/>
        <v>26.225644903768799</v>
      </c>
      <c r="FL85" s="11">
        <f t="shared" si="308"/>
        <v>20</v>
      </c>
      <c r="FN85" s="13"/>
      <c r="FO85" s="13"/>
      <c r="FP85" s="12" t="str">
        <f t="shared" si="329"/>
        <v>FY19</v>
      </c>
      <c r="FQ85" s="12">
        <f t="shared" si="330"/>
        <v>43538</v>
      </c>
      <c r="FR85" s="11">
        <f t="shared" si="331"/>
        <v>16.484335664335664</v>
      </c>
      <c r="FS85" s="11">
        <f t="shared" si="332"/>
        <v>8</v>
      </c>
      <c r="FU85" s="13"/>
      <c r="FV85" s="13"/>
      <c r="FX85" s="16"/>
      <c r="FY85" s="15"/>
      <c r="GF85" s="12" t="str">
        <f t="shared" si="309"/>
        <v>FY20</v>
      </c>
      <c r="GG85" s="12">
        <f t="shared" si="310"/>
        <v>43916</v>
      </c>
      <c r="GH85" s="11">
        <f t="shared" si="311"/>
        <v>82.611427667984188</v>
      </c>
      <c r="GI85" s="11">
        <f t="shared" si="312"/>
        <v>80</v>
      </c>
      <c r="GK85" s="13"/>
      <c r="GL85" s="13"/>
      <c r="GM85" s="12" t="str">
        <f t="shared" si="333"/>
        <v>FY20</v>
      </c>
      <c r="GN85" s="12">
        <f t="shared" si="334"/>
        <v>43902</v>
      </c>
      <c r="GO85" s="11">
        <f t="shared" si="335"/>
        <v>47.382249437519008</v>
      </c>
      <c r="GP85" s="11">
        <f t="shared" si="336"/>
        <v>40</v>
      </c>
      <c r="GR85" s="13"/>
      <c r="GS85" s="13"/>
      <c r="GU85" s="16"/>
      <c r="GV85" s="14"/>
      <c r="GW85" s="15"/>
      <c r="HB85" s="12" t="str">
        <f t="shared" si="313"/>
        <v>FY21</v>
      </c>
      <c r="HC85" s="12">
        <f t="shared" si="314"/>
        <v>44280</v>
      </c>
      <c r="HD85" s="11">
        <f t="shared" si="315"/>
        <v>23.50473821830343</v>
      </c>
      <c r="HE85" s="11">
        <f t="shared" si="316"/>
        <v>8</v>
      </c>
      <c r="HG85" s="13"/>
      <c r="HH85" s="13"/>
      <c r="HJ85" s="16"/>
      <c r="HK85" s="15"/>
      <c r="HL85" s="14"/>
      <c r="HQ85" s="12" t="str">
        <f t="shared" si="317"/>
        <v>FY22</v>
      </c>
      <c r="HR85" s="12">
        <f t="shared" si="318"/>
        <v>44644</v>
      </c>
      <c r="HS85" s="11">
        <f t="shared" si="319"/>
        <v>19.376209911827303</v>
      </c>
      <c r="HT85" s="11">
        <f t="shared" si="320"/>
        <v>3</v>
      </c>
      <c r="HV85" s="13"/>
      <c r="HW85" s="13"/>
      <c r="HX85" s="12" t="str">
        <f t="shared" si="337"/>
        <v>FY22</v>
      </c>
      <c r="HY85" s="12">
        <f t="shared" si="338"/>
        <v>44630</v>
      </c>
      <c r="HZ85" s="11">
        <f t="shared" si="339"/>
        <v>26.335124840377009</v>
      </c>
      <c r="IA85" s="11">
        <f t="shared" si="340"/>
        <v>8</v>
      </c>
      <c r="IC85" s="13"/>
      <c r="ID85" s="13"/>
      <c r="IM85" s="12" t="str">
        <f t="shared" si="271"/>
        <v>FY23</v>
      </c>
      <c r="IN85" s="12">
        <f t="shared" si="272"/>
        <v>44875</v>
      </c>
      <c r="IO85" s="11">
        <f t="shared" si="273"/>
        <v>44.321005290361803</v>
      </c>
      <c r="IP85" s="11">
        <f t="shared" si="274"/>
        <v>20</v>
      </c>
      <c r="IR85" s="13"/>
      <c r="IS85" s="13"/>
      <c r="IT85" s="40"/>
      <c r="IU85" s="39"/>
      <c r="IV85" s="40"/>
      <c r="IW85" s="39"/>
      <c r="IY85" s="13"/>
      <c r="IZ85" s="13"/>
      <c r="JI85" s="12" t="str">
        <f t="shared" si="275"/>
        <v>FY24</v>
      </c>
      <c r="JJ85" s="12">
        <f t="shared" si="276"/>
        <v>45239</v>
      </c>
      <c r="JK85" s="11">
        <f t="shared" si="277"/>
        <v>24.487517271439469</v>
      </c>
      <c r="JL85" s="11">
        <f t="shared" si="278"/>
        <v>8</v>
      </c>
      <c r="JN85" s="13"/>
      <c r="JO85" s="13"/>
      <c r="JP85" s="12" t="str">
        <f t="shared" ref="JP85:JP116" si="341">IF(OR(ISBLANK(JA5),$IH5&gt;=$IU$86),NA(),JA5)</f>
        <v>FY24</v>
      </c>
      <c r="JQ85" s="12">
        <f t="shared" ref="JQ85:JQ116" si="342">IF(OR(ISBLANK(JB5),$JD5&gt;=$JQ$82),NA(),JB5)</f>
        <v>45113</v>
      </c>
      <c r="JR85" s="11">
        <f t="shared" ref="JR85:JR116" si="343">IF(OR(ISBLANK(JC5),$JD5&gt;=$JQ$82),NA(),JC5/1000000)</f>
        <v>31.154789255748071</v>
      </c>
      <c r="JS85" s="11">
        <f t="shared" ref="JS85:JS116" si="344">IF(OR(ISBLANK(JD5),$JD5&gt;=$JQ$82),NA(),JD5/1000000)</f>
        <v>12</v>
      </c>
      <c r="JU85" s="13"/>
      <c r="JV85" s="13"/>
      <c r="NG85" s="12"/>
      <c r="NH85" s="12"/>
      <c r="NI85" s="11"/>
      <c r="NJ85" s="11"/>
      <c r="NL85" s="13"/>
      <c r="NV85" s="12"/>
      <c r="NW85" s="12"/>
      <c r="NX85" s="11"/>
      <c r="NY85" s="11"/>
      <c r="OA85" s="13"/>
      <c r="OB85" s="1"/>
    </row>
    <row r="86" spans="6:392" x14ac:dyDescent="0.2">
      <c r="F86" s="5"/>
      <c r="G86" s="5"/>
      <c r="H86" s="5"/>
      <c r="I86" s="5"/>
      <c r="M86" s="5" t="str" cm="1">
        <f t="array" ref="M86">LOOKUP(2,1/($G$19:$G$35&lt;=$V86)/($H$19:$H$35&gt;=$V86),$F$19:$F$35)</f>
        <v>1H19</v>
      </c>
      <c r="N86" s="5" t="str" cm="1">
        <f t="array" ref="N86">LOOKUP(2,1/($G$8:$G$16&lt;=$V86)/($H$8:$H$16&gt;=$V86),$F$8:$F$16)</f>
        <v>FY19</v>
      </c>
      <c r="O86" s="5" t="str">
        <f>IFERROR(N86&amp;"-"&amp;COUNTIF($N$5:N86,N86),NA())</f>
        <v>FY19-4</v>
      </c>
      <c r="P86" s="5">
        <f>COUNTIF(V$5:V86,"&gt;="&amp;MAX($V:$V)-183)</f>
        <v>0</v>
      </c>
      <c r="Q86" s="5">
        <f>COUNTIF(V$5:V86,"&gt;="&amp;MAX($V:$V)-365)</f>
        <v>0</v>
      </c>
      <c r="R86" s="5" cm="1">
        <f t="array" ref="R86">LOOKUP(2,1/($G$46:$G$50&lt;=$V86)/($H$46:$H$50&gt;=$V86),$F$46:$F$50)</f>
        <v>0</v>
      </c>
      <c r="S86" s="5" cm="1">
        <f t="array" ref="S86">LOOKUP(2,1/($G$53:$G$56&lt;=$V86)/($H$53:$H$56&gt;=$V86),$F$53:$F$56)</f>
        <v>0</v>
      </c>
      <c r="T86" s="5" t="e">
        <f>IFERROR(IF($R86&gt;0,$R86&amp;"-"&amp;COUNTIF($R$5:$R86,$R86),NA()),NA())</f>
        <v>#N/A</v>
      </c>
      <c r="U86" s="5" t="e">
        <f>IFERROR(IF($S86&gt;0,$S86&amp;"-"&amp;COUNTIF($S$5:$S86,$S86),NA()),NA())</f>
        <v>#N/A</v>
      </c>
      <c r="V86" s="10">
        <v>43307</v>
      </c>
      <c r="W86" s="9">
        <v>38670652.25683406</v>
      </c>
      <c r="X86" s="9">
        <v>46493725.208391599</v>
      </c>
      <c r="Y86" s="8">
        <v>40000000</v>
      </c>
      <c r="AI86" s="18"/>
      <c r="AJ86" s="12"/>
      <c r="AK86" s="11"/>
      <c r="AL86" s="11"/>
      <c r="AP86" s="18" t="e">
        <f t="shared" si="321"/>
        <v>#N/A</v>
      </c>
      <c r="AQ86" s="12" t="e">
        <f t="shared" si="322"/>
        <v>#N/A</v>
      </c>
      <c r="AR86" s="11" t="e">
        <f t="shared" si="323"/>
        <v>#N/A</v>
      </c>
      <c r="AS86" s="11" t="e">
        <f t="shared" si="324"/>
        <v>#N/A</v>
      </c>
      <c r="BI86" s="18">
        <f t="shared" si="281"/>
        <v>40</v>
      </c>
      <c r="BJ86" s="12">
        <f t="shared" si="282"/>
        <v>45379</v>
      </c>
      <c r="BK86" s="11">
        <f t="shared" si="283"/>
        <v>28.780959790781303</v>
      </c>
      <c r="BL86" s="11">
        <f t="shared" si="284"/>
        <v>12</v>
      </c>
      <c r="BP86" s="2" t="s">
        <v>41</v>
      </c>
      <c r="BQ86" s="2" t="s">
        <v>25</v>
      </c>
      <c r="CE86" s="18" t="e">
        <f t="shared" si="285"/>
        <v>#N/A</v>
      </c>
      <c r="CF86" s="12" t="e">
        <f t="shared" si="286"/>
        <v>#N/A</v>
      </c>
      <c r="CG86" s="11" t="e">
        <f t="shared" si="287"/>
        <v>#N/A</v>
      </c>
      <c r="CH86" s="11" t="e">
        <f t="shared" si="288"/>
        <v>#N/A</v>
      </c>
      <c r="CT86" s="18" t="e">
        <f t="shared" si="289"/>
        <v>#N/A</v>
      </c>
      <c r="CU86" s="12" t="e">
        <f t="shared" si="290"/>
        <v>#N/A</v>
      </c>
      <c r="CV86" s="11" t="e">
        <f t="shared" si="291"/>
        <v>#N/A</v>
      </c>
      <c r="CW86" s="11" t="e">
        <f t="shared" si="292"/>
        <v>#N/A</v>
      </c>
      <c r="DI86" s="18" t="e">
        <f t="shared" si="293"/>
        <v>#N/A</v>
      </c>
      <c r="DJ86" s="12" t="e">
        <f t="shared" si="294"/>
        <v>#N/A</v>
      </c>
      <c r="DK86" s="11" t="e">
        <f t="shared" si="295"/>
        <v>#N/A</v>
      </c>
      <c r="DL86" s="11" t="e">
        <f t="shared" si="296"/>
        <v>#N/A</v>
      </c>
      <c r="DX86" s="18" t="e">
        <f t="shared" si="297"/>
        <v>#N/A</v>
      </c>
      <c r="DY86" s="12" t="e">
        <f t="shared" si="298"/>
        <v>#N/A</v>
      </c>
      <c r="DZ86" s="11" t="e">
        <f t="shared" si="299"/>
        <v>#N/A</v>
      </c>
      <c r="EA86" s="11" t="e">
        <f t="shared" si="300"/>
        <v>#N/A</v>
      </c>
      <c r="EE86" s="12" t="e">
        <f t="shared" si="325"/>
        <v>#N/A</v>
      </c>
      <c r="EF86" s="12" t="e">
        <f t="shared" si="326"/>
        <v>#N/A</v>
      </c>
      <c r="EG86" s="11" t="e">
        <f t="shared" si="327"/>
        <v>#N/A</v>
      </c>
      <c r="EH86" s="11" t="e">
        <f t="shared" si="328"/>
        <v>#N/A</v>
      </c>
      <c r="ET86" s="12" t="str">
        <f t="shared" si="301"/>
        <v>FY18-40</v>
      </c>
      <c r="EU86" s="12">
        <f t="shared" si="302"/>
        <v>43195</v>
      </c>
      <c r="EV86" s="11">
        <f t="shared" si="303"/>
        <v>18.375711785406242</v>
      </c>
      <c r="EW86" s="11">
        <f t="shared" si="304"/>
        <v>6</v>
      </c>
      <c r="FI86" s="12" t="str">
        <f t="shared" si="305"/>
        <v>FY19</v>
      </c>
      <c r="FJ86" s="12">
        <f t="shared" si="306"/>
        <v>43559</v>
      </c>
      <c r="FK86" s="11">
        <f t="shared" si="307"/>
        <v>13.585177795655671</v>
      </c>
      <c r="FL86" s="11">
        <f t="shared" si="308"/>
        <v>3</v>
      </c>
      <c r="FP86" s="12" t="str">
        <f t="shared" si="329"/>
        <v>FY19</v>
      </c>
      <c r="FQ86" s="12">
        <f t="shared" si="330"/>
        <v>43545</v>
      </c>
      <c r="FR86" s="11">
        <f t="shared" si="331"/>
        <v>20.282530107061081</v>
      </c>
      <c r="FS86" s="11">
        <f t="shared" si="332"/>
        <v>12</v>
      </c>
      <c r="FX86" s="16"/>
      <c r="FY86" s="15"/>
      <c r="GF86" s="12" t="str">
        <f t="shared" si="309"/>
        <v>FY20</v>
      </c>
      <c r="GG86" s="12">
        <f t="shared" si="310"/>
        <v>43923</v>
      </c>
      <c r="GH86" s="11">
        <f t="shared" si="311"/>
        <v>15.454267436910914</v>
      </c>
      <c r="GI86" s="11">
        <f t="shared" si="312"/>
        <v>3</v>
      </c>
      <c r="GM86" s="12" t="str">
        <f t="shared" si="333"/>
        <v>FY20</v>
      </c>
      <c r="GN86" s="12">
        <f t="shared" si="334"/>
        <v>43909</v>
      </c>
      <c r="GO86" s="11">
        <f t="shared" si="335"/>
        <v>63.68030355731225</v>
      </c>
      <c r="GP86" s="11">
        <f t="shared" si="336"/>
        <v>60</v>
      </c>
      <c r="GU86" s="16"/>
      <c r="GV86" s="14"/>
      <c r="GW86" s="15"/>
      <c r="HB86" s="12" t="str">
        <f t="shared" si="313"/>
        <v>FY21</v>
      </c>
      <c r="HC86" s="12">
        <f t="shared" si="314"/>
        <v>44287</v>
      </c>
      <c r="HD86" s="11">
        <f t="shared" si="315"/>
        <v>37.212500334448158</v>
      </c>
      <c r="HE86" s="11">
        <f t="shared" si="316"/>
        <v>20</v>
      </c>
      <c r="HJ86" s="16"/>
      <c r="HK86" s="15"/>
      <c r="HL86" s="14"/>
      <c r="HQ86" s="12" t="str">
        <f t="shared" si="317"/>
        <v>FY22</v>
      </c>
      <c r="HR86" s="12">
        <f t="shared" si="318"/>
        <v>44651</v>
      </c>
      <c r="HS86" s="11">
        <f t="shared" si="319"/>
        <v>27.161959987838248</v>
      </c>
      <c r="HT86" s="11">
        <f t="shared" si="320"/>
        <v>8</v>
      </c>
      <c r="HX86" s="12" t="str">
        <f t="shared" si="337"/>
        <v>FY22</v>
      </c>
      <c r="HY86" s="12">
        <f t="shared" si="338"/>
        <v>44637</v>
      </c>
      <c r="HZ86" s="11">
        <f t="shared" si="339"/>
        <v>40.906184493767107</v>
      </c>
      <c r="IA86" s="11">
        <f t="shared" si="340"/>
        <v>20</v>
      </c>
      <c r="IM86" s="12" t="str">
        <f t="shared" si="271"/>
        <v>FY23</v>
      </c>
      <c r="IN86" s="12">
        <f t="shared" si="272"/>
        <v>44882</v>
      </c>
      <c r="IO86" s="11">
        <f t="shared" si="273"/>
        <v>51.026175372453629</v>
      </c>
      <c r="IP86" s="11">
        <f t="shared" si="274"/>
        <v>30</v>
      </c>
      <c r="IT86" s="2" t="s">
        <v>28</v>
      </c>
      <c r="IU86" s="42">
        <v>100000000</v>
      </c>
      <c r="IV86" s="40"/>
      <c r="IW86" s="39"/>
      <c r="JI86" s="12" t="str">
        <f t="shared" si="275"/>
        <v>FY24</v>
      </c>
      <c r="JJ86" s="12">
        <f t="shared" si="276"/>
        <v>45246</v>
      </c>
      <c r="JK86" s="11">
        <f t="shared" si="277"/>
        <v>25.126546256946718</v>
      </c>
      <c r="JL86" s="11">
        <f t="shared" si="278"/>
        <v>8</v>
      </c>
      <c r="JP86" s="12" t="str">
        <f t="shared" si="341"/>
        <v>FY24</v>
      </c>
      <c r="JQ86" s="12">
        <f t="shared" si="342"/>
        <v>45120</v>
      </c>
      <c r="JR86" s="11">
        <f t="shared" si="343"/>
        <v>40.570238531110391</v>
      </c>
      <c r="JS86" s="11">
        <f t="shared" si="344"/>
        <v>20</v>
      </c>
      <c r="NG86" s="12"/>
      <c r="NH86" s="12"/>
      <c r="NI86" s="11"/>
      <c r="NJ86" s="11"/>
      <c r="NV86" s="12"/>
      <c r="NW86" s="12"/>
      <c r="NX86" s="11"/>
      <c r="NY86" s="11"/>
      <c r="OB86" s="1"/>
    </row>
    <row r="87" spans="6:392" x14ac:dyDescent="0.2">
      <c r="F87" s="5"/>
      <c r="G87" s="5"/>
      <c r="H87" s="5"/>
      <c r="I87" s="5"/>
      <c r="M87" s="5" t="str" cm="1">
        <f t="array" ref="M87">LOOKUP(2,1/($G$19:$G$35&lt;=$V87)/($H$19:$H$35&gt;=$V87),$F$19:$F$35)</f>
        <v>1H19</v>
      </c>
      <c r="N87" s="5" t="str" cm="1">
        <f t="array" ref="N87">LOOKUP(2,1/($G$8:$G$16&lt;=$V87)/($H$8:$H$16&gt;=$V87),$F$8:$F$16)</f>
        <v>FY19</v>
      </c>
      <c r="O87" s="5" t="str">
        <f>IFERROR(N87&amp;"-"&amp;COUNTIF($N$5:N87,N87),NA())</f>
        <v>FY19-5</v>
      </c>
      <c r="P87" s="5">
        <f>COUNTIF(V$5:V87,"&gt;="&amp;MAX($V:$V)-183)</f>
        <v>0</v>
      </c>
      <c r="Q87" s="5">
        <f>COUNTIF(V$5:V87,"&gt;="&amp;MAX($V:$V)-365)</f>
        <v>0</v>
      </c>
      <c r="R87" s="5" cm="1">
        <f t="array" ref="R87">LOOKUP(2,1/($G$46:$G$50&lt;=$V87)/($H$46:$H$50&gt;=$V87),$F$46:$F$50)</f>
        <v>0</v>
      </c>
      <c r="S87" s="5" cm="1">
        <f t="array" ref="S87">LOOKUP(2,1/($G$53:$G$56&lt;=$V87)/($H$53:$H$56&gt;=$V87),$F$53:$F$56)</f>
        <v>0</v>
      </c>
      <c r="T87" s="5" t="e">
        <f>IFERROR(IF($R87&gt;0,$R87&amp;"-"&amp;COUNTIF($R$5:$R87,$R87),NA()),NA())</f>
        <v>#N/A</v>
      </c>
      <c r="U87" s="5" t="e">
        <f>IFERROR(IF($S87&gt;0,$S87&amp;"-"&amp;COUNTIF($S$5:$S87,$S87),NA()),NA())</f>
        <v>#N/A</v>
      </c>
      <c r="V87" s="10">
        <v>43314</v>
      </c>
      <c r="W87" s="9">
        <v>47637119.898283519</v>
      </c>
      <c r="X87" s="9">
        <v>57274109.253706284</v>
      </c>
      <c r="Y87" s="8">
        <v>50000000</v>
      </c>
      <c r="AI87" s="18"/>
      <c r="AJ87" s="12"/>
      <c r="AK87" s="11"/>
      <c r="AL87" s="11"/>
      <c r="AP87" s="18" t="e">
        <f t="shared" si="321"/>
        <v>#N/A</v>
      </c>
      <c r="AQ87" s="12" t="e">
        <f t="shared" si="322"/>
        <v>#N/A</v>
      </c>
      <c r="AR87" s="11" t="e">
        <f t="shared" si="323"/>
        <v>#N/A</v>
      </c>
      <c r="AS87" s="11" t="e">
        <f t="shared" si="324"/>
        <v>#N/A</v>
      </c>
      <c r="BI87" s="18">
        <f t="shared" si="281"/>
        <v>41</v>
      </c>
      <c r="BJ87" s="12">
        <f t="shared" si="282"/>
        <v>45386</v>
      </c>
      <c r="BK87" s="11">
        <f t="shared" si="283"/>
        <v>33.664848752315571</v>
      </c>
      <c r="BL87" s="11">
        <f t="shared" si="284"/>
        <v>20</v>
      </c>
      <c r="BP87" s="111">
        <v>4</v>
      </c>
      <c r="BQ87" s="39">
        <f t="shared" ref="BQ87:BQ96" si="345">($BQ$8*BP87^2+$BR$8*BP87+$BS$8)*1000000</f>
        <v>20910800</v>
      </c>
      <c r="BR87" s="110">
        <v>0</v>
      </c>
      <c r="BS87" s="39">
        <f t="shared" ref="BS87:BS96" si="346">BQ87*(1+BR87)</f>
        <v>20910800</v>
      </c>
      <c r="CE87" s="18" t="e">
        <f t="shared" si="285"/>
        <v>#N/A</v>
      </c>
      <c r="CF87" s="12" t="e">
        <f t="shared" si="286"/>
        <v>#N/A</v>
      </c>
      <c r="CG87" s="11" t="e">
        <f t="shared" si="287"/>
        <v>#N/A</v>
      </c>
      <c r="CH87" s="11" t="e">
        <f t="shared" si="288"/>
        <v>#N/A</v>
      </c>
      <c r="CT87" s="18" t="e">
        <f t="shared" si="289"/>
        <v>#N/A</v>
      </c>
      <c r="CU87" s="12" t="e">
        <f t="shared" si="290"/>
        <v>#N/A</v>
      </c>
      <c r="CV87" s="11" t="e">
        <f t="shared" si="291"/>
        <v>#N/A</v>
      </c>
      <c r="CW87" s="11" t="e">
        <f t="shared" si="292"/>
        <v>#N/A</v>
      </c>
      <c r="DI87" s="18" t="e">
        <f t="shared" si="293"/>
        <v>#N/A</v>
      </c>
      <c r="DJ87" s="12" t="e">
        <f t="shared" si="294"/>
        <v>#N/A</v>
      </c>
      <c r="DK87" s="11" t="e">
        <f t="shared" si="295"/>
        <v>#N/A</v>
      </c>
      <c r="DL87" s="11" t="e">
        <f t="shared" si="296"/>
        <v>#N/A</v>
      </c>
      <c r="DX87" s="18" t="e">
        <f t="shared" si="297"/>
        <v>#N/A</v>
      </c>
      <c r="DY87" s="12" t="e">
        <f t="shared" si="298"/>
        <v>#N/A</v>
      </c>
      <c r="DZ87" s="11" t="e">
        <f t="shared" si="299"/>
        <v>#N/A</v>
      </c>
      <c r="EA87" s="11" t="e">
        <f t="shared" si="300"/>
        <v>#N/A</v>
      </c>
      <c r="EE87" s="12" t="e">
        <f t="shared" si="325"/>
        <v>#N/A</v>
      </c>
      <c r="EF87" s="12" t="e">
        <f t="shared" si="326"/>
        <v>#N/A</v>
      </c>
      <c r="EG87" s="11" t="e">
        <f t="shared" si="327"/>
        <v>#N/A</v>
      </c>
      <c r="EH87" s="11" t="e">
        <f t="shared" si="328"/>
        <v>#N/A</v>
      </c>
      <c r="ET87" s="12" t="str">
        <f t="shared" si="301"/>
        <v>FY18-41</v>
      </c>
      <c r="EU87" s="12">
        <f t="shared" si="302"/>
        <v>43202</v>
      </c>
      <c r="EV87" s="11">
        <f t="shared" si="303"/>
        <v>12.839845696049679</v>
      </c>
      <c r="EW87" s="11">
        <f t="shared" si="304"/>
        <v>3</v>
      </c>
      <c r="FI87" s="12" t="str">
        <f t="shared" si="305"/>
        <v>FY19</v>
      </c>
      <c r="FJ87" s="12">
        <f t="shared" si="306"/>
        <v>43566</v>
      </c>
      <c r="FK87" s="11">
        <f t="shared" si="307"/>
        <v>17.74406361779813</v>
      </c>
      <c r="FL87" s="11">
        <f t="shared" si="308"/>
        <v>8</v>
      </c>
      <c r="FP87" s="12" t="str">
        <f t="shared" si="329"/>
        <v>FY19</v>
      </c>
      <c r="FQ87" s="12">
        <f t="shared" si="330"/>
        <v>43552</v>
      </c>
      <c r="FR87" s="11">
        <f t="shared" si="331"/>
        <v>26.225644903768799</v>
      </c>
      <c r="FS87" s="11">
        <f t="shared" si="332"/>
        <v>20</v>
      </c>
      <c r="FX87" s="16"/>
      <c r="FY87" s="15"/>
      <c r="GF87" s="12" t="str">
        <f t="shared" si="309"/>
        <v>FY20</v>
      </c>
      <c r="GG87" s="12">
        <f t="shared" si="310"/>
        <v>43930</v>
      </c>
      <c r="GH87" s="11">
        <f t="shared" si="311"/>
        <v>21.964242505320762</v>
      </c>
      <c r="GI87" s="11">
        <f t="shared" si="312"/>
        <v>8</v>
      </c>
      <c r="GM87" s="12" t="str">
        <f t="shared" si="333"/>
        <v>FY20</v>
      </c>
      <c r="GN87" s="12">
        <f t="shared" si="334"/>
        <v>43916</v>
      </c>
      <c r="GO87" s="11">
        <f t="shared" si="335"/>
        <v>82.611427667984188</v>
      </c>
      <c r="GP87" s="11">
        <f t="shared" si="336"/>
        <v>80</v>
      </c>
      <c r="GU87" s="16"/>
      <c r="GV87" s="14"/>
      <c r="GW87" s="15"/>
      <c r="HB87" s="12" t="str">
        <f t="shared" si="313"/>
        <v>FY21</v>
      </c>
      <c r="HC87" s="12">
        <f t="shared" si="314"/>
        <v>44294</v>
      </c>
      <c r="HD87" s="11">
        <f t="shared" si="315"/>
        <v>41.866552508361195</v>
      </c>
      <c r="HE87" s="11">
        <f t="shared" si="316"/>
        <v>30</v>
      </c>
      <c r="HJ87" s="16"/>
      <c r="HK87" s="15"/>
      <c r="HL87" s="14"/>
      <c r="HQ87" s="12" t="str">
        <f t="shared" si="317"/>
        <v>FY22</v>
      </c>
      <c r="HR87" s="12">
        <f t="shared" si="318"/>
        <v>44658</v>
      </c>
      <c r="HS87" s="11">
        <f t="shared" si="319"/>
        <v>42.925571784736995</v>
      </c>
      <c r="HT87" s="11">
        <f t="shared" si="320"/>
        <v>20</v>
      </c>
      <c r="HX87" s="12" t="str">
        <f t="shared" si="337"/>
        <v>FY22</v>
      </c>
      <c r="HY87" s="12">
        <f t="shared" si="338"/>
        <v>44644</v>
      </c>
      <c r="HZ87" s="11">
        <f t="shared" si="339"/>
        <v>19.376209911827303</v>
      </c>
      <c r="IA87" s="11">
        <f t="shared" si="340"/>
        <v>3</v>
      </c>
      <c r="IM87" s="12" t="str">
        <f t="shared" si="271"/>
        <v>FY23</v>
      </c>
      <c r="IN87" s="12">
        <f t="shared" si="272"/>
        <v>44889</v>
      </c>
      <c r="IO87" s="11">
        <f t="shared" si="273"/>
        <v>71.266594101550623</v>
      </c>
      <c r="IP87" s="11">
        <f t="shared" si="274"/>
        <v>50</v>
      </c>
      <c r="IT87" s="40"/>
      <c r="IU87" s="39"/>
      <c r="IV87" s="40"/>
      <c r="IW87" s="39"/>
      <c r="JI87" s="12" t="str">
        <f t="shared" si="275"/>
        <v>FY24</v>
      </c>
      <c r="JJ87" s="12">
        <f t="shared" si="276"/>
        <v>45253</v>
      </c>
      <c r="JK87" s="11">
        <f t="shared" si="277"/>
        <v>37.695077694235586</v>
      </c>
      <c r="JL87" s="11">
        <f t="shared" si="278"/>
        <v>20</v>
      </c>
      <c r="JP87" s="12" t="str">
        <f t="shared" si="341"/>
        <v>FY24</v>
      </c>
      <c r="JQ87" s="12">
        <f t="shared" si="342"/>
        <v>45127</v>
      </c>
      <c r="JR87" s="11">
        <f t="shared" si="343"/>
        <v>60.8369621880789</v>
      </c>
      <c r="JS87" s="11">
        <f t="shared" si="344"/>
        <v>40</v>
      </c>
      <c r="NG87" s="12"/>
      <c r="NH87" s="12"/>
      <c r="NI87" s="11"/>
      <c r="NJ87" s="11"/>
      <c r="NV87" s="12"/>
      <c r="NW87" s="12"/>
      <c r="NX87" s="11"/>
      <c r="NY87" s="11"/>
      <c r="OB87" s="1"/>
    </row>
    <row r="88" spans="6:392" x14ac:dyDescent="0.2">
      <c r="F88" s="5"/>
      <c r="G88" s="5"/>
      <c r="H88" s="5"/>
      <c r="I88" s="5"/>
      <c r="M88" s="5" t="str" cm="1">
        <f t="array" ref="M88">LOOKUP(2,1/($G$19:$G$35&lt;=$V88)/($H$19:$H$35&gt;=$V88),$F$19:$F$35)</f>
        <v>1H19</v>
      </c>
      <c r="N88" s="5" t="str" cm="1">
        <f t="array" ref="N88">LOOKUP(2,1/($G$8:$G$16&lt;=$V88)/($H$8:$H$16&gt;=$V88),$F$8:$F$16)</f>
        <v>FY19</v>
      </c>
      <c r="O88" s="5" t="str">
        <f>IFERROR(N88&amp;"-"&amp;COUNTIF($N$5:N88,N88),NA())</f>
        <v>FY19-6</v>
      </c>
      <c r="P88" s="5">
        <f>COUNTIF(V$5:V88,"&gt;="&amp;MAX($V:$V)-183)</f>
        <v>0</v>
      </c>
      <c r="Q88" s="5">
        <f>COUNTIF(V$5:V88,"&gt;="&amp;MAX($V:$V)-365)</f>
        <v>0</v>
      </c>
      <c r="R88" s="5" cm="1">
        <f t="array" ref="R88">LOOKUP(2,1/($G$46:$G$50&lt;=$V88)/($H$46:$H$50&gt;=$V88),$F$46:$F$50)</f>
        <v>0</v>
      </c>
      <c r="S88" s="5" cm="1">
        <f t="array" ref="S88">LOOKUP(2,1/($G$53:$G$56&lt;=$V88)/($H$53:$H$56&gt;=$V88),$F$53:$F$56)</f>
        <v>0</v>
      </c>
      <c r="T88" s="5" t="e">
        <f>IFERROR(IF($R88&gt;0,$R88&amp;"-"&amp;COUNTIF($R$5:$R88,$R88),NA()),NA())</f>
        <v>#N/A</v>
      </c>
      <c r="U88" s="5" t="e">
        <f>IFERROR(IF($S88&gt;0,$S88&amp;"-"&amp;COUNTIF($S$5:$S88,$S88),NA()),NA())</f>
        <v>#N/A</v>
      </c>
      <c r="V88" s="10">
        <v>43321</v>
      </c>
      <c r="W88" s="9">
        <v>89658851.621106133</v>
      </c>
      <c r="X88" s="9">
        <v>107796837.30405591</v>
      </c>
      <c r="Y88" s="8">
        <v>80000000</v>
      </c>
      <c r="AI88" s="18"/>
      <c r="AJ88" s="12"/>
      <c r="AK88" s="11"/>
      <c r="AL88" s="11"/>
      <c r="AP88" s="18" t="e">
        <f t="shared" si="321"/>
        <v>#N/A</v>
      </c>
      <c r="AQ88" s="12" t="e">
        <f t="shared" si="322"/>
        <v>#N/A</v>
      </c>
      <c r="AR88" s="11" t="e">
        <f t="shared" si="323"/>
        <v>#N/A</v>
      </c>
      <c r="AS88" s="11" t="e">
        <f t="shared" si="324"/>
        <v>#N/A</v>
      </c>
      <c r="BI88" s="18">
        <f t="shared" si="281"/>
        <v>42</v>
      </c>
      <c r="BJ88" s="12">
        <f t="shared" si="282"/>
        <v>45393</v>
      </c>
      <c r="BK88" s="11">
        <f t="shared" si="283"/>
        <v>19.70956619810396</v>
      </c>
      <c r="BL88" s="11">
        <f t="shared" si="284"/>
        <v>4</v>
      </c>
      <c r="BP88" s="111">
        <v>8</v>
      </c>
      <c r="BQ88" s="39">
        <f t="shared" si="345"/>
        <v>25255600</v>
      </c>
      <c r="BR88" s="110">
        <v>0</v>
      </c>
      <c r="BS88" s="39">
        <f t="shared" si="346"/>
        <v>25255600</v>
      </c>
      <c r="CE88" s="18" t="e">
        <f t="shared" si="285"/>
        <v>#N/A</v>
      </c>
      <c r="CF88" s="12" t="e">
        <f t="shared" si="286"/>
        <v>#N/A</v>
      </c>
      <c r="CG88" s="11" t="e">
        <f t="shared" si="287"/>
        <v>#N/A</v>
      </c>
      <c r="CH88" s="11" t="e">
        <f t="shared" si="288"/>
        <v>#N/A</v>
      </c>
      <c r="CT88" s="18" t="e">
        <f t="shared" si="289"/>
        <v>#N/A</v>
      </c>
      <c r="CU88" s="12" t="e">
        <f t="shared" si="290"/>
        <v>#N/A</v>
      </c>
      <c r="CV88" s="11" t="e">
        <f t="shared" si="291"/>
        <v>#N/A</v>
      </c>
      <c r="CW88" s="11" t="e">
        <f t="shared" si="292"/>
        <v>#N/A</v>
      </c>
      <c r="DI88" s="18" t="e">
        <f t="shared" si="293"/>
        <v>#N/A</v>
      </c>
      <c r="DJ88" s="12" t="e">
        <f t="shared" si="294"/>
        <v>#N/A</v>
      </c>
      <c r="DK88" s="11" t="e">
        <f t="shared" si="295"/>
        <v>#N/A</v>
      </c>
      <c r="DL88" s="11" t="e">
        <f t="shared" si="296"/>
        <v>#N/A</v>
      </c>
      <c r="DX88" s="18" t="e">
        <f t="shared" si="297"/>
        <v>#N/A</v>
      </c>
      <c r="DY88" s="12" t="e">
        <f t="shared" si="298"/>
        <v>#N/A</v>
      </c>
      <c r="DZ88" s="11" t="e">
        <f t="shared" si="299"/>
        <v>#N/A</v>
      </c>
      <c r="EA88" s="11" t="e">
        <f t="shared" si="300"/>
        <v>#N/A</v>
      </c>
      <c r="EE88" s="12" t="e">
        <f t="shared" si="325"/>
        <v>#N/A</v>
      </c>
      <c r="EF88" s="12" t="e">
        <f t="shared" si="326"/>
        <v>#N/A</v>
      </c>
      <c r="EG88" s="11" t="e">
        <f t="shared" si="327"/>
        <v>#N/A</v>
      </c>
      <c r="EH88" s="11" t="e">
        <f t="shared" si="328"/>
        <v>#N/A</v>
      </c>
      <c r="ET88" s="12" t="str">
        <f t="shared" si="301"/>
        <v>FY18-42</v>
      </c>
      <c r="EU88" s="12">
        <f t="shared" si="302"/>
        <v>43209</v>
      </c>
      <c r="EV88" s="11">
        <f t="shared" si="303"/>
        <v>17.183138970120783</v>
      </c>
      <c r="EW88" s="11">
        <f t="shared" si="304"/>
        <v>8</v>
      </c>
      <c r="FI88" s="12" t="str">
        <f t="shared" si="305"/>
        <v>FY19</v>
      </c>
      <c r="FJ88" s="12">
        <f t="shared" si="306"/>
        <v>43573</v>
      </c>
      <c r="FK88" s="11">
        <f t="shared" si="307"/>
        <v>22.274509066155083</v>
      </c>
      <c r="FL88" s="11">
        <f t="shared" si="308"/>
        <v>12</v>
      </c>
      <c r="FP88" s="12" t="str">
        <f t="shared" si="329"/>
        <v>FY19</v>
      </c>
      <c r="FQ88" s="12">
        <f t="shared" si="330"/>
        <v>43559</v>
      </c>
      <c r="FR88" s="11">
        <f t="shared" si="331"/>
        <v>13.585177795655671</v>
      </c>
      <c r="FS88" s="11">
        <f t="shared" si="332"/>
        <v>3</v>
      </c>
      <c r="FX88" s="16"/>
      <c r="FY88" s="15"/>
      <c r="GF88" s="12" t="str">
        <f t="shared" si="309"/>
        <v>FY20</v>
      </c>
      <c r="GG88" s="12">
        <f t="shared" si="310"/>
        <v>43937</v>
      </c>
      <c r="GH88" s="11">
        <f t="shared" si="311"/>
        <v>28.686509212526602</v>
      </c>
      <c r="GI88" s="11">
        <f t="shared" si="312"/>
        <v>12</v>
      </c>
      <c r="GM88" s="12" t="str">
        <f t="shared" si="333"/>
        <v>FY20</v>
      </c>
      <c r="GN88" s="12">
        <f t="shared" si="334"/>
        <v>43923</v>
      </c>
      <c r="GO88" s="11">
        <f t="shared" si="335"/>
        <v>15.454267436910914</v>
      </c>
      <c r="GP88" s="11">
        <f t="shared" si="336"/>
        <v>3</v>
      </c>
      <c r="GU88" s="16"/>
      <c r="GV88" s="14"/>
      <c r="GW88" s="15"/>
      <c r="HB88" s="12" t="str">
        <f t="shared" si="313"/>
        <v>FY21</v>
      </c>
      <c r="HC88" s="12">
        <f t="shared" si="314"/>
        <v>44301</v>
      </c>
      <c r="HD88" s="11">
        <f t="shared" si="315"/>
        <v>63.615309698996647</v>
      </c>
      <c r="HE88" s="11">
        <f t="shared" si="316"/>
        <v>50</v>
      </c>
      <c r="HJ88" s="16"/>
      <c r="HK88" s="15"/>
      <c r="HL88" s="14"/>
      <c r="HQ88" s="12" t="str">
        <f t="shared" si="317"/>
        <v>FY22</v>
      </c>
      <c r="HR88" s="12">
        <f t="shared" si="318"/>
        <v>44665</v>
      </c>
      <c r="HS88" s="11">
        <f t="shared" si="319"/>
        <v>20.606947765278193</v>
      </c>
      <c r="HT88" s="11">
        <f t="shared" si="320"/>
        <v>4</v>
      </c>
      <c r="HX88" s="12" t="str">
        <f t="shared" si="337"/>
        <v>FY22</v>
      </c>
      <c r="HY88" s="12">
        <f t="shared" si="338"/>
        <v>44651</v>
      </c>
      <c r="HZ88" s="11">
        <f t="shared" si="339"/>
        <v>27.161959987838248</v>
      </c>
      <c r="IA88" s="11">
        <f t="shared" si="340"/>
        <v>8</v>
      </c>
      <c r="IM88" s="12" t="str">
        <f t="shared" si="271"/>
        <v>FY23</v>
      </c>
      <c r="IN88" s="12">
        <f t="shared" si="272"/>
        <v>44896</v>
      </c>
      <c r="IO88" s="11">
        <f t="shared" si="273"/>
        <v>25.213057950744904</v>
      </c>
      <c r="IP88" s="11">
        <f t="shared" si="274"/>
        <v>8</v>
      </c>
      <c r="IT88" s="38" t="s">
        <v>27</v>
      </c>
      <c r="IU88" s="38" t="s">
        <v>26</v>
      </c>
      <c r="IV88" s="38" t="s">
        <v>25</v>
      </c>
      <c r="IW88" s="38" t="s">
        <v>24</v>
      </c>
      <c r="JI88" s="12" t="str">
        <f t="shared" si="275"/>
        <v>FY24</v>
      </c>
      <c r="JJ88" s="12">
        <f t="shared" si="276"/>
        <v>45260</v>
      </c>
      <c r="JK88" s="11">
        <f t="shared" si="277"/>
        <v>23.402584504740112</v>
      </c>
      <c r="JL88" s="11">
        <f t="shared" si="278"/>
        <v>8</v>
      </c>
      <c r="JP88" s="12" t="str">
        <f t="shared" si="341"/>
        <v>FY24</v>
      </c>
      <c r="JQ88" s="12">
        <f t="shared" si="342"/>
        <v>45134</v>
      </c>
      <c r="JR88" s="11">
        <f t="shared" si="343"/>
        <v>84.639629072681714</v>
      </c>
      <c r="JS88" s="11">
        <f t="shared" si="344"/>
        <v>60</v>
      </c>
      <c r="NG88" s="12"/>
      <c r="NH88" s="12"/>
      <c r="NI88" s="11"/>
      <c r="NJ88" s="11"/>
      <c r="NV88" s="12"/>
      <c r="NW88" s="12"/>
      <c r="NX88" s="11"/>
      <c r="NY88" s="11"/>
      <c r="OB88" s="1"/>
    </row>
    <row r="89" spans="6:392" x14ac:dyDescent="0.2">
      <c r="M89" s="5" t="str" cm="1">
        <f t="array" ref="M89">LOOKUP(2,1/($G$19:$G$35&lt;=$V89)/($H$19:$H$35&gt;=$V89),$F$19:$F$35)</f>
        <v>1H19</v>
      </c>
      <c r="N89" s="5" t="str" cm="1">
        <f t="array" ref="N89">LOOKUP(2,1/($G$8:$G$16&lt;=$V89)/($H$8:$H$16&gt;=$V89),$F$8:$F$16)</f>
        <v>FY19</v>
      </c>
      <c r="O89" s="5" t="str">
        <f>IFERROR(N89&amp;"-"&amp;COUNTIF($N$5:N89,N89),NA())</f>
        <v>FY19-7</v>
      </c>
      <c r="P89" s="5">
        <f>COUNTIF(V$5:V89,"&gt;="&amp;MAX($V:$V)-183)</f>
        <v>0</v>
      </c>
      <c r="Q89" s="5">
        <f>COUNTIF(V$5:V89,"&gt;="&amp;MAX($V:$V)-365)</f>
        <v>0</v>
      </c>
      <c r="R89" s="5" cm="1">
        <f t="array" ref="R89">LOOKUP(2,1/($G$46:$G$50&lt;=$V89)/($H$46:$H$50&gt;=$V89),$F$46:$F$50)</f>
        <v>0</v>
      </c>
      <c r="S89" s="5" cm="1">
        <f t="array" ref="S89">LOOKUP(2,1/($G$53:$G$56&lt;=$V89)/($H$53:$H$56&gt;=$V89),$F$53:$F$56)</f>
        <v>0</v>
      </c>
      <c r="T89" s="5" t="e">
        <f>IFERROR(IF($R89&gt;0,$R89&amp;"-"&amp;COUNTIF($R$5:$R89,$R89),NA()),NA())</f>
        <v>#N/A</v>
      </c>
      <c r="U89" s="5" t="e">
        <f>IFERROR(IF($S89&gt;0,$S89&amp;"-"&amp;COUNTIF($S$5:$S89,$S89),NA()),NA())</f>
        <v>#N/A</v>
      </c>
      <c r="V89" s="10">
        <v>43328</v>
      </c>
      <c r="W89" s="9">
        <v>169384236.4907819</v>
      </c>
      <c r="X89" s="9">
        <v>203650667.5328671</v>
      </c>
      <c r="Y89" s="8">
        <v>100000000</v>
      </c>
      <c r="AI89" s="18"/>
      <c r="AJ89" s="12"/>
      <c r="AK89" s="11"/>
      <c r="AL89" s="11"/>
      <c r="AP89" s="18" t="e">
        <f t="shared" si="321"/>
        <v>#N/A</v>
      </c>
      <c r="AQ89" s="12" t="e">
        <f t="shared" si="322"/>
        <v>#N/A</v>
      </c>
      <c r="AR89" s="11" t="e">
        <f t="shared" si="323"/>
        <v>#N/A</v>
      </c>
      <c r="AS89" s="11" t="e">
        <f t="shared" si="324"/>
        <v>#N/A</v>
      </c>
      <c r="BI89" s="18">
        <f t="shared" si="281"/>
        <v>43</v>
      </c>
      <c r="BJ89" s="12">
        <f t="shared" si="282"/>
        <v>45400</v>
      </c>
      <c r="BK89" s="11">
        <f t="shared" si="283"/>
        <v>30.895473575242455</v>
      </c>
      <c r="BL89" s="11">
        <f t="shared" si="284"/>
        <v>12</v>
      </c>
      <c r="BP89" s="111">
        <v>12</v>
      </c>
      <c r="BQ89" s="39">
        <f t="shared" si="345"/>
        <v>29600400</v>
      </c>
      <c r="BR89" s="110">
        <v>0</v>
      </c>
      <c r="BS89" s="39">
        <f t="shared" si="346"/>
        <v>29600400</v>
      </c>
      <c r="CE89" s="18" t="e">
        <f t="shared" si="285"/>
        <v>#N/A</v>
      </c>
      <c r="CF89" s="12" t="e">
        <f t="shared" si="286"/>
        <v>#N/A</v>
      </c>
      <c r="CG89" s="11" t="e">
        <f t="shared" si="287"/>
        <v>#N/A</v>
      </c>
      <c r="CH89" s="11" t="e">
        <f t="shared" si="288"/>
        <v>#N/A</v>
      </c>
      <c r="CT89" s="18" t="e">
        <f t="shared" si="289"/>
        <v>#N/A</v>
      </c>
      <c r="CU89" s="12" t="e">
        <f t="shared" si="290"/>
        <v>#N/A</v>
      </c>
      <c r="CV89" s="11" t="e">
        <f t="shared" si="291"/>
        <v>#N/A</v>
      </c>
      <c r="CW89" s="11" t="e">
        <f t="shared" si="292"/>
        <v>#N/A</v>
      </c>
      <c r="DI89" s="18" t="e">
        <f t="shared" si="293"/>
        <v>#N/A</v>
      </c>
      <c r="DJ89" s="12" t="e">
        <f t="shared" si="294"/>
        <v>#N/A</v>
      </c>
      <c r="DK89" s="11" t="e">
        <f t="shared" si="295"/>
        <v>#N/A</v>
      </c>
      <c r="DL89" s="11" t="e">
        <f t="shared" si="296"/>
        <v>#N/A</v>
      </c>
      <c r="DX89" s="18" t="e">
        <f t="shared" si="297"/>
        <v>#N/A</v>
      </c>
      <c r="DY89" s="12" t="e">
        <f t="shared" si="298"/>
        <v>#N/A</v>
      </c>
      <c r="DZ89" s="11" t="e">
        <f t="shared" si="299"/>
        <v>#N/A</v>
      </c>
      <c r="EA89" s="11" t="e">
        <f t="shared" si="300"/>
        <v>#N/A</v>
      </c>
      <c r="EE89" s="12" t="e">
        <f t="shared" si="325"/>
        <v>#N/A</v>
      </c>
      <c r="EF89" s="12" t="e">
        <f t="shared" si="326"/>
        <v>#N/A</v>
      </c>
      <c r="EG89" s="11" t="e">
        <f t="shared" si="327"/>
        <v>#N/A</v>
      </c>
      <c r="EH89" s="11" t="e">
        <f t="shared" si="328"/>
        <v>#N/A</v>
      </c>
      <c r="ET89" s="12" t="str">
        <f t="shared" si="301"/>
        <v>FY18-43</v>
      </c>
      <c r="EU89" s="12">
        <f t="shared" si="302"/>
        <v>43216</v>
      </c>
      <c r="EV89" s="11">
        <f t="shared" si="303"/>
        <v>11.440443356643355</v>
      </c>
      <c r="EW89" s="11">
        <f t="shared" si="304"/>
        <v>3</v>
      </c>
      <c r="FI89" s="12" t="str">
        <f t="shared" si="305"/>
        <v>FY19</v>
      </c>
      <c r="FJ89" s="12">
        <f t="shared" si="306"/>
        <v>43580</v>
      </c>
      <c r="FK89" s="11">
        <f t="shared" si="307"/>
        <v>22.688576025744165</v>
      </c>
      <c r="FL89" s="11">
        <f t="shared" si="308"/>
        <v>20</v>
      </c>
      <c r="FP89" s="12" t="str">
        <f t="shared" si="329"/>
        <v>FY19</v>
      </c>
      <c r="FQ89" s="12">
        <f t="shared" si="330"/>
        <v>43566</v>
      </c>
      <c r="FR89" s="11">
        <f t="shared" si="331"/>
        <v>17.74406361779813</v>
      </c>
      <c r="FS89" s="11">
        <f t="shared" si="332"/>
        <v>8</v>
      </c>
      <c r="FX89" s="16"/>
      <c r="FY89" s="15"/>
      <c r="GF89" s="12" t="str">
        <f t="shared" si="309"/>
        <v>FY20</v>
      </c>
      <c r="GG89" s="12">
        <f t="shared" si="310"/>
        <v>43944</v>
      </c>
      <c r="GH89" s="11">
        <f t="shared" si="311"/>
        <v>40.886779446640311</v>
      </c>
      <c r="GI89" s="11">
        <f t="shared" si="312"/>
        <v>20</v>
      </c>
      <c r="GM89" s="12" t="str">
        <f t="shared" si="333"/>
        <v>FY20</v>
      </c>
      <c r="GN89" s="12">
        <f t="shared" si="334"/>
        <v>43930</v>
      </c>
      <c r="GO89" s="11">
        <f t="shared" si="335"/>
        <v>21.964242505320762</v>
      </c>
      <c r="GP89" s="11">
        <f t="shared" si="336"/>
        <v>8</v>
      </c>
      <c r="GU89" s="16"/>
      <c r="GV89" s="14"/>
      <c r="GW89" s="15"/>
      <c r="HB89" s="12" t="str">
        <f t="shared" si="313"/>
        <v>FY21</v>
      </c>
      <c r="HC89" s="12">
        <f t="shared" si="314"/>
        <v>44308</v>
      </c>
      <c r="HD89" s="11">
        <f t="shared" si="315"/>
        <v>118.500310611128</v>
      </c>
      <c r="HE89" s="11">
        <f t="shared" si="316"/>
        <v>80</v>
      </c>
      <c r="HJ89" s="16"/>
      <c r="HK89" s="15"/>
      <c r="HL89" s="14"/>
      <c r="HQ89" s="12" t="str">
        <f t="shared" si="317"/>
        <v>FY22</v>
      </c>
      <c r="HR89" s="12">
        <f t="shared" si="318"/>
        <v>44672</v>
      </c>
      <c r="HS89" s="11">
        <f t="shared" si="319"/>
        <v>24.23271170568562</v>
      </c>
      <c r="HT89" s="11">
        <f t="shared" si="320"/>
        <v>8</v>
      </c>
      <c r="HX89" s="12" t="str">
        <f t="shared" si="337"/>
        <v>FY22</v>
      </c>
      <c r="HY89" s="12">
        <f t="shared" si="338"/>
        <v>44658</v>
      </c>
      <c r="HZ89" s="11">
        <f t="shared" si="339"/>
        <v>42.925571784736995</v>
      </c>
      <c r="IA89" s="11">
        <f t="shared" si="340"/>
        <v>20</v>
      </c>
      <c r="IM89" s="12" t="str">
        <f t="shared" si="271"/>
        <v>FY23</v>
      </c>
      <c r="IN89" s="12">
        <f t="shared" si="272"/>
        <v>44903</v>
      </c>
      <c r="IO89" s="11">
        <f t="shared" si="273"/>
        <v>38.341626147765275</v>
      </c>
      <c r="IP89" s="11">
        <f t="shared" si="274"/>
        <v>20</v>
      </c>
      <c r="IT89" s="12" t="str">
        <f t="shared" ref="IT89:IT120" si="347">IF(OR(ISBLANK(IE5),$IH5&gt;=$IU$86),NA(),IE5)</f>
        <v>FY23</v>
      </c>
      <c r="IU89" s="12">
        <f t="shared" ref="IU89:IU120" si="348">IF(OR(ISBLANK(IF5),$IH5&gt;=$IU$86),NA(),IF5)</f>
        <v>44749</v>
      </c>
      <c r="IV89" s="11">
        <f t="shared" ref="IV89:IV120" si="349">IF(OR(ISBLANK(IG5),$IH5&gt;=$IU$86),NA(),IG5/1000000)</f>
        <v>20.096787838248709</v>
      </c>
      <c r="IW89" s="11">
        <f t="shared" ref="IW89:IW120" si="350">IF(OR(ISBLANK(IH5),$IH5&gt;=$IU$86),NA(),IH5/1000000)</f>
        <v>4</v>
      </c>
      <c r="JI89" s="12" t="str">
        <f t="shared" si="275"/>
        <v>FY24</v>
      </c>
      <c r="JJ89" s="12">
        <f t="shared" si="276"/>
        <v>45267</v>
      </c>
      <c r="JK89" s="11">
        <f t="shared" si="277"/>
        <v>34.302016781083154</v>
      </c>
      <c r="JL89" s="11">
        <f t="shared" si="278"/>
        <v>20</v>
      </c>
      <c r="JP89" s="12" t="str">
        <f t="shared" si="341"/>
        <v>FY24</v>
      </c>
      <c r="JQ89" s="12" t="e">
        <f t="shared" si="342"/>
        <v>#N/A</v>
      </c>
      <c r="JR89" s="11" t="e">
        <f t="shared" si="343"/>
        <v>#N/A</v>
      </c>
      <c r="JS89" s="11" t="e">
        <f t="shared" si="344"/>
        <v>#N/A</v>
      </c>
      <c r="NG89" s="12"/>
      <c r="NH89" s="12"/>
      <c r="NI89" s="11"/>
      <c r="NJ89" s="11"/>
      <c r="NV89" s="12"/>
      <c r="NW89" s="12"/>
      <c r="NX89" s="11"/>
      <c r="NY89" s="11"/>
      <c r="OB89" s="1"/>
    </row>
    <row r="90" spans="6:392" x14ac:dyDescent="0.2">
      <c r="M90" s="5" t="str" cm="1">
        <f t="array" ref="M90">LOOKUP(2,1/($G$19:$G$35&lt;=$V90)/($H$19:$H$35&gt;=$V90),$F$19:$F$35)</f>
        <v>1H19</v>
      </c>
      <c r="N90" s="5" t="str" cm="1">
        <f t="array" ref="N90">LOOKUP(2,1/($G$8:$G$16&lt;=$V90)/($H$8:$H$16&gt;=$V90),$F$8:$F$16)</f>
        <v>FY19</v>
      </c>
      <c r="O90" s="5" t="str">
        <f>IFERROR(N90&amp;"-"&amp;COUNTIF($N$5:N90,N90),NA())</f>
        <v>FY19-8</v>
      </c>
      <c r="P90" s="5">
        <f>COUNTIF(V$5:V90,"&gt;="&amp;MAX($V:$V)-183)</f>
        <v>0</v>
      </c>
      <c r="Q90" s="5">
        <f>COUNTIF(V$5:V90,"&gt;="&amp;MAX($V:$V)-365)</f>
        <v>0</v>
      </c>
      <c r="R90" s="5" cm="1">
        <f t="array" ref="R90">LOOKUP(2,1/($G$46:$G$50&lt;=$V90)/($H$46:$H$50&gt;=$V90),$F$46:$F$50)</f>
        <v>0</v>
      </c>
      <c r="S90" s="5" cm="1">
        <f t="array" ref="S90">LOOKUP(2,1/($G$53:$G$56&lt;=$V90)/($H$53:$H$56&gt;=$V90),$F$53:$F$56)</f>
        <v>0</v>
      </c>
      <c r="T90" s="5" t="e">
        <f>IFERROR(IF($R90&gt;0,$R90&amp;"-"&amp;COUNTIF($R$5:$R90,$R90),NA()),NA())</f>
        <v>#N/A</v>
      </c>
      <c r="U90" s="5" t="e">
        <f>IFERROR(IF($S90&gt;0,$S90&amp;"-"&amp;COUNTIF($S$5:$S90,$S90),NA()),NA())</f>
        <v>#N/A</v>
      </c>
      <c r="V90" s="10">
        <v>43335</v>
      </c>
      <c r="W90" s="9">
        <v>14031852.256834073</v>
      </c>
      <c r="X90" s="9">
        <v>16870495.968391608</v>
      </c>
      <c r="Y90" s="8">
        <v>3000000</v>
      </c>
      <c r="AI90" s="18"/>
      <c r="AJ90" s="12"/>
      <c r="AK90" s="11"/>
      <c r="AL90" s="11"/>
      <c r="AP90" s="18" t="e">
        <f t="shared" si="321"/>
        <v>#N/A</v>
      </c>
      <c r="AQ90" s="12" t="e">
        <f t="shared" si="322"/>
        <v>#N/A</v>
      </c>
      <c r="AR90" s="11" t="e">
        <f t="shared" si="323"/>
        <v>#N/A</v>
      </c>
      <c r="AS90" s="11" t="e">
        <f t="shared" si="324"/>
        <v>#N/A</v>
      </c>
      <c r="BI90" s="18">
        <f t="shared" si="281"/>
        <v>44</v>
      </c>
      <c r="BJ90" s="12">
        <f t="shared" si="282"/>
        <v>45407</v>
      </c>
      <c r="BK90" s="11">
        <f t="shared" si="283"/>
        <v>37.208673640623303</v>
      </c>
      <c r="BL90" s="11">
        <f t="shared" si="284"/>
        <v>20</v>
      </c>
      <c r="BP90" s="111">
        <v>20</v>
      </c>
      <c r="BQ90" s="39">
        <f t="shared" si="345"/>
        <v>38290000</v>
      </c>
      <c r="BR90" s="110">
        <v>0</v>
      </c>
      <c r="BS90" s="39">
        <f t="shared" si="346"/>
        <v>38290000</v>
      </c>
      <c r="CE90" s="18" t="e">
        <f t="shared" si="285"/>
        <v>#N/A</v>
      </c>
      <c r="CF90" s="12" t="e">
        <f t="shared" si="286"/>
        <v>#N/A</v>
      </c>
      <c r="CG90" s="11" t="e">
        <f t="shared" si="287"/>
        <v>#N/A</v>
      </c>
      <c r="CH90" s="11" t="e">
        <f t="shared" si="288"/>
        <v>#N/A</v>
      </c>
      <c r="CT90" s="18" t="e">
        <f t="shared" si="289"/>
        <v>#N/A</v>
      </c>
      <c r="CU90" s="12" t="e">
        <f t="shared" si="290"/>
        <v>#N/A</v>
      </c>
      <c r="CV90" s="11" t="e">
        <f t="shared" si="291"/>
        <v>#N/A</v>
      </c>
      <c r="CW90" s="11" t="e">
        <f t="shared" si="292"/>
        <v>#N/A</v>
      </c>
      <c r="DI90" s="18" t="e">
        <f t="shared" si="293"/>
        <v>#N/A</v>
      </c>
      <c r="DJ90" s="12" t="e">
        <f t="shared" si="294"/>
        <v>#N/A</v>
      </c>
      <c r="DK90" s="11" t="e">
        <f t="shared" si="295"/>
        <v>#N/A</v>
      </c>
      <c r="DL90" s="11" t="e">
        <f t="shared" si="296"/>
        <v>#N/A</v>
      </c>
      <c r="DX90" s="18" t="e">
        <f t="shared" si="297"/>
        <v>#N/A</v>
      </c>
      <c r="DY90" s="12" t="e">
        <f t="shared" si="298"/>
        <v>#N/A</v>
      </c>
      <c r="DZ90" s="11" t="e">
        <f t="shared" si="299"/>
        <v>#N/A</v>
      </c>
      <c r="EA90" s="11" t="e">
        <f t="shared" si="300"/>
        <v>#N/A</v>
      </c>
      <c r="EE90" s="12" t="e">
        <f t="shared" si="325"/>
        <v>#N/A</v>
      </c>
      <c r="EF90" s="12" t="e">
        <f t="shared" si="326"/>
        <v>#N/A</v>
      </c>
      <c r="EG90" s="11" t="e">
        <f t="shared" si="327"/>
        <v>#N/A</v>
      </c>
      <c r="EH90" s="11" t="e">
        <f t="shared" si="328"/>
        <v>#N/A</v>
      </c>
      <c r="ET90" s="12" t="str">
        <f t="shared" si="301"/>
        <v>FY18-44</v>
      </c>
      <c r="EU90" s="12">
        <f t="shared" si="302"/>
        <v>43223</v>
      </c>
      <c r="EV90" s="11">
        <f t="shared" si="303"/>
        <v>15.861424030514938</v>
      </c>
      <c r="EW90" s="11">
        <f t="shared" si="304"/>
        <v>8</v>
      </c>
      <c r="FI90" s="12" t="str">
        <f t="shared" si="305"/>
        <v>FY19</v>
      </c>
      <c r="FJ90" s="12">
        <f t="shared" si="306"/>
        <v>43587</v>
      </c>
      <c r="FK90" s="11">
        <f t="shared" si="307"/>
        <v>34.273410483321989</v>
      </c>
      <c r="FL90" s="11">
        <f t="shared" si="308"/>
        <v>30</v>
      </c>
      <c r="FP90" s="12" t="str">
        <f t="shared" si="329"/>
        <v>FY19</v>
      </c>
      <c r="FQ90" s="12">
        <f t="shared" si="330"/>
        <v>43573</v>
      </c>
      <c r="FR90" s="11">
        <f t="shared" si="331"/>
        <v>22.274509066155083</v>
      </c>
      <c r="FS90" s="11">
        <f t="shared" si="332"/>
        <v>12</v>
      </c>
      <c r="FX90" s="16"/>
      <c r="FY90" s="15"/>
      <c r="GF90" s="12" t="str">
        <f t="shared" si="309"/>
        <v>FY20</v>
      </c>
      <c r="GG90" s="12">
        <f t="shared" si="310"/>
        <v>43951</v>
      </c>
      <c r="GH90" s="11">
        <f t="shared" si="311"/>
        <v>17.546634478564911</v>
      </c>
      <c r="GI90" s="11">
        <f t="shared" si="312"/>
        <v>3</v>
      </c>
      <c r="GM90" s="12" t="str">
        <f t="shared" si="333"/>
        <v>FY20</v>
      </c>
      <c r="GN90" s="12">
        <f t="shared" si="334"/>
        <v>43937</v>
      </c>
      <c r="GO90" s="11">
        <f t="shared" si="335"/>
        <v>28.686509212526602</v>
      </c>
      <c r="GP90" s="11">
        <f t="shared" si="336"/>
        <v>12</v>
      </c>
      <c r="GU90" s="16"/>
      <c r="GV90" s="14"/>
      <c r="GW90" s="15"/>
      <c r="HB90" s="12" t="str">
        <f t="shared" si="313"/>
        <v>FY21</v>
      </c>
      <c r="HC90" s="12">
        <f t="shared" si="314"/>
        <v>44315</v>
      </c>
      <c r="HD90" s="11">
        <f t="shared" si="315"/>
        <v>24.573953906962604</v>
      </c>
      <c r="HE90" s="11">
        <f t="shared" si="316"/>
        <v>8</v>
      </c>
      <c r="HJ90" s="16"/>
      <c r="HK90" s="15"/>
      <c r="HL90" s="14"/>
      <c r="HQ90" s="12" t="str">
        <f t="shared" si="317"/>
        <v>FY22</v>
      </c>
      <c r="HR90" s="12">
        <f t="shared" si="318"/>
        <v>44679</v>
      </c>
      <c r="HS90" s="11">
        <f t="shared" si="319"/>
        <v>39.401901124961988</v>
      </c>
      <c r="HT90" s="11">
        <f t="shared" si="320"/>
        <v>20</v>
      </c>
      <c r="HX90" s="12" t="str">
        <f t="shared" si="337"/>
        <v>FY22</v>
      </c>
      <c r="HY90" s="12">
        <f t="shared" si="338"/>
        <v>44665</v>
      </c>
      <c r="HZ90" s="11">
        <f t="shared" si="339"/>
        <v>20.606947765278193</v>
      </c>
      <c r="IA90" s="11">
        <f t="shared" si="340"/>
        <v>4</v>
      </c>
      <c r="IM90" s="12" t="str">
        <f t="shared" si="271"/>
        <v>FY23</v>
      </c>
      <c r="IN90" s="12">
        <f t="shared" si="272"/>
        <v>44910</v>
      </c>
      <c r="IO90" s="11">
        <f t="shared" si="273"/>
        <v>50.094358163575549</v>
      </c>
      <c r="IP90" s="11">
        <f t="shared" si="274"/>
        <v>30</v>
      </c>
      <c r="IT90" s="12" t="str">
        <f t="shared" si="347"/>
        <v>FY23</v>
      </c>
      <c r="IU90" s="12">
        <f t="shared" si="348"/>
        <v>44756</v>
      </c>
      <c r="IV90" s="11">
        <f t="shared" si="349"/>
        <v>27.258635451505018</v>
      </c>
      <c r="IW90" s="11">
        <f t="shared" si="350"/>
        <v>8</v>
      </c>
      <c r="JI90" s="12" t="str">
        <f t="shared" si="275"/>
        <v>FY24</v>
      </c>
      <c r="JJ90" s="12">
        <f t="shared" si="276"/>
        <v>45274</v>
      </c>
      <c r="JK90" s="11">
        <f t="shared" si="277"/>
        <v>41.358095020159098</v>
      </c>
      <c r="JL90" s="11">
        <f t="shared" si="278"/>
        <v>30</v>
      </c>
      <c r="JP90" s="12" t="str">
        <f t="shared" si="341"/>
        <v>FY24</v>
      </c>
      <c r="JQ90" s="12">
        <f t="shared" si="342"/>
        <v>45148</v>
      </c>
      <c r="JR90" s="11">
        <f t="shared" si="343"/>
        <v>20.677774436090228</v>
      </c>
      <c r="JS90" s="11">
        <f t="shared" si="344"/>
        <v>4</v>
      </c>
      <c r="NG90" s="12"/>
      <c r="NH90" s="12"/>
      <c r="NI90" s="11"/>
      <c r="NJ90" s="11"/>
      <c r="NV90" s="12"/>
      <c r="NW90" s="12"/>
      <c r="NX90" s="11"/>
      <c r="NY90" s="11"/>
      <c r="OB90" s="1"/>
    </row>
    <row r="91" spans="6:392" x14ac:dyDescent="0.2">
      <c r="M91" s="5" t="str" cm="1">
        <f t="array" ref="M91">LOOKUP(2,1/($G$19:$G$35&lt;=$V91)/($H$19:$H$35&gt;=$V91),$F$19:$F$35)</f>
        <v>1H19</v>
      </c>
      <c r="N91" s="5" t="str" cm="1">
        <f t="array" ref="N91">LOOKUP(2,1/($G$8:$G$16&lt;=$V91)/($H$8:$H$16&gt;=$V91),$F$8:$F$16)</f>
        <v>FY19</v>
      </c>
      <c r="O91" s="5" t="str">
        <f>IFERROR(N91&amp;"-"&amp;COUNTIF($N$5:N91,N91),NA())</f>
        <v>FY19-9</v>
      </c>
      <c r="P91" s="5">
        <f>COUNTIF(V$5:V91,"&gt;="&amp;MAX($V:$V)-183)</f>
        <v>0</v>
      </c>
      <c r="Q91" s="5">
        <f>COUNTIF(V$5:V91,"&gt;="&amp;MAX($V:$V)-365)</f>
        <v>0</v>
      </c>
      <c r="R91" s="5" cm="1">
        <f t="array" ref="R91">LOOKUP(2,1/($G$46:$G$50&lt;=$V91)/($H$46:$H$50&gt;=$V91),$F$46:$F$50)</f>
        <v>0</v>
      </c>
      <c r="S91" s="5" cm="1">
        <f t="array" ref="S91">LOOKUP(2,1/($G$53:$G$56&lt;=$V91)/($H$53:$H$56&gt;=$V91),$F$53:$F$56)</f>
        <v>0</v>
      </c>
      <c r="T91" s="5" t="e">
        <f>IFERROR(IF($R91&gt;0,$R91&amp;"-"&amp;COUNTIF($R$5:$R91,$R91),NA()),NA())</f>
        <v>#N/A</v>
      </c>
      <c r="U91" s="5" t="e">
        <f>IFERROR(IF($S91&gt;0,$S91&amp;"-"&amp;COUNTIF($S$5:$S91,$S91),NA()),NA())</f>
        <v>#N/A</v>
      </c>
      <c r="V91" s="10">
        <v>43342</v>
      </c>
      <c r="W91" s="9">
        <v>16733295.359186264</v>
      </c>
      <c r="X91" s="9">
        <v>20118441.010349646</v>
      </c>
      <c r="Y91" s="8">
        <v>8000000</v>
      </c>
      <c r="AI91" s="18"/>
      <c r="AJ91" s="12"/>
      <c r="AK91" s="11"/>
      <c r="AL91" s="11"/>
      <c r="AP91" s="18" t="e">
        <f t="shared" si="321"/>
        <v>#N/A</v>
      </c>
      <c r="AQ91" s="12" t="e">
        <f t="shared" si="322"/>
        <v>#N/A</v>
      </c>
      <c r="AR91" s="11" t="e">
        <f t="shared" si="323"/>
        <v>#N/A</v>
      </c>
      <c r="AS91" s="11" t="e">
        <f t="shared" si="324"/>
        <v>#N/A</v>
      </c>
      <c r="BI91" s="18">
        <f t="shared" si="281"/>
        <v>45</v>
      </c>
      <c r="BJ91" s="12">
        <f t="shared" si="282"/>
        <v>45414</v>
      </c>
      <c r="BK91" s="11">
        <f t="shared" si="283"/>
        <v>54.983203443391083</v>
      </c>
      <c r="BL91" s="11">
        <f t="shared" si="284"/>
        <v>40</v>
      </c>
      <c r="BP91" s="111">
        <v>40</v>
      </c>
      <c r="BQ91" s="39">
        <f t="shared" si="345"/>
        <v>60013999.999999993</v>
      </c>
      <c r="BR91" s="110">
        <v>0</v>
      </c>
      <c r="BS91" s="39">
        <f t="shared" si="346"/>
        <v>60013999.999999993</v>
      </c>
      <c r="CE91" s="18" t="e">
        <f t="shared" si="285"/>
        <v>#N/A</v>
      </c>
      <c r="CF91" s="12" t="e">
        <f t="shared" si="286"/>
        <v>#N/A</v>
      </c>
      <c r="CG91" s="11" t="e">
        <f t="shared" si="287"/>
        <v>#N/A</v>
      </c>
      <c r="CH91" s="11" t="e">
        <f t="shared" si="288"/>
        <v>#N/A</v>
      </c>
      <c r="CT91" s="18" t="e">
        <f t="shared" si="289"/>
        <v>#N/A</v>
      </c>
      <c r="CU91" s="12" t="e">
        <f t="shared" si="290"/>
        <v>#N/A</v>
      </c>
      <c r="CV91" s="11" t="e">
        <f t="shared" si="291"/>
        <v>#N/A</v>
      </c>
      <c r="CW91" s="11" t="e">
        <f t="shared" si="292"/>
        <v>#N/A</v>
      </c>
      <c r="DI91" s="18" t="e">
        <f t="shared" si="293"/>
        <v>#N/A</v>
      </c>
      <c r="DJ91" s="12" t="e">
        <f t="shared" si="294"/>
        <v>#N/A</v>
      </c>
      <c r="DK91" s="11" t="e">
        <f t="shared" si="295"/>
        <v>#N/A</v>
      </c>
      <c r="DL91" s="11" t="e">
        <f t="shared" si="296"/>
        <v>#N/A</v>
      </c>
      <c r="DX91" s="18" t="e">
        <f t="shared" si="297"/>
        <v>#N/A</v>
      </c>
      <c r="DY91" s="12" t="e">
        <f t="shared" si="298"/>
        <v>#N/A</v>
      </c>
      <c r="DZ91" s="11" t="e">
        <f t="shared" si="299"/>
        <v>#N/A</v>
      </c>
      <c r="EA91" s="11" t="e">
        <f t="shared" si="300"/>
        <v>#N/A</v>
      </c>
      <c r="EE91" s="12" t="e">
        <f t="shared" si="325"/>
        <v>#N/A</v>
      </c>
      <c r="EF91" s="12" t="e">
        <f t="shared" si="326"/>
        <v>#N/A</v>
      </c>
      <c r="EG91" s="11" t="e">
        <f t="shared" si="327"/>
        <v>#N/A</v>
      </c>
      <c r="EH91" s="11" t="e">
        <f t="shared" si="328"/>
        <v>#N/A</v>
      </c>
      <c r="ET91" s="12" t="str">
        <f t="shared" si="301"/>
        <v>FY18-45</v>
      </c>
      <c r="EU91" s="12">
        <f t="shared" si="302"/>
        <v>43230</v>
      </c>
      <c r="EV91" s="11">
        <f t="shared" si="303"/>
        <v>17.697270947234582</v>
      </c>
      <c r="EW91" s="11">
        <f t="shared" si="304"/>
        <v>12</v>
      </c>
      <c r="FI91" s="12" t="str">
        <f t="shared" si="305"/>
        <v>FY19</v>
      </c>
      <c r="FJ91" s="12">
        <f t="shared" si="306"/>
        <v>43594</v>
      </c>
      <c r="FK91" s="11">
        <f t="shared" si="307"/>
        <v>12.230604616622315</v>
      </c>
      <c r="FL91" s="11">
        <f t="shared" si="308"/>
        <v>3</v>
      </c>
      <c r="FP91" s="12" t="str">
        <f t="shared" si="329"/>
        <v>FY19</v>
      </c>
      <c r="FQ91" s="12">
        <f t="shared" si="330"/>
        <v>43580</v>
      </c>
      <c r="FR91" s="11">
        <f t="shared" si="331"/>
        <v>22.688576025744165</v>
      </c>
      <c r="FS91" s="11">
        <f t="shared" si="332"/>
        <v>20</v>
      </c>
      <c r="FX91" s="16"/>
      <c r="FY91" s="15"/>
      <c r="GF91" s="12" t="str">
        <f t="shared" si="309"/>
        <v>FY20</v>
      </c>
      <c r="GG91" s="12">
        <f t="shared" si="310"/>
        <v>43958</v>
      </c>
      <c r="GH91" s="11">
        <f t="shared" si="311"/>
        <v>22.952706354515055</v>
      </c>
      <c r="GI91" s="11">
        <f t="shared" si="312"/>
        <v>8</v>
      </c>
      <c r="GM91" s="12" t="str">
        <f t="shared" si="333"/>
        <v>FY20</v>
      </c>
      <c r="GN91" s="12">
        <f t="shared" si="334"/>
        <v>43944</v>
      </c>
      <c r="GO91" s="11">
        <f t="shared" si="335"/>
        <v>40.886779446640311</v>
      </c>
      <c r="GP91" s="11">
        <f t="shared" si="336"/>
        <v>20</v>
      </c>
      <c r="GU91" s="16"/>
      <c r="GV91" s="14"/>
      <c r="GW91" s="15"/>
      <c r="HB91" s="12" t="str">
        <f t="shared" si="313"/>
        <v>FY21</v>
      </c>
      <c r="HC91" s="12">
        <f t="shared" si="314"/>
        <v>44322</v>
      </c>
      <c r="HD91" s="11">
        <f t="shared" si="315"/>
        <v>37.110605290361804</v>
      </c>
      <c r="HE91" s="11">
        <f t="shared" si="316"/>
        <v>20</v>
      </c>
      <c r="HJ91" s="16"/>
      <c r="HK91" s="15"/>
      <c r="HL91" s="14"/>
      <c r="HQ91" s="12" t="str">
        <f t="shared" si="317"/>
        <v>FY22</v>
      </c>
      <c r="HR91" s="12">
        <f t="shared" si="318"/>
        <v>44686</v>
      </c>
      <c r="HS91" s="11">
        <f t="shared" si="319"/>
        <v>58.067244025539672</v>
      </c>
      <c r="HT91" s="11">
        <f t="shared" si="320"/>
        <v>40</v>
      </c>
      <c r="HX91" s="12" t="str">
        <f t="shared" si="337"/>
        <v>FY22</v>
      </c>
      <c r="HY91" s="12">
        <f t="shared" si="338"/>
        <v>44672</v>
      </c>
      <c r="HZ91" s="11">
        <f t="shared" si="339"/>
        <v>24.23271170568562</v>
      </c>
      <c r="IA91" s="11">
        <f t="shared" si="340"/>
        <v>8</v>
      </c>
      <c r="IM91" s="12" t="str">
        <f t="shared" si="271"/>
        <v>FY23</v>
      </c>
      <c r="IN91" s="12">
        <f t="shared" si="272"/>
        <v>44917</v>
      </c>
      <c r="IO91" s="11">
        <f t="shared" si="273"/>
        <v>75.733957798723026</v>
      </c>
      <c r="IP91" s="11">
        <f t="shared" si="274"/>
        <v>50</v>
      </c>
      <c r="IT91" s="12" t="str">
        <f t="shared" si="347"/>
        <v>FY23</v>
      </c>
      <c r="IU91" s="12">
        <f t="shared" si="348"/>
        <v>44763</v>
      </c>
      <c r="IV91" s="11">
        <f t="shared" si="349"/>
        <v>20.96840571602311</v>
      </c>
      <c r="IW91" s="11">
        <f t="shared" si="350"/>
        <v>4</v>
      </c>
      <c r="JI91" s="12" t="str">
        <f t="shared" si="275"/>
        <v>FY24</v>
      </c>
      <c r="JJ91" s="12">
        <f t="shared" si="276"/>
        <v>45281</v>
      </c>
      <c r="JK91" s="11">
        <f t="shared" si="277"/>
        <v>23.530717990628748</v>
      </c>
      <c r="JL91" s="11">
        <f t="shared" si="278"/>
        <v>8</v>
      </c>
      <c r="JP91" s="12" t="str">
        <f t="shared" si="341"/>
        <v>FY24</v>
      </c>
      <c r="JQ91" s="12">
        <f t="shared" si="342"/>
        <v>45155</v>
      </c>
      <c r="JR91" s="11">
        <f t="shared" si="343"/>
        <v>30.840203334423013</v>
      </c>
      <c r="JS91" s="11">
        <f t="shared" si="344"/>
        <v>12</v>
      </c>
      <c r="NG91" s="12"/>
      <c r="NH91" s="12"/>
      <c r="NI91" s="11"/>
      <c r="NJ91" s="11"/>
      <c r="NV91" s="12"/>
      <c r="NW91" s="12"/>
      <c r="NX91" s="11"/>
      <c r="NY91" s="11"/>
      <c r="OB91" s="1"/>
    </row>
    <row r="92" spans="6:392" x14ac:dyDescent="0.2">
      <c r="M92" s="5" t="str" cm="1">
        <f t="array" ref="M92">LOOKUP(2,1/($G$19:$G$35&lt;=$V92)/($H$19:$H$35&gt;=$V92),$F$19:$F$35)</f>
        <v>1H19</v>
      </c>
      <c r="N92" s="5" t="str" cm="1">
        <f t="array" ref="N92">LOOKUP(2,1/($G$8:$G$16&lt;=$V92)/($H$8:$H$16&gt;=$V92),$F$8:$F$16)</f>
        <v>FY19</v>
      </c>
      <c r="O92" s="5" t="str">
        <f>IFERROR(N92&amp;"-"&amp;COUNTIF($N$5:N92,N92),NA())</f>
        <v>FY19-10</v>
      </c>
      <c r="P92" s="5">
        <f>COUNTIF(V$5:V92,"&gt;="&amp;MAX($V:$V)-183)</f>
        <v>0</v>
      </c>
      <c r="Q92" s="5">
        <f>COUNTIF(V$5:V92,"&gt;="&amp;MAX($V:$V)-365)</f>
        <v>0</v>
      </c>
      <c r="R92" s="5" cm="1">
        <f t="array" ref="R92">LOOKUP(2,1/($G$46:$G$50&lt;=$V92)/($H$46:$H$50&gt;=$V92),$F$46:$F$50)</f>
        <v>0</v>
      </c>
      <c r="S92" s="5" cm="1">
        <f t="array" ref="S92">LOOKUP(2,1/($G$53:$G$56&lt;=$V92)/($H$53:$H$56&gt;=$V92),$F$53:$F$56)</f>
        <v>0</v>
      </c>
      <c r="T92" s="5" t="e">
        <f>IFERROR(IF($R92&gt;0,$R92&amp;"-"&amp;COUNTIF($R$5:$R92,$R92),NA()),NA())</f>
        <v>#N/A</v>
      </c>
      <c r="U92" s="5" t="e">
        <f>IFERROR(IF($S92&gt;0,$S92&amp;"-"&amp;COUNTIF($S$5:$S92,$S92),NA()),NA())</f>
        <v>#N/A</v>
      </c>
      <c r="V92" s="10">
        <v>43349</v>
      </c>
      <c r="W92" s="9">
        <v>21606582.835346464</v>
      </c>
      <c r="X92" s="9">
        <v>25977594.542937055</v>
      </c>
      <c r="Y92" s="8">
        <v>12000000</v>
      </c>
      <c r="AI92" s="18"/>
      <c r="AJ92" s="12"/>
      <c r="AK92" s="11"/>
      <c r="AL92" s="11"/>
      <c r="AP92" s="18" t="e">
        <f t="shared" si="321"/>
        <v>#N/A</v>
      </c>
      <c r="AQ92" s="12" t="e">
        <f t="shared" si="322"/>
        <v>#N/A</v>
      </c>
      <c r="AR92" s="11" t="e">
        <f t="shared" si="323"/>
        <v>#N/A</v>
      </c>
      <c r="AS92" s="11" t="e">
        <f t="shared" si="324"/>
        <v>#N/A</v>
      </c>
      <c r="BI92" s="18">
        <f t="shared" si="281"/>
        <v>46</v>
      </c>
      <c r="BJ92" s="12">
        <f t="shared" si="282"/>
        <v>45421</v>
      </c>
      <c r="BK92" s="11">
        <f t="shared" si="283"/>
        <v>77.952955649994564</v>
      </c>
      <c r="BL92" s="11">
        <f t="shared" si="284"/>
        <v>60</v>
      </c>
      <c r="BP92" s="111">
        <v>60</v>
      </c>
      <c r="BQ92" s="39">
        <f t="shared" si="345"/>
        <v>81738000</v>
      </c>
      <c r="BR92" s="110">
        <v>0</v>
      </c>
      <c r="BS92" s="39">
        <f t="shared" si="346"/>
        <v>81738000</v>
      </c>
      <c r="CE92" s="18" t="e">
        <f t="shared" si="285"/>
        <v>#N/A</v>
      </c>
      <c r="CF92" s="12" t="e">
        <f t="shared" si="286"/>
        <v>#N/A</v>
      </c>
      <c r="CG92" s="11" t="e">
        <f t="shared" si="287"/>
        <v>#N/A</v>
      </c>
      <c r="CH92" s="11" t="e">
        <f t="shared" si="288"/>
        <v>#N/A</v>
      </c>
      <c r="CT92" s="18" t="e">
        <f t="shared" si="289"/>
        <v>#N/A</v>
      </c>
      <c r="CU92" s="12" t="e">
        <f t="shared" si="290"/>
        <v>#N/A</v>
      </c>
      <c r="CV92" s="11" t="e">
        <f t="shared" si="291"/>
        <v>#N/A</v>
      </c>
      <c r="CW92" s="11" t="e">
        <f t="shared" si="292"/>
        <v>#N/A</v>
      </c>
      <c r="DI92" s="18" t="e">
        <f t="shared" si="293"/>
        <v>#N/A</v>
      </c>
      <c r="DJ92" s="12" t="e">
        <f t="shared" si="294"/>
        <v>#N/A</v>
      </c>
      <c r="DK92" s="11" t="e">
        <f t="shared" si="295"/>
        <v>#N/A</v>
      </c>
      <c r="DL92" s="11" t="e">
        <f t="shared" si="296"/>
        <v>#N/A</v>
      </c>
      <c r="DX92" s="18" t="e">
        <f t="shared" si="297"/>
        <v>#N/A</v>
      </c>
      <c r="DY92" s="12" t="e">
        <f t="shared" si="298"/>
        <v>#N/A</v>
      </c>
      <c r="DZ92" s="11" t="e">
        <f t="shared" si="299"/>
        <v>#N/A</v>
      </c>
      <c r="EA92" s="11" t="e">
        <f t="shared" si="300"/>
        <v>#N/A</v>
      </c>
      <c r="EE92" s="12" t="e">
        <f t="shared" si="325"/>
        <v>#N/A</v>
      </c>
      <c r="EF92" s="12" t="e">
        <f t="shared" si="326"/>
        <v>#N/A</v>
      </c>
      <c r="EG92" s="11" t="e">
        <f t="shared" si="327"/>
        <v>#N/A</v>
      </c>
      <c r="EH92" s="11" t="e">
        <f t="shared" si="328"/>
        <v>#N/A</v>
      </c>
      <c r="ET92" s="12" t="str">
        <f t="shared" si="301"/>
        <v>FY18-46</v>
      </c>
      <c r="EU92" s="12">
        <f t="shared" si="302"/>
        <v>43237</v>
      </c>
      <c r="EV92" s="11">
        <f t="shared" si="303"/>
        <v>26.087560584869671</v>
      </c>
      <c r="EW92" s="11">
        <f t="shared" si="304"/>
        <v>20</v>
      </c>
      <c r="FI92" s="12" t="str">
        <f t="shared" si="305"/>
        <v>FY19</v>
      </c>
      <c r="FJ92" s="12">
        <f t="shared" si="306"/>
        <v>43601</v>
      </c>
      <c r="FK92" s="11">
        <f t="shared" si="307"/>
        <v>16.70412154217464</v>
      </c>
      <c r="FL92" s="11">
        <f t="shared" si="308"/>
        <v>8</v>
      </c>
      <c r="FP92" s="12" t="str">
        <f t="shared" si="329"/>
        <v>FY19</v>
      </c>
      <c r="FQ92" s="12">
        <f t="shared" si="330"/>
        <v>43587</v>
      </c>
      <c r="FR92" s="11">
        <f t="shared" si="331"/>
        <v>34.273410483321989</v>
      </c>
      <c r="FS92" s="11">
        <f t="shared" si="332"/>
        <v>30</v>
      </c>
      <c r="FX92" s="16"/>
      <c r="FY92" s="15"/>
      <c r="GF92" s="12" t="str">
        <f t="shared" si="309"/>
        <v>FY20</v>
      </c>
      <c r="GG92" s="12">
        <f t="shared" si="310"/>
        <v>43965</v>
      </c>
      <c r="GH92" s="11">
        <f t="shared" si="311"/>
        <v>17.170624749163878</v>
      </c>
      <c r="GI92" s="11">
        <f t="shared" si="312"/>
        <v>3</v>
      </c>
      <c r="GM92" s="12" t="str">
        <f t="shared" si="333"/>
        <v>FY20</v>
      </c>
      <c r="GN92" s="12">
        <f t="shared" si="334"/>
        <v>43951</v>
      </c>
      <c r="GO92" s="11">
        <f t="shared" si="335"/>
        <v>17.546634478564911</v>
      </c>
      <c r="GP92" s="11">
        <f t="shared" si="336"/>
        <v>3</v>
      </c>
      <c r="GU92" s="16"/>
      <c r="GV92" s="14"/>
      <c r="GW92" s="15"/>
      <c r="HB92" s="12" t="str">
        <f t="shared" si="313"/>
        <v>FY21</v>
      </c>
      <c r="HC92" s="12">
        <f t="shared" si="314"/>
        <v>44329</v>
      </c>
      <c r="HD92" s="11">
        <f t="shared" si="315"/>
        <v>47.890415810276679</v>
      </c>
      <c r="HE92" s="11">
        <f t="shared" si="316"/>
        <v>30</v>
      </c>
      <c r="HJ92" s="16"/>
      <c r="HK92" s="15"/>
      <c r="HL92" s="14"/>
      <c r="HQ92" s="12" t="str">
        <f t="shared" si="317"/>
        <v>FY22</v>
      </c>
      <c r="HR92" s="12">
        <f t="shared" si="318"/>
        <v>44693</v>
      </c>
      <c r="HS92" s="11">
        <f t="shared" si="319"/>
        <v>83.810205168744289</v>
      </c>
      <c r="HT92" s="11">
        <f t="shared" si="320"/>
        <v>60</v>
      </c>
      <c r="HX92" s="12" t="str">
        <f t="shared" si="337"/>
        <v>FY22</v>
      </c>
      <c r="HY92" s="12">
        <f t="shared" si="338"/>
        <v>44679</v>
      </c>
      <c r="HZ92" s="11">
        <f t="shared" si="339"/>
        <v>39.401901124961988</v>
      </c>
      <c r="IA92" s="11">
        <f t="shared" si="340"/>
        <v>20</v>
      </c>
      <c r="IM92" s="12" t="str">
        <f t="shared" si="271"/>
        <v>FY23</v>
      </c>
      <c r="IN92" s="12">
        <f t="shared" si="272"/>
        <v>44924</v>
      </c>
      <c r="IO92" s="11">
        <f t="shared" si="273"/>
        <v>137.55484439039225</v>
      </c>
      <c r="IP92" s="11">
        <f t="shared" si="274"/>
        <v>100</v>
      </c>
      <c r="IT92" s="12" t="str">
        <f t="shared" si="347"/>
        <v>FY23</v>
      </c>
      <c r="IU92" s="12">
        <f t="shared" si="348"/>
        <v>44770</v>
      </c>
      <c r="IV92" s="11">
        <f t="shared" si="349"/>
        <v>19.329129096989966</v>
      </c>
      <c r="IW92" s="11">
        <f t="shared" si="350"/>
        <v>4</v>
      </c>
      <c r="JI92" s="12" t="str">
        <f t="shared" si="275"/>
        <v>FY24</v>
      </c>
      <c r="JJ92" s="12">
        <f t="shared" si="276"/>
        <v>45288</v>
      </c>
      <c r="JK92" s="11">
        <f t="shared" si="277"/>
        <v>34.197531001416586</v>
      </c>
      <c r="JL92" s="11">
        <f t="shared" si="278"/>
        <v>20</v>
      </c>
      <c r="JP92" s="12" t="str">
        <f t="shared" si="341"/>
        <v>FY24</v>
      </c>
      <c r="JQ92" s="12">
        <f t="shared" si="342"/>
        <v>45162</v>
      </c>
      <c r="JR92" s="11">
        <f t="shared" si="343"/>
        <v>42.995307072027899</v>
      </c>
      <c r="JS92" s="11">
        <f t="shared" si="344"/>
        <v>20</v>
      </c>
      <c r="NG92" s="12"/>
      <c r="NH92" s="12"/>
      <c r="NI92" s="11"/>
      <c r="NJ92" s="11"/>
      <c r="NV92" s="12"/>
      <c r="NW92" s="12"/>
      <c r="NX92" s="11"/>
      <c r="NY92" s="11"/>
      <c r="OB92" s="1"/>
    </row>
    <row r="93" spans="6:392" x14ac:dyDescent="0.2">
      <c r="M93" s="5" t="str" cm="1">
        <f t="array" ref="M93">LOOKUP(2,1/($G$19:$G$35&lt;=$V93)/($H$19:$H$35&gt;=$V93),$F$19:$F$35)</f>
        <v>1H19</v>
      </c>
      <c r="N93" s="5" t="str" cm="1">
        <f t="array" ref="N93">LOOKUP(2,1/($G$8:$G$16&lt;=$V93)/($H$8:$H$16&gt;=$V93),$F$8:$F$16)</f>
        <v>FY19</v>
      </c>
      <c r="O93" s="5" t="str">
        <f>IFERROR(N93&amp;"-"&amp;COUNTIF($N$5:N93,N93),NA())</f>
        <v>FY19-11</v>
      </c>
      <c r="P93" s="5">
        <f>COUNTIF(V$5:V93,"&gt;="&amp;MAX($V:$V)-183)</f>
        <v>0</v>
      </c>
      <c r="Q93" s="5">
        <f>COUNTIF(V$5:V93,"&gt;="&amp;MAX($V:$V)-365)</f>
        <v>0</v>
      </c>
      <c r="R93" s="5" cm="1">
        <f t="array" ref="R93">LOOKUP(2,1/($G$46:$G$50&lt;=$V93)/($H$46:$H$50&gt;=$V93),$F$46:$F$50)</f>
        <v>0</v>
      </c>
      <c r="S93" s="5" cm="1">
        <f t="array" ref="S93">LOOKUP(2,1/($G$53:$G$56&lt;=$V93)/($H$53:$H$56&gt;=$V93),$F$53:$F$56)</f>
        <v>0</v>
      </c>
      <c r="T93" s="5" t="e">
        <f>IFERROR(IF($R93&gt;0,$R93&amp;"-"&amp;COUNTIF($R$5:$R93,$R93),NA()),NA())</f>
        <v>#N/A</v>
      </c>
      <c r="U93" s="5" t="e">
        <f>IFERROR(IF($S93&gt;0,$S93&amp;"-"&amp;COUNTIF($S$5:$S93,$S93),NA()),NA())</f>
        <v>#N/A</v>
      </c>
      <c r="V93" s="10">
        <v>43356</v>
      </c>
      <c r="W93" s="9">
        <v>27308763.127781302</v>
      </c>
      <c r="X93" s="9">
        <v>32833325.908531465</v>
      </c>
      <c r="Y93" s="8">
        <v>20000000</v>
      </c>
      <c r="AI93" s="18"/>
      <c r="AJ93" s="12"/>
      <c r="AK93" s="11"/>
      <c r="AL93" s="11"/>
      <c r="AP93" s="18" t="e">
        <f t="shared" si="321"/>
        <v>#N/A</v>
      </c>
      <c r="AQ93" s="12" t="e">
        <f t="shared" si="322"/>
        <v>#N/A</v>
      </c>
      <c r="AR93" s="11" t="e">
        <f t="shared" si="323"/>
        <v>#N/A</v>
      </c>
      <c r="AS93" s="11" t="e">
        <f t="shared" si="324"/>
        <v>#N/A</v>
      </c>
      <c r="BI93" s="18">
        <f t="shared" si="281"/>
        <v>47</v>
      </c>
      <c r="BJ93" s="12">
        <f t="shared" si="282"/>
        <v>45428</v>
      </c>
      <c r="BK93" s="11">
        <f t="shared" si="283"/>
        <v>140.29007573281032</v>
      </c>
      <c r="BL93" s="11">
        <f t="shared" si="284"/>
        <v>100</v>
      </c>
      <c r="BP93" s="111">
        <v>80</v>
      </c>
      <c r="BQ93" s="39">
        <f t="shared" si="345"/>
        <v>103462000</v>
      </c>
      <c r="BR93" s="110">
        <v>0</v>
      </c>
      <c r="BS93" s="39">
        <f t="shared" si="346"/>
        <v>103462000</v>
      </c>
      <c r="CE93" s="18" t="e">
        <f t="shared" si="285"/>
        <v>#N/A</v>
      </c>
      <c r="CF93" s="12" t="e">
        <f t="shared" si="286"/>
        <v>#N/A</v>
      </c>
      <c r="CG93" s="11" t="e">
        <f t="shared" si="287"/>
        <v>#N/A</v>
      </c>
      <c r="CH93" s="11" t="e">
        <f t="shared" si="288"/>
        <v>#N/A</v>
      </c>
      <c r="CT93" s="18" t="e">
        <f t="shared" si="289"/>
        <v>#N/A</v>
      </c>
      <c r="CU93" s="12" t="e">
        <f t="shared" si="290"/>
        <v>#N/A</v>
      </c>
      <c r="CV93" s="11" t="e">
        <f t="shared" si="291"/>
        <v>#N/A</v>
      </c>
      <c r="CW93" s="11" t="e">
        <f t="shared" si="292"/>
        <v>#N/A</v>
      </c>
      <c r="DI93" s="18" t="e">
        <f t="shared" si="293"/>
        <v>#N/A</v>
      </c>
      <c r="DJ93" s="12" t="e">
        <f t="shared" si="294"/>
        <v>#N/A</v>
      </c>
      <c r="DK93" s="11" t="e">
        <f t="shared" si="295"/>
        <v>#N/A</v>
      </c>
      <c r="DL93" s="11" t="e">
        <f t="shared" si="296"/>
        <v>#N/A</v>
      </c>
      <c r="DX93" s="18" t="e">
        <f t="shared" si="297"/>
        <v>#N/A</v>
      </c>
      <c r="DY93" s="12" t="e">
        <f t="shared" si="298"/>
        <v>#N/A</v>
      </c>
      <c r="DZ93" s="11" t="e">
        <f t="shared" si="299"/>
        <v>#N/A</v>
      </c>
      <c r="EA93" s="11" t="e">
        <f t="shared" si="300"/>
        <v>#N/A</v>
      </c>
      <c r="EE93" s="12" t="e">
        <f t="shared" si="325"/>
        <v>#N/A</v>
      </c>
      <c r="EF93" s="12" t="e">
        <f t="shared" si="326"/>
        <v>#N/A</v>
      </c>
      <c r="EG93" s="11" t="e">
        <f t="shared" si="327"/>
        <v>#N/A</v>
      </c>
      <c r="EH93" s="11" t="e">
        <f t="shared" si="328"/>
        <v>#N/A</v>
      </c>
      <c r="ET93" s="12" t="str">
        <f t="shared" si="301"/>
        <v>FY18-47</v>
      </c>
      <c r="EU93" s="12">
        <f t="shared" si="302"/>
        <v>43244</v>
      </c>
      <c r="EV93" s="11">
        <f t="shared" si="303"/>
        <v>36.432706166560699</v>
      </c>
      <c r="EW93" s="11">
        <f t="shared" si="304"/>
        <v>30</v>
      </c>
      <c r="FI93" s="12" t="str">
        <f t="shared" si="305"/>
        <v>FY19</v>
      </c>
      <c r="FJ93" s="12">
        <f t="shared" si="306"/>
        <v>43608</v>
      </c>
      <c r="FK93" s="11">
        <f t="shared" si="307"/>
        <v>12.325589702333064</v>
      </c>
      <c r="FL93" s="11">
        <f t="shared" si="308"/>
        <v>3</v>
      </c>
      <c r="FP93" s="12" t="str">
        <f t="shared" si="329"/>
        <v>FY19</v>
      </c>
      <c r="FQ93" s="12">
        <f t="shared" si="330"/>
        <v>43594</v>
      </c>
      <c r="FR93" s="11">
        <f t="shared" si="331"/>
        <v>12.230604616622315</v>
      </c>
      <c r="FS93" s="11">
        <f t="shared" si="332"/>
        <v>3</v>
      </c>
      <c r="FX93" s="16"/>
      <c r="FY93" s="15"/>
      <c r="GF93" s="12" t="str">
        <f t="shared" si="309"/>
        <v>FY20</v>
      </c>
      <c r="GG93" s="12">
        <f t="shared" si="310"/>
        <v>43972</v>
      </c>
      <c r="GH93" s="11">
        <f t="shared" si="311"/>
        <v>24.236348555792038</v>
      </c>
      <c r="GI93" s="11">
        <f t="shared" si="312"/>
        <v>8</v>
      </c>
      <c r="GM93" s="12" t="str">
        <f t="shared" si="333"/>
        <v>FY20</v>
      </c>
      <c r="GN93" s="12">
        <f t="shared" si="334"/>
        <v>43958</v>
      </c>
      <c r="GO93" s="11">
        <f t="shared" si="335"/>
        <v>22.952706354515055</v>
      </c>
      <c r="GP93" s="11">
        <f t="shared" si="336"/>
        <v>8</v>
      </c>
      <c r="GU93" s="16"/>
      <c r="GV93" s="14"/>
      <c r="GW93" s="15"/>
      <c r="HB93" s="12" t="str">
        <f t="shared" si="313"/>
        <v>FY21</v>
      </c>
      <c r="HC93" s="12">
        <f t="shared" si="314"/>
        <v>44336</v>
      </c>
      <c r="HD93" s="11">
        <f t="shared" si="315"/>
        <v>18.569740589844933</v>
      </c>
      <c r="HE93" s="11">
        <f t="shared" si="316"/>
        <v>3</v>
      </c>
      <c r="HJ93" s="16"/>
      <c r="HK93" s="15"/>
      <c r="HL93" s="14"/>
      <c r="HQ93" s="12" t="str">
        <f t="shared" si="317"/>
        <v>FY22</v>
      </c>
      <c r="HR93" s="12">
        <f t="shared" si="318"/>
        <v>44700</v>
      </c>
      <c r="HS93" s="11">
        <f t="shared" si="319"/>
        <v>116.72520401337792</v>
      </c>
      <c r="HT93" s="11">
        <f t="shared" si="320"/>
        <v>80</v>
      </c>
      <c r="HX93" s="12" t="str">
        <f t="shared" si="337"/>
        <v>FY22</v>
      </c>
      <c r="HY93" s="12">
        <f t="shared" si="338"/>
        <v>44686</v>
      </c>
      <c r="HZ93" s="11">
        <f t="shared" si="339"/>
        <v>58.067244025539672</v>
      </c>
      <c r="IA93" s="11">
        <f t="shared" si="340"/>
        <v>40</v>
      </c>
      <c r="IM93" s="12" t="str">
        <f t="shared" si="271"/>
        <v>FY23</v>
      </c>
      <c r="IN93" s="12">
        <f t="shared" si="272"/>
        <v>44931</v>
      </c>
      <c r="IO93" s="11">
        <f t="shared" si="273"/>
        <v>20.659761872909698</v>
      </c>
      <c r="IP93" s="11">
        <f t="shared" si="274"/>
        <v>4</v>
      </c>
      <c r="IT93" s="12" t="str">
        <f t="shared" si="347"/>
        <v>FY23</v>
      </c>
      <c r="IU93" s="12">
        <f t="shared" si="348"/>
        <v>44777</v>
      </c>
      <c r="IV93" s="11">
        <f t="shared" si="349"/>
        <v>24.328928428093644</v>
      </c>
      <c r="IW93" s="11">
        <f t="shared" si="350"/>
        <v>8</v>
      </c>
      <c r="JI93" s="12" t="str">
        <f t="shared" si="275"/>
        <v>FY24</v>
      </c>
      <c r="JJ93" s="12">
        <f t="shared" si="276"/>
        <v>45295</v>
      </c>
      <c r="JK93" s="11">
        <f t="shared" si="277"/>
        <v>45.025587337910004</v>
      </c>
      <c r="JL93" s="11">
        <f t="shared" si="278"/>
        <v>30</v>
      </c>
      <c r="JP93" s="12" t="str">
        <f t="shared" si="341"/>
        <v>FY24</v>
      </c>
      <c r="JQ93" s="12">
        <f t="shared" si="342"/>
        <v>45169</v>
      </c>
      <c r="JR93" s="11">
        <f t="shared" si="343"/>
        <v>59.703342595619482</v>
      </c>
      <c r="JS93" s="11">
        <f t="shared" si="344"/>
        <v>40</v>
      </c>
      <c r="NG93" s="12"/>
      <c r="NH93" s="12"/>
      <c r="NI93" s="11"/>
      <c r="NJ93" s="11"/>
      <c r="NV93" s="12"/>
      <c r="NW93" s="12"/>
      <c r="NX93" s="11"/>
      <c r="NY93" s="11"/>
      <c r="OB93" s="1"/>
    </row>
    <row r="94" spans="6:392" x14ac:dyDescent="0.2">
      <c r="M94" s="5" t="str" cm="1">
        <f t="array" ref="M94">LOOKUP(2,1/($G$19:$G$35&lt;=$V94)/($H$19:$H$35&gt;=$V94),$F$19:$F$35)</f>
        <v>1H19</v>
      </c>
      <c r="N94" s="5" t="str" cm="1">
        <f t="array" ref="N94">LOOKUP(2,1/($G$8:$G$16&lt;=$V94)/($H$8:$H$16&gt;=$V94),$F$8:$F$16)</f>
        <v>FY19</v>
      </c>
      <c r="O94" s="5" t="str">
        <f>IFERROR(N94&amp;"-"&amp;COUNTIF($N$5:N94,N94),NA())</f>
        <v>FY19-12</v>
      </c>
      <c r="P94" s="5">
        <f>COUNTIF(V$5:V94,"&gt;="&amp;MAX($V:$V)-183)</f>
        <v>0</v>
      </c>
      <c r="Q94" s="5">
        <f>COUNTIF(V$5:V94,"&gt;="&amp;MAX($V:$V)-365)</f>
        <v>0</v>
      </c>
      <c r="R94" s="5" cm="1">
        <f t="array" ref="R94">LOOKUP(2,1/($G$46:$G$50&lt;=$V94)/($H$46:$H$50&gt;=$V94),$F$46:$F$50)</f>
        <v>0</v>
      </c>
      <c r="S94" s="5" cm="1">
        <f t="array" ref="S94">LOOKUP(2,1/($G$53:$G$56&lt;=$V94)/($H$53:$H$56&gt;=$V94),$F$53:$F$56)</f>
        <v>0</v>
      </c>
      <c r="T94" s="5" t="e">
        <f>IFERROR(IF($R94&gt;0,$R94&amp;"-"&amp;COUNTIF($R$5:$R94,$R94),NA()),NA())</f>
        <v>#N/A</v>
      </c>
      <c r="U94" s="5" t="e">
        <f>IFERROR(IF($S94&gt;0,$S94&amp;"-"&amp;COUNTIF($S$5:$S94,$S94),NA()),NA())</f>
        <v>#N/A</v>
      </c>
      <c r="V94" s="10">
        <v>43363</v>
      </c>
      <c r="W94" s="9">
        <v>36523512.523839787</v>
      </c>
      <c r="X94" s="9">
        <v>43912219.107412584</v>
      </c>
      <c r="Y94" s="8">
        <v>30000000</v>
      </c>
      <c r="AI94" s="18"/>
      <c r="AJ94" s="12"/>
      <c r="AK94" s="11"/>
      <c r="AL94" s="11"/>
      <c r="AP94" s="18" t="e">
        <f t="shared" si="321"/>
        <v>#N/A</v>
      </c>
      <c r="AQ94" s="12" t="e">
        <f t="shared" si="322"/>
        <v>#N/A</v>
      </c>
      <c r="AR94" s="11" t="e">
        <f t="shared" si="323"/>
        <v>#N/A</v>
      </c>
      <c r="AS94" s="11" t="e">
        <f t="shared" si="324"/>
        <v>#N/A</v>
      </c>
      <c r="BI94" s="18">
        <f t="shared" si="281"/>
        <v>48</v>
      </c>
      <c r="BJ94" s="12">
        <f t="shared" si="282"/>
        <v>45435</v>
      </c>
      <c r="BK94" s="11">
        <f t="shared" si="283"/>
        <v>194.70491718426504</v>
      </c>
      <c r="BL94" s="11">
        <f t="shared" si="284"/>
        <v>150</v>
      </c>
      <c r="BP94" s="111">
        <v>120</v>
      </c>
      <c r="BQ94" s="39">
        <f t="shared" si="345"/>
        <v>146910000</v>
      </c>
      <c r="BR94" s="110">
        <v>0.25</v>
      </c>
      <c r="BS94" s="39">
        <f t="shared" si="346"/>
        <v>183637500</v>
      </c>
      <c r="CE94" s="18" t="e">
        <f t="shared" si="285"/>
        <v>#N/A</v>
      </c>
      <c r="CF94" s="12" t="e">
        <f t="shared" si="286"/>
        <v>#N/A</v>
      </c>
      <c r="CG94" s="11" t="e">
        <f t="shared" si="287"/>
        <v>#N/A</v>
      </c>
      <c r="CH94" s="11" t="e">
        <f t="shared" si="288"/>
        <v>#N/A</v>
      </c>
      <c r="CT94" s="18" t="e">
        <f t="shared" si="289"/>
        <v>#N/A</v>
      </c>
      <c r="CU94" s="12" t="e">
        <f t="shared" si="290"/>
        <v>#N/A</v>
      </c>
      <c r="CV94" s="11" t="e">
        <f t="shared" si="291"/>
        <v>#N/A</v>
      </c>
      <c r="CW94" s="11" t="e">
        <f t="shared" si="292"/>
        <v>#N/A</v>
      </c>
      <c r="DI94" s="18" t="e">
        <f t="shared" si="293"/>
        <v>#N/A</v>
      </c>
      <c r="DJ94" s="12" t="e">
        <f t="shared" si="294"/>
        <v>#N/A</v>
      </c>
      <c r="DK94" s="11" t="e">
        <f t="shared" si="295"/>
        <v>#N/A</v>
      </c>
      <c r="DL94" s="11" t="e">
        <f t="shared" si="296"/>
        <v>#N/A</v>
      </c>
      <c r="DX94" s="18" t="e">
        <f t="shared" si="297"/>
        <v>#N/A</v>
      </c>
      <c r="DY94" s="12" t="e">
        <f t="shared" si="298"/>
        <v>#N/A</v>
      </c>
      <c r="DZ94" s="11" t="e">
        <f t="shared" si="299"/>
        <v>#N/A</v>
      </c>
      <c r="EA94" s="11" t="e">
        <f t="shared" si="300"/>
        <v>#N/A</v>
      </c>
      <c r="EE94" s="12" t="e">
        <f t="shared" si="325"/>
        <v>#N/A</v>
      </c>
      <c r="EF94" s="12" t="e">
        <f t="shared" si="326"/>
        <v>#N/A</v>
      </c>
      <c r="EG94" s="11" t="e">
        <f t="shared" si="327"/>
        <v>#N/A</v>
      </c>
      <c r="EH94" s="11" t="e">
        <f t="shared" si="328"/>
        <v>#N/A</v>
      </c>
      <c r="ET94" s="12" t="str">
        <f t="shared" si="301"/>
        <v>FY18-48</v>
      </c>
      <c r="EU94" s="12">
        <f t="shared" si="302"/>
        <v>43251</v>
      </c>
      <c r="EV94" s="11">
        <f t="shared" si="303"/>
        <v>46.219221614748875</v>
      </c>
      <c r="EW94" s="11">
        <f t="shared" si="304"/>
        <v>40</v>
      </c>
      <c r="FI94" s="12" t="str">
        <f t="shared" si="305"/>
        <v>FY19</v>
      </c>
      <c r="FJ94" s="12">
        <f t="shared" si="306"/>
        <v>43615</v>
      </c>
      <c r="FK94" s="11">
        <f t="shared" si="307"/>
        <v>15.336385914969984</v>
      </c>
      <c r="FL94" s="11">
        <f t="shared" si="308"/>
        <v>8</v>
      </c>
      <c r="FP94" s="12" t="str">
        <f t="shared" si="329"/>
        <v>FY19</v>
      </c>
      <c r="FQ94" s="12">
        <f t="shared" si="330"/>
        <v>43601</v>
      </c>
      <c r="FR94" s="11">
        <f t="shared" si="331"/>
        <v>16.70412154217464</v>
      </c>
      <c r="FS94" s="11">
        <f t="shared" si="332"/>
        <v>8</v>
      </c>
      <c r="FX94" s="16"/>
      <c r="FY94" s="15"/>
      <c r="GF94" s="12" t="str">
        <f t="shared" si="309"/>
        <v>FY20</v>
      </c>
      <c r="GG94" s="12">
        <f t="shared" si="310"/>
        <v>43979</v>
      </c>
      <c r="GH94" s="11">
        <f t="shared" si="311"/>
        <v>37.016112131346915</v>
      </c>
      <c r="GI94" s="11">
        <f t="shared" si="312"/>
        <v>15</v>
      </c>
      <c r="GM94" s="12" t="str">
        <f t="shared" si="333"/>
        <v>FY20</v>
      </c>
      <c r="GN94" s="12">
        <f t="shared" si="334"/>
        <v>43965</v>
      </c>
      <c r="GO94" s="11">
        <f t="shared" si="335"/>
        <v>17.170624749163878</v>
      </c>
      <c r="GP94" s="11">
        <f t="shared" si="336"/>
        <v>3</v>
      </c>
      <c r="GU94" s="16"/>
      <c r="GV94" s="14"/>
      <c r="GW94" s="15"/>
      <c r="HB94" s="12" t="str">
        <f t="shared" si="313"/>
        <v>FY21</v>
      </c>
      <c r="HC94" s="12">
        <f t="shared" si="314"/>
        <v>44343</v>
      </c>
      <c r="HD94" s="11">
        <f t="shared" si="315"/>
        <v>25.429040072970505</v>
      </c>
      <c r="HE94" s="11">
        <f t="shared" si="316"/>
        <v>8</v>
      </c>
      <c r="HJ94" s="16"/>
      <c r="HK94" s="15"/>
      <c r="HL94" s="14"/>
      <c r="HQ94" s="12" t="str">
        <f t="shared" si="317"/>
        <v>FY22</v>
      </c>
      <c r="HR94" s="12">
        <f t="shared" si="318"/>
        <v>44707</v>
      </c>
      <c r="HS94" s="11">
        <f t="shared" si="319"/>
        <v>21.016983155974454</v>
      </c>
      <c r="HT94" s="11">
        <f t="shared" si="320"/>
        <v>4</v>
      </c>
      <c r="HX94" s="12" t="str">
        <f t="shared" si="337"/>
        <v>FY22</v>
      </c>
      <c r="HY94" s="12">
        <f t="shared" si="338"/>
        <v>44693</v>
      </c>
      <c r="HZ94" s="11">
        <f t="shared" si="339"/>
        <v>83.810205168744289</v>
      </c>
      <c r="IA94" s="11">
        <f t="shared" si="340"/>
        <v>60</v>
      </c>
      <c r="IM94" s="12" t="str">
        <f t="shared" si="271"/>
        <v>FY23</v>
      </c>
      <c r="IN94" s="12">
        <f t="shared" si="272"/>
        <v>44938</v>
      </c>
      <c r="IO94" s="11">
        <f t="shared" si="273"/>
        <v>22.177022316813623</v>
      </c>
      <c r="IP94" s="11">
        <f t="shared" si="274"/>
        <v>4</v>
      </c>
      <c r="IT94" s="12" t="str">
        <f t="shared" si="347"/>
        <v>FY23</v>
      </c>
      <c r="IU94" s="12">
        <f t="shared" si="348"/>
        <v>44784</v>
      </c>
      <c r="IV94" s="11">
        <f t="shared" si="349"/>
        <v>39.456376284584977</v>
      </c>
      <c r="IW94" s="11">
        <f t="shared" si="350"/>
        <v>20</v>
      </c>
      <c r="JI94" s="12" t="str">
        <f t="shared" si="275"/>
        <v>FY24</v>
      </c>
      <c r="JJ94" s="12">
        <f t="shared" si="276"/>
        <v>45302</v>
      </c>
      <c r="JK94" s="11">
        <f t="shared" si="277"/>
        <v>67.199002942137952</v>
      </c>
      <c r="JL94" s="11">
        <f t="shared" si="278"/>
        <v>50</v>
      </c>
      <c r="JP94" s="12" t="str">
        <f t="shared" si="341"/>
        <v>FY24</v>
      </c>
      <c r="JQ94" s="12">
        <f t="shared" si="342"/>
        <v>45176</v>
      </c>
      <c r="JR94" s="11">
        <f t="shared" si="343"/>
        <v>20.222166067342272</v>
      </c>
      <c r="JS94" s="11">
        <f t="shared" si="344"/>
        <v>4</v>
      </c>
      <c r="NG94" s="12"/>
      <c r="NH94" s="12"/>
      <c r="NI94" s="11"/>
      <c r="NJ94" s="11"/>
      <c r="NV94" s="12"/>
      <c r="NW94" s="12"/>
      <c r="NX94" s="11"/>
      <c r="NY94" s="11"/>
      <c r="OB94" s="1"/>
    </row>
    <row r="95" spans="6:392" x14ac:dyDescent="0.2">
      <c r="M95" s="5" t="str" cm="1">
        <f t="array" ref="M95">LOOKUP(2,1/($G$19:$G$35&lt;=$V95)/($H$19:$H$35&gt;=$V95),$F$19:$F$35)</f>
        <v>1H19</v>
      </c>
      <c r="N95" s="5" t="str" cm="1">
        <f t="array" ref="N95">LOOKUP(2,1/($G$8:$G$16&lt;=$V95)/($H$8:$H$16&gt;=$V95),$F$8:$F$16)</f>
        <v>FY19</v>
      </c>
      <c r="O95" s="5" t="str">
        <f>IFERROR(N95&amp;"-"&amp;COUNTIF($N$5:N95,N95),NA())</f>
        <v>FY19-13</v>
      </c>
      <c r="P95" s="5">
        <f>COUNTIF(V$5:V95,"&gt;="&amp;MAX($V:$V)-183)</f>
        <v>0</v>
      </c>
      <c r="Q95" s="5">
        <f>COUNTIF(V$5:V95,"&gt;="&amp;MAX($V:$V)-365)</f>
        <v>0</v>
      </c>
      <c r="R95" s="5" cm="1">
        <f t="array" ref="R95">LOOKUP(2,1/($G$46:$G$50&lt;=$V95)/($H$46:$H$50&gt;=$V95),$F$46:$F$50)</f>
        <v>0</v>
      </c>
      <c r="S95" s="5" cm="1">
        <f t="array" ref="S95">LOOKUP(2,1/($G$53:$G$56&lt;=$V95)/($H$53:$H$56&gt;=$V95),$F$53:$F$56)</f>
        <v>0</v>
      </c>
      <c r="T95" s="5" t="e">
        <f>IFERROR(IF($R95&gt;0,$R95&amp;"-"&amp;COUNTIF($R$5:$R95,$R95),NA()),NA())</f>
        <v>#N/A</v>
      </c>
      <c r="U95" s="5" t="e">
        <f>IFERROR(IF($S95&gt;0,$S95&amp;"-"&amp;COUNTIF($S$5:$S95,$S95),NA()),NA())</f>
        <v>#N/A</v>
      </c>
      <c r="V95" s="10">
        <v>43370</v>
      </c>
      <c r="W95" s="9">
        <v>12986396.185632547</v>
      </c>
      <c r="X95" s="9">
        <v>15613544.133986013</v>
      </c>
      <c r="Y95" s="8">
        <v>3000000</v>
      </c>
      <c r="AI95" s="18"/>
      <c r="AJ95" s="12"/>
      <c r="AK95" s="11"/>
      <c r="AL95" s="11"/>
      <c r="AP95" s="18" t="e">
        <f t="shared" si="321"/>
        <v>#N/A</v>
      </c>
      <c r="AQ95" s="12" t="e">
        <f t="shared" si="322"/>
        <v>#N/A</v>
      </c>
      <c r="AR95" s="11" t="e">
        <f t="shared" si="323"/>
        <v>#N/A</v>
      </c>
      <c r="AS95" s="11" t="e">
        <f t="shared" si="324"/>
        <v>#N/A</v>
      </c>
      <c r="BI95" s="18">
        <f t="shared" si="281"/>
        <v>49</v>
      </c>
      <c r="BJ95" s="12">
        <f t="shared" si="282"/>
        <v>45442</v>
      </c>
      <c r="BK95" s="11">
        <f t="shared" si="283"/>
        <v>21.15536057535142</v>
      </c>
      <c r="BL95" s="11">
        <f t="shared" si="284"/>
        <v>4</v>
      </c>
      <c r="BP95" s="111">
        <v>160</v>
      </c>
      <c r="BQ95" s="39">
        <f t="shared" si="345"/>
        <v>190358000</v>
      </c>
      <c r="BR95" s="110">
        <v>0.25</v>
      </c>
      <c r="BS95" s="39">
        <f t="shared" si="346"/>
        <v>237947500</v>
      </c>
      <c r="CE95" s="18" t="e">
        <f t="shared" si="285"/>
        <v>#N/A</v>
      </c>
      <c r="CF95" s="12" t="e">
        <f t="shared" si="286"/>
        <v>#N/A</v>
      </c>
      <c r="CG95" s="11" t="e">
        <f t="shared" si="287"/>
        <v>#N/A</v>
      </c>
      <c r="CH95" s="11" t="e">
        <f t="shared" si="288"/>
        <v>#N/A</v>
      </c>
      <c r="CT95" s="18" t="e">
        <f t="shared" si="289"/>
        <v>#N/A</v>
      </c>
      <c r="CU95" s="12" t="e">
        <f t="shared" si="290"/>
        <v>#N/A</v>
      </c>
      <c r="CV95" s="11" t="e">
        <f t="shared" si="291"/>
        <v>#N/A</v>
      </c>
      <c r="CW95" s="11" t="e">
        <f t="shared" si="292"/>
        <v>#N/A</v>
      </c>
      <c r="DI95" s="18" t="e">
        <f t="shared" si="293"/>
        <v>#N/A</v>
      </c>
      <c r="DJ95" s="12" t="e">
        <f t="shared" si="294"/>
        <v>#N/A</v>
      </c>
      <c r="DK95" s="11" t="e">
        <f t="shared" si="295"/>
        <v>#N/A</v>
      </c>
      <c r="DL95" s="11" t="e">
        <f t="shared" si="296"/>
        <v>#N/A</v>
      </c>
      <c r="DX95" s="18" t="e">
        <f t="shared" si="297"/>
        <v>#N/A</v>
      </c>
      <c r="DY95" s="12" t="e">
        <f t="shared" si="298"/>
        <v>#N/A</v>
      </c>
      <c r="DZ95" s="11" t="e">
        <f t="shared" si="299"/>
        <v>#N/A</v>
      </c>
      <c r="EA95" s="11" t="e">
        <f t="shared" si="300"/>
        <v>#N/A</v>
      </c>
      <c r="EE95" s="12" t="e">
        <f t="shared" si="325"/>
        <v>#N/A</v>
      </c>
      <c r="EF95" s="12" t="e">
        <f t="shared" si="326"/>
        <v>#N/A</v>
      </c>
      <c r="EG95" s="11" t="e">
        <f t="shared" si="327"/>
        <v>#N/A</v>
      </c>
      <c r="EH95" s="11" t="e">
        <f t="shared" si="328"/>
        <v>#N/A</v>
      </c>
      <c r="ET95" s="12" t="str">
        <f t="shared" si="301"/>
        <v>FY18-49</v>
      </c>
      <c r="EU95" s="12">
        <f t="shared" si="302"/>
        <v>43258</v>
      </c>
      <c r="EV95" s="11">
        <f t="shared" si="303"/>
        <v>56.921146598855671</v>
      </c>
      <c r="EW95" s="11">
        <f t="shared" si="304"/>
        <v>50</v>
      </c>
      <c r="FI95" s="12" t="str">
        <f t="shared" si="305"/>
        <v>FY19</v>
      </c>
      <c r="FJ95" s="12">
        <f t="shared" si="306"/>
        <v>43622</v>
      </c>
      <c r="FK95" s="11">
        <f t="shared" si="307"/>
        <v>18.797418899684388</v>
      </c>
      <c r="FL95" s="11">
        <f t="shared" si="308"/>
        <v>12</v>
      </c>
      <c r="FP95" s="12" t="str">
        <f t="shared" si="329"/>
        <v>FY19</v>
      </c>
      <c r="FQ95" s="12">
        <f t="shared" si="330"/>
        <v>43608</v>
      </c>
      <c r="FR95" s="11">
        <f t="shared" si="331"/>
        <v>12.325589702333064</v>
      </c>
      <c r="FS95" s="11">
        <f t="shared" si="332"/>
        <v>3</v>
      </c>
      <c r="FX95" s="16"/>
      <c r="FY95" s="15"/>
      <c r="GF95" s="12" t="str">
        <f t="shared" si="309"/>
        <v>FY20</v>
      </c>
      <c r="GG95" s="12">
        <f t="shared" si="310"/>
        <v>43986</v>
      </c>
      <c r="GH95" s="11">
        <f t="shared" si="311"/>
        <v>18.06607941623594</v>
      </c>
      <c r="GI95" s="11">
        <f t="shared" si="312"/>
        <v>3</v>
      </c>
      <c r="GM95" s="12" t="str">
        <f t="shared" si="333"/>
        <v>FY20</v>
      </c>
      <c r="GN95" s="12">
        <f t="shared" si="334"/>
        <v>43972</v>
      </c>
      <c r="GO95" s="11">
        <f t="shared" si="335"/>
        <v>24.236348555792038</v>
      </c>
      <c r="GP95" s="11">
        <f t="shared" si="336"/>
        <v>8</v>
      </c>
      <c r="GU95" s="16"/>
      <c r="GV95" s="14"/>
      <c r="GW95" s="15"/>
      <c r="HB95" s="12" t="str">
        <f t="shared" si="313"/>
        <v>FY21</v>
      </c>
      <c r="HC95" s="12">
        <f t="shared" si="314"/>
        <v>44350</v>
      </c>
      <c r="HD95" s="11">
        <f t="shared" si="315"/>
        <v>17.730661964122834</v>
      </c>
      <c r="HE95" s="11">
        <f t="shared" si="316"/>
        <v>3</v>
      </c>
      <c r="HJ95" s="16"/>
      <c r="HK95" s="15"/>
      <c r="HL95" s="14"/>
      <c r="HQ95" s="12" t="str">
        <f t="shared" si="317"/>
        <v>FY22</v>
      </c>
      <c r="HR95" s="12">
        <f t="shared" si="318"/>
        <v>44714</v>
      </c>
      <c r="HS95" s="11">
        <f t="shared" si="319"/>
        <v>21.125759318941927</v>
      </c>
      <c r="HT95" s="11">
        <f t="shared" si="320"/>
        <v>4</v>
      </c>
      <c r="HX95" s="12" t="str">
        <f t="shared" si="337"/>
        <v>FY22</v>
      </c>
      <c r="HY95" s="12">
        <f t="shared" si="338"/>
        <v>44700</v>
      </c>
      <c r="HZ95" s="11">
        <f t="shared" si="339"/>
        <v>116.72520401337792</v>
      </c>
      <c r="IA95" s="11">
        <f t="shared" si="340"/>
        <v>80</v>
      </c>
      <c r="IM95" s="12" t="str">
        <f t="shared" si="271"/>
        <v>FY23</v>
      </c>
      <c r="IN95" s="12">
        <f t="shared" si="272"/>
        <v>44945</v>
      </c>
      <c r="IO95" s="11">
        <f t="shared" si="273"/>
        <v>28.696273517786555</v>
      </c>
      <c r="IP95" s="11">
        <f t="shared" si="274"/>
        <v>8</v>
      </c>
      <c r="IT95" s="12" t="str">
        <f t="shared" si="347"/>
        <v>FY23</v>
      </c>
      <c r="IU95" s="12">
        <f t="shared" si="348"/>
        <v>44791</v>
      </c>
      <c r="IV95" s="11">
        <f t="shared" si="349"/>
        <v>20.023645363332321</v>
      </c>
      <c r="IW95" s="11">
        <f t="shared" si="350"/>
        <v>4</v>
      </c>
      <c r="JI95" s="12" t="str">
        <f t="shared" si="275"/>
        <v>FY24</v>
      </c>
      <c r="JJ95" s="12">
        <f t="shared" si="276"/>
        <v>45309</v>
      </c>
      <c r="JK95" s="11">
        <f t="shared" si="277"/>
        <v>155.08314144055797</v>
      </c>
      <c r="JL95" s="11">
        <f t="shared" si="278"/>
        <v>100</v>
      </c>
      <c r="JP95" s="12" t="str">
        <f t="shared" si="341"/>
        <v>FY24</v>
      </c>
      <c r="JQ95" s="12">
        <f t="shared" si="342"/>
        <v>45183</v>
      </c>
      <c r="JR95" s="11">
        <f t="shared" si="343"/>
        <v>32.237415277323748</v>
      </c>
      <c r="JS95" s="11">
        <f t="shared" si="344"/>
        <v>12</v>
      </c>
      <c r="NG95" s="12"/>
      <c r="NH95" s="12"/>
      <c r="NI95" s="11"/>
      <c r="NJ95" s="11"/>
      <c r="NV95" s="12"/>
      <c r="NW95" s="12"/>
      <c r="NX95" s="11"/>
      <c r="NY95" s="11"/>
      <c r="OB95" s="1"/>
    </row>
    <row r="96" spans="6:392" x14ac:dyDescent="0.2">
      <c r="M96" s="5" t="str" cm="1">
        <f t="array" ref="M96">LOOKUP(2,1/($G$19:$G$35&lt;=$V96)/($H$19:$H$35&gt;=$V96),$F$19:$F$35)</f>
        <v>1H19</v>
      </c>
      <c r="N96" s="5" t="str" cm="1">
        <f t="array" ref="N96">LOOKUP(2,1/($G$8:$G$16&lt;=$V96)/($H$8:$H$16&gt;=$V96),$F$8:$F$16)</f>
        <v>FY19</v>
      </c>
      <c r="O96" s="5" t="str">
        <f>IFERROR(N96&amp;"-"&amp;COUNTIF($N$5:N96,N96),NA())</f>
        <v>FY19-14</v>
      </c>
      <c r="P96" s="5">
        <f>COUNTIF(V$5:V96,"&gt;="&amp;MAX($V:$V)-183)</f>
        <v>0</v>
      </c>
      <c r="Q96" s="5">
        <f>COUNTIF(V$5:V96,"&gt;="&amp;MAX($V:$V)-365)</f>
        <v>0</v>
      </c>
      <c r="R96" s="5" cm="1">
        <f t="array" ref="R96">LOOKUP(2,1/($G$46:$G$50&lt;=$V96)/($H$46:$H$50&gt;=$V96),$F$46:$F$50)</f>
        <v>0</v>
      </c>
      <c r="S96" s="5" cm="1">
        <f t="array" ref="S96">LOOKUP(2,1/($G$53:$G$56&lt;=$V96)/($H$53:$H$56&gt;=$V96),$F$53:$F$56)</f>
        <v>0</v>
      </c>
      <c r="T96" s="5" t="e">
        <f>IFERROR(IF($R96&gt;0,$R96&amp;"-"&amp;COUNTIF($R$5:$R96,$R96),NA()),NA())</f>
        <v>#N/A</v>
      </c>
      <c r="U96" s="5" t="e">
        <f>IFERROR(IF($S96&gt;0,$S96&amp;"-"&amp;COUNTIF($S$5:$S96,$S96),NA()),NA())</f>
        <v>#N/A</v>
      </c>
      <c r="V96" s="10">
        <v>43377</v>
      </c>
      <c r="W96" s="9">
        <v>17248674.888747614</v>
      </c>
      <c r="X96" s="9">
        <v>20738081.818741258</v>
      </c>
      <c r="Y96" s="8">
        <v>8000000</v>
      </c>
      <c r="AI96" s="18"/>
      <c r="AJ96" s="12"/>
      <c r="AK96" s="11"/>
      <c r="AL96" s="11"/>
      <c r="AP96" s="18" t="e">
        <f t="shared" si="321"/>
        <v>#N/A</v>
      </c>
      <c r="AQ96" s="12" t="e">
        <f t="shared" si="322"/>
        <v>#N/A</v>
      </c>
      <c r="AR96" s="11" t="e">
        <f t="shared" si="323"/>
        <v>#N/A</v>
      </c>
      <c r="AS96" s="11" t="e">
        <f t="shared" si="324"/>
        <v>#N/A</v>
      </c>
      <c r="BI96" s="18">
        <f t="shared" si="281"/>
        <v>50</v>
      </c>
      <c r="BJ96" s="12">
        <f t="shared" si="282"/>
        <v>45449</v>
      </c>
      <c r="BK96" s="11">
        <f t="shared" si="283"/>
        <v>32.64936362645745</v>
      </c>
      <c r="BL96" s="11">
        <f t="shared" si="284"/>
        <v>12</v>
      </c>
      <c r="BP96" s="111">
        <v>200</v>
      </c>
      <c r="BQ96" s="39">
        <f t="shared" si="345"/>
        <v>233806000</v>
      </c>
      <c r="BR96" s="110">
        <v>0.25</v>
      </c>
      <c r="BS96" s="39">
        <f t="shared" si="346"/>
        <v>292257500</v>
      </c>
      <c r="CE96" s="18" t="e">
        <f t="shared" si="285"/>
        <v>#N/A</v>
      </c>
      <c r="CF96" s="12" t="e">
        <f t="shared" si="286"/>
        <v>#N/A</v>
      </c>
      <c r="CG96" s="11" t="e">
        <f t="shared" si="287"/>
        <v>#N/A</v>
      </c>
      <c r="CH96" s="11" t="e">
        <f t="shared" si="288"/>
        <v>#N/A</v>
      </c>
      <c r="CT96" s="18" t="e">
        <f t="shared" si="289"/>
        <v>#N/A</v>
      </c>
      <c r="CU96" s="12" t="e">
        <f t="shared" si="290"/>
        <v>#N/A</v>
      </c>
      <c r="CV96" s="11" t="e">
        <f t="shared" si="291"/>
        <v>#N/A</v>
      </c>
      <c r="CW96" s="11" t="e">
        <f t="shared" si="292"/>
        <v>#N/A</v>
      </c>
      <c r="DI96" s="18" t="e">
        <f t="shared" si="293"/>
        <v>#N/A</v>
      </c>
      <c r="DJ96" s="12" t="e">
        <f t="shared" si="294"/>
        <v>#N/A</v>
      </c>
      <c r="DK96" s="11" t="e">
        <f t="shared" si="295"/>
        <v>#N/A</v>
      </c>
      <c r="DL96" s="11" t="e">
        <f t="shared" si="296"/>
        <v>#N/A</v>
      </c>
      <c r="DX96" s="18" t="e">
        <f t="shared" si="297"/>
        <v>#N/A</v>
      </c>
      <c r="DY96" s="12" t="e">
        <f t="shared" si="298"/>
        <v>#N/A</v>
      </c>
      <c r="DZ96" s="11" t="e">
        <f t="shared" si="299"/>
        <v>#N/A</v>
      </c>
      <c r="EA96" s="11" t="e">
        <f t="shared" si="300"/>
        <v>#N/A</v>
      </c>
      <c r="EE96" s="12" t="e">
        <f t="shared" si="325"/>
        <v>#N/A</v>
      </c>
      <c r="EF96" s="12" t="e">
        <f t="shared" si="326"/>
        <v>#N/A</v>
      </c>
      <c r="EG96" s="11" t="e">
        <f t="shared" si="327"/>
        <v>#N/A</v>
      </c>
      <c r="EH96" s="11" t="e">
        <f t="shared" si="328"/>
        <v>#N/A</v>
      </c>
      <c r="ET96" s="12" t="str">
        <f t="shared" si="301"/>
        <v>FY18-50</v>
      </c>
      <c r="EU96" s="12">
        <f t="shared" si="302"/>
        <v>43265</v>
      </c>
      <c r="EV96" s="11">
        <f t="shared" si="303"/>
        <v>12.004837380801014</v>
      </c>
      <c r="EW96" s="11">
        <f t="shared" si="304"/>
        <v>3</v>
      </c>
      <c r="FI96" s="12" t="str">
        <f t="shared" si="305"/>
        <v>FY19</v>
      </c>
      <c r="FJ96" s="12">
        <f t="shared" si="306"/>
        <v>43629</v>
      </c>
      <c r="FK96" s="11">
        <f t="shared" si="307"/>
        <v>22.750507333374586</v>
      </c>
      <c r="FL96" s="11">
        <f t="shared" si="308"/>
        <v>20</v>
      </c>
      <c r="FP96" s="12" t="str">
        <f t="shared" si="329"/>
        <v>FY19</v>
      </c>
      <c r="FQ96" s="12">
        <f t="shared" si="330"/>
        <v>43615</v>
      </c>
      <c r="FR96" s="11">
        <f t="shared" si="331"/>
        <v>15.336385914969984</v>
      </c>
      <c r="FS96" s="11">
        <f t="shared" si="332"/>
        <v>8</v>
      </c>
      <c r="FX96" s="16"/>
      <c r="FY96" s="15"/>
      <c r="GF96" s="12" t="str">
        <f t="shared" si="309"/>
        <v>FY20</v>
      </c>
      <c r="GG96" s="12">
        <f t="shared" si="310"/>
        <v>43993</v>
      </c>
      <c r="GH96" s="11">
        <f t="shared" si="311"/>
        <v>24.991572879294623</v>
      </c>
      <c r="GI96" s="11">
        <f t="shared" si="312"/>
        <v>8</v>
      </c>
      <c r="GM96" s="12" t="str">
        <f t="shared" si="333"/>
        <v>FY20</v>
      </c>
      <c r="GN96" s="12">
        <f t="shared" si="334"/>
        <v>43979</v>
      </c>
      <c r="GO96" s="11">
        <f t="shared" si="335"/>
        <v>37.016112131346915</v>
      </c>
      <c r="GP96" s="11">
        <f t="shared" si="336"/>
        <v>15</v>
      </c>
      <c r="GU96" s="16"/>
      <c r="GV96" s="14"/>
      <c r="GW96" s="15"/>
      <c r="HB96" s="12" t="str">
        <f t="shared" si="313"/>
        <v>FY21</v>
      </c>
      <c r="HC96" s="12">
        <f t="shared" si="314"/>
        <v>44357</v>
      </c>
      <c r="HD96" s="11">
        <f t="shared" si="315"/>
        <v>23.443848707813927</v>
      </c>
      <c r="HE96" s="11">
        <f t="shared" si="316"/>
        <v>8</v>
      </c>
      <c r="HJ96" s="16"/>
      <c r="HK96" s="15"/>
      <c r="HL96" s="14"/>
      <c r="HQ96" s="12" t="str">
        <f t="shared" si="317"/>
        <v>FY22</v>
      </c>
      <c r="HR96" s="12">
        <f t="shared" si="318"/>
        <v>44721</v>
      </c>
      <c r="HS96" s="11">
        <f t="shared" si="319"/>
        <v>27.291882760717545</v>
      </c>
      <c r="HT96" s="11">
        <f t="shared" si="320"/>
        <v>8</v>
      </c>
      <c r="HX96" s="12" t="str">
        <f t="shared" si="337"/>
        <v>FY22</v>
      </c>
      <c r="HY96" s="12">
        <f t="shared" si="338"/>
        <v>44707</v>
      </c>
      <c r="HZ96" s="11">
        <f t="shared" si="339"/>
        <v>21.016983155974454</v>
      </c>
      <c r="IA96" s="11">
        <f t="shared" si="340"/>
        <v>4</v>
      </c>
      <c r="IM96" s="12" t="str">
        <f t="shared" si="271"/>
        <v>FY23</v>
      </c>
      <c r="IN96" s="12">
        <f t="shared" si="272"/>
        <v>44952</v>
      </c>
      <c r="IO96" s="11">
        <f t="shared" si="273"/>
        <v>41.97672252964427</v>
      </c>
      <c r="IP96" s="11">
        <f t="shared" si="274"/>
        <v>20</v>
      </c>
      <c r="IT96" s="12" t="str">
        <f t="shared" si="347"/>
        <v>FY23</v>
      </c>
      <c r="IU96" s="12">
        <f t="shared" si="348"/>
        <v>44798</v>
      </c>
      <c r="IV96" s="11">
        <f t="shared" si="349"/>
        <v>25.45458339920949</v>
      </c>
      <c r="IW96" s="11">
        <f t="shared" si="350"/>
        <v>8</v>
      </c>
      <c r="JI96" s="12" t="str">
        <f t="shared" si="275"/>
        <v>FY24</v>
      </c>
      <c r="JJ96" s="12">
        <f t="shared" si="276"/>
        <v>45316</v>
      </c>
      <c r="JK96" s="11">
        <f t="shared" si="277"/>
        <v>224.51918818786098</v>
      </c>
      <c r="JL96" s="11">
        <f t="shared" si="278"/>
        <v>150</v>
      </c>
      <c r="JP96" s="12" t="str">
        <f t="shared" si="341"/>
        <v>FY24</v>
      </c>
      <c r="JQ96" s="12">
        <f t="shared" si="342"/>
        <v>45190</v>
      </c>
      <c r="JR96" s="11">
        <f t="shared" si="343"/>
        <v>41.746812901819773</v>
      </c>
      <c r="JS96" s="11">
        <f t="shared" si="344"/>
        <v>20</v>
      </c>
      <c r="NG96" s="12"/>
      <c r="NH96" s="12"/>
      <c r="NI96" s="11"/>
      <c r="NJ96" s="11"/>
      <c r="NV96" s="12"/>
      <c r="NW96" s="12"/>
      <c r="NX96" s="11"/>
      <c r="NY96" s="11"/>
      <c r="OB96" s="1"/>
    </row>
    <row r="97" spans="13:392" x14ac:dyDescent="0.2">
      <c r="M97" s="5" t="str" cm="1">
        <f t="array" ref="M97">LOOKUP(2,1/($G$19:$G$35&lt;=$V97)/($H$19:$H$35&gt;=$V97),$F$19:$F$35)</f>
        <v>1H19</v>
      </c>
      <c r="N97" s="5" t="str" cm="1">
        <f t="array" ref="N97">LOOKUP(2,1/($G$8:$G$16&lt;=$V97)/($H$8:$H$16&gt;=$V97),$F$8:$F$16)</f>
        <v>FY19</v>
      </c>
      <c r="O97" s="5" t="str">
        <f>IFERROR(N97&amp;"-"&amp;COUNTIF($N$5:N97,N97),NA())</f>
        <v>FY19-15</v>
      </c>
      <c r="P97" s="5">
        <f>COUNTIF(V$5:V97,"&gt;="&amp;MAX($V:$V)-183)</f>
        <v>0</v>
      </c>
      <c r="Q97" s="5">
        <f>COUNTIF(V$5:V97,"&gt;="&amp;MAX($V:$V)-365)</f>
        <v>0</v>
      </c>
      <c r="R97" s="5" cm="1">
        <f t="array" ref="R97">LOOKUP(2,1/($G$46:$G$50&lt;=$V97)/($H$46:$H$50&gt;=$V97),$F$46:$F$50)</f>
        <v>0</v>
      </c>
      <c r="S97" s="5" cm="1">
        <f t="array" ref="S97">LOOKUP(2,1/($G$53:$G$56&lt;=$V97)/($H$53:$H$56&gt;=$V97),$F$53:$F$56)</f>
        <v>0</v>
      </c>
      <c r="T97" s="5" t="e">
        <f>IFERROR(IF($R97&gt;0,$R97&amp;"-"&amp;COUNTIF($R$5:$R97,$R97),NA()),NA())</f>
        <v>#N/A</v>
      </c>
      <c r="U97" s="5" t="e">
        <f>IFERROR(IF($S97&gt;0,$S97&amp;"-"&amp;COUNTIF($S$5:$S97,$S97),NA()),NA())</f>
        <v>#N/A</v>
      </c>
      <c r="V97" s="10">
        <v>43384</v>
      </c>
      <c r="W97" s="9">
        <v>22858246.916719638</v>
      </c>
      <c r="X97" s="9">
        <v>27482470.267972022</v>
      </c>
      <c r="Y97" s="8">
        <v>12000000</v>
      </c>
      <c r="AI97" s="18"/>
      <c r="AJ97" s="12"/>
      <c r="AK97" s="11"/>
      <c r="AL97" s="11"/>
      <c r="AP97" s="18" t="e">
        <f t="shared" si="321"/>
        <v>#N/A</v>
      </c>
      <c r="AQ97" s="12" t="e">
        <f t="shared" si="322"/>
        <v>#N/A</v>
      </c>
      <c r="AR97" s="11" t="e">
        <f t="shared" si="323"/>
        <v>#N/A</v>
      </c>
      <c r="AS97" s="11" t="e">
        <f t="shared" si="324"/>
        <v>#N/A</v>
      </c>
      <c r="BI97" s="18">
        <f t="shared" si="281"/>
        <v>51</v>
      </c>
      <c r="BJ97" s="12">
        <f t="shared" si="282"/>
        <v>45456</v>
      </c>
      <c r="BK97" s="11">
        <f t="shared" si="283"/>
        <v>41.109275798191128</v>
      </c>
      <c r="BL97" s="11">
        <f t="shared" si="284"/>
        <v>20</v>
      </c>
      <c r="BP97" s="40"/>
      <c r="BQ97" s="39"/>
      <c r="BR97" s="110"/>
      <c r="BS97" s="39"/>
      <c r="CE97" s="18" t="e">
        <f t="shared" si="285"/>
        <v>#N/A</v>
      </c>
      <c r="CF97" s="12" t="e">
        <f t="shared" si="286"/>
        <v>#N/A</v>
      </c>
      <c r="CG97" s="11" t="e">
        <f t="shared" si="287"/>
        <v>#N/A</v>
      </c>
      <c r="CH97" s="11" t="e">
        <f t="shared" si="288"/>
        <v>#N/A</v>
      </c>
      <c r="CT97" s="18" t="e">
        <f t="shared" si="289"/>
        <v>#N/A</v>
      </c>
      <c r="CU97" s="12" t="e">
        <f t="shared" si="290"/>
        <v>#N/A</v>
      </c>
      <c r="CV97" s="11" t="e">
        <f t="shared" si="291"/>
        <v>#N/A</v>
      </c>
      <c r="CW97" s="11" t="e">
        <f t="shared" si="292"/>
        <v>#N/A</v>
      </c>
      <c r="DI97" s="18" t="e">
        <f t="shared" si="293"/>
        <v>#N/A</v>
      </c>
      <c r="DJ97" s="12" t="e">
        <f t="shared" si="294"/>
        <v>#N/A</v>
      </c>
      <c r="DK97" s="11" t="e">
        <f t="shared" si="295"/>
        <v>#N/A</v>
      </c>
      <c r="DL97" s="11" t="e">
        <f t="shared" si="296"/>
        <v>#N/A</v>
      </c>
      <c r="DX97" s="18" t="e">
        <f t="shared" si="297"/>
        <v>#N/A</v>
      </c>
      <c r="DY97" s="12" t="e">
        <f t="shared" si="298"/>
        <v>#N/A</v>
      </c>
      <c r="DZ97" s="11" t="e">
        <f t="shared" si="299"/>
        <v>#N/A</v>
      </c>
      <c r="EA97" s="11" t="e">
        <f t="shared" si="300"/>
        <v>#N/A</v>
      </c>
      <c r="EE97" s="12" t="e">
        <f t="shared" si="325"/>
        <v>#N/A</v>
      </c>
      <c r="EF97" s="12" t="e">
        <f t="shared" si="326"/>
        <v>#N/A</v>
      </c>
      <c r="EG97" s="11" t="e">
        <f t="shared" si="327"/>
        <v>#N/A</v>
      </c>
      <c r="EH97" s="11" t="e">
        <f t="shared" si="328"/>
        <v>#N/A</v>
      </c>
      <c r="ET97" s="12" t="str">
        <f t="shared" si="301"/>
        <v>FY18-51</v>
      </c>
      <c r="EU97" s="12">
        <f t="shared" si="302"/>
        <v>43272</v>
      </c>
      <c r="EV97" s="11">
        <f t="shared" si="303"/>
        <v>11.422460775588046</v>
      </c>
      <c r="EW97" s="11">
        <f t="shared" si="304"/>
        <v>3</v>
      </c>
      <c r="FI97" s="12" t="str">
        <f t="shared" si="305"/>
        <v>FY19</v>
      </c>
      <c r="FJ97" s="12">
        <f t="shared" si="306"/>
        <v>43636</v>
      </c>
      <c r="FK97" s="11">
        <f t="shared" si="307"/>
        <v>27.826067454669225</v>
      </c>
      <c r="FL97" s="11">
        <f t="shared" si="308"/>
        <v>30</v>
      </c>
      <c r="FP97" s="12" t="str">
        <f t="shared" si="329"/>
        <v>FY19</v>
      </c>
      <c r="FQ97" s="12">
        <f t="shared" si="330"/>
        <v>43622</v>
      </c>
      <c r="FR97" s="11">
        <f t="shared" si="331"/>
        <v>18.797418899684388</v>
      </c>
      <c r="FS97" s="11">
        <f t="shared" si="332"/>
        <v>12</v>
      </c>
      <c r="FX97" s="16"/>
      <c r="FY97" s="15"/>
      <c r="GF97" s="12" t="str">
        <f t="shared" si="309"/>
        <v>FY20</v>
      </c>
      <c r="GG97" s="12">
        <f t="shared" si="310"/>
        <v>44000</v>
      </c>
      <c r="GH97" s="11">
        <f t="shared" si="311"/>
        <v>31.885473031316504</v>
      </c>
      <c r="GI97" s="11">
        <f t="shared" si="312"/>
        <v>15</v>
      </c>
      <c r="GM97" s="12" t="str">
        <f t="shared" si="333"/>
        <v>FY20</v>
      </c>
      <c r="GN97" s="12">
        <f t="shared" si="334"/>
        <v>43986</v>
      </c>
      <c r="GO97" s="11">
        <f t="shared" si="335"/>
        <v>18.06607941623594</v>
      </c>
      <c r="GP97" s="11">
        <f t="shared" si="336"/>
        <v>3</v>
      </c>
      <c r="GU97" s="16"/>
      <c r="GV97" s="14"/>
      <c r="GW97" s="15"/>
      <c r="HB97" s="12" t="str">
        <f t="shared" si="313"/>
        <v>FY21</v>
      </c>
      <c r="HC97" s="12">
        <f t="shared" si="314"/>
        <v>44364</v>
      </c>
      <c r="HD97" s="11">
        <f t="shared" si="315"/>
        <v>36.861438491942835</v>
      </c>
      <c r="HE97" s="11">
        <f t="shared" si="316"/>
        <v>20</v>
      </c>
      <c r="HJ97" s="16"/>
      <c r="HK97" s="15"/>
      <c r="HL97" s="14"/>
      <c r="HQ97" s="12" t="str">
        <f t="shared" si="317"/>
        <v>FY22</v>
      </c>
      <c r="HR97" s="12">
        <f t="shared" si="318"/>
        <v>44728</v>
      </c>
      <c r="HS97" s="11">
        <f t="shared" si="319"/>
        <v>41.963661416844026</v>
      </c>
      <c r="HT97" s="11">
        <f t="shared" si="320"/>
        <v>20</v>
      </c>
      <c r="HX97" s="12" t="str">
        <f t="shared" si="337"/>
        <v>FY22</v>
      </c>
      <c r="HY97" s="12">
        <f t="shared" si="338"/>
        <v>44714</v>
      </c>
      <c r="HZ97" s="11">
        <f t="shared" si="339"/>
        <v>21.125759318941927</v>
      </c>
      <c r="IA97" s="11">
        <f t="shared" si="340"/>
        <v>4</v>
      </c>
      <c r="IM97" s="12" t="str">
        <f t="shared" si="271"/>
        <v>FY23</v>
      </c>
      <c r="IN97" s="12">
        <f t="shared" si="272"/>
        <v>44959</v>
      </c>
      <c r="IO97" s="11">
        <f t="shared" si="273"/>
        <v>59.808873700212828</v>
      </c>
      <c r="IP97" s="11">
        <f t="shared" si="274"/>
        <v>40</v>
      </c>
      <c r="IT97" s="12" t="str">
        <f t="shared" si="347"/>
        <v>FY23</v>
      </c>
      <c r="IU97" s="12">
        <f t="shared" si="348"/>
        <v>44805</v>
      </c>
      <c r="IV97" s="11">
        <f t="shared" si="349"/>
        <v>39.743730009121315</v>
      </c>
      <c r="IW97" s="11">
        <f t="shared" si="350"/>
        <v>20</v>
      </c>
      <c r="JI97" s="12" t="str">
        <f t="shared" si="275"/>
        <v>FY24</v>
      </c>
      <c r="JJ97" s="12">
        <f t="shared" si="276"/>
        <v>45323</v>
      </c>
      <c r="JK97" s="11">
        <f t="shared" si="277"/>
        <v>305.33054625694672</v>
      </c>
      <c r="JL97" s="11">
        <f t="shared" si="278"/>
        <v>200</v>
      </c>
      <c r="JP97" s="12" t="str">
        <f t="shared" si="341"/>
        <v>FY24</v>
      </c>
      <c r="JQ97" s="12">
        <f t="shared" si="342"/>
        <v>45197</v>
      </c>
      <c r="JR97" s="11">
        <f t="shared" si="343"/>
        <v>56.641298899422473</v>
      </c>
      <c r="JS97" s="11">
        <f t="shared" si="344"/>
        <v>40</v>
      </c>
      <c r="NG97" s="12"/>
      <c r="NH97" s="12"/>
      <c r="NI97" s="11"/>
      <c r="NJ97" s="11"/>
      <c r="NV97" s="12"/>
      <c r="NW97" s="12"/>
      <c r="NX97" s="11"/>
      <c r="NY97" s="11"/>
      <c r="OB97" s="1"/>
    </row>
    <row r="98" spans="13:392" x14ac:dyDescent="0.2">
      <c r="M98" s="5" t="str" cm="1">
        <f t="array" ref="M98">LOOKUP(2,1/($G$19:$G$35&lt;=$V98)/($H$19:$H$35&gt;=$V98),$F$19:$F$35)</f>
        <v>1H19</v>
      </c>
      <c r="N98" s="5" t="str" cm="1">
        <f t="array" ref="N98">LOOKUP(2,1/($G$8:$G$16&lt;=$V98)/($H$8:$H$16&gt;=$V98),$F$8:$F$16)</f>
        <v>FY19</v>
      </c>
      <c r="O98" s="5" t="str">
        <f>IFERROR(N98&amp;"-"&amp;COUNTIF($N$5:N98,N98),NA())</f>
        <v>FY19-16</v>
      </c>
      <c r="P98" s="5">
        <f>COUNTIF(V$5:V98,"&gt;="&amp;MAX($V:$V)-183)</f>
        <v>0</v>
      </c>
      <c r="Q98" s="5">
        <f>COUNTIF(V$5:V98,"&gt;="&amp;MAX($V:$V)-365)</f>
        <v>0</v>
      </c>
      <c r="R98" s="5" cm="1">
        <f t="array" ref="R98">LOOKUP(2,1/($G$46:$G$50&lt;=$V98)/($H$46:$H$50&gt;=$V98),$F$46:$F$50)</f>
        <v>0</v>
      </c>
      <c r="S98" s="5" cm="1">
        <f t="array" ref="S98">LOOKUP(2,1/($G$53:$G$56&lt;=$V98)/($H$53:$H$56&gt;=$V98),$F$53:$F$56)</f>
        <v>0</v>
      </c>
      <c r="T98" s="5" t="e">
        <f>IFERROR(IF($R98&gt;0,$R98&amp;"-"&amp;COUNTIF($R$5:$R98,$R98),NA()),NA())</f>
        <v>#N/A</v>
      </c>
      <c r="U98" s="5" t="e">
        <f>IFERROR(IF($S98&gt;0,$S98&amp;"-"&amp;COUNTIF($S$5:$S98,$S98),NA()),NA())</f>
        <v>#N/A</v>
      </c>
      <c r="V98" s="10">
        <v>43391</v>
      </c>
      <c r="W98" s="9">
        <v>29451650.349650346</v>
      </c>
      <c r="X98" s="9">
        <v>35409719.215384617</v>
      </c>
      <c r="Y98" s="8">
        <v>20000000</v>
      </c>
      <c r="AI98" s="18"/>
      <c r="AJ98" s="12"/>
      <c r="AK98" s="11"/>
      <c r="AL98" s="11"/>
      <c r="AP98" s="18" t="e">
        <f t="shared" si="321"/>
        <v>#N/A</v>
      </c>
      <c r="AQ98" s="12" t="e">
        <f t="shared" si="322"/>
        <v>#N/A</v>
      </c>
      <c r="AR98" s="11" t="e">
        <f t="shared" si="323"/>
        <v>#N/A</v>
      </c>
      <c r="AS98" s="11" t="e">
        <f t="shared" si="324"/>
        <v>#N/A</v>
      </c>
      <c r="BI98" s="18">
        <f t="shared" si="281"/>
        <v>52</v>
      </c>
      <c r="BJ98" s="12">
        <f t="shared" si="282"/>
        <v>45463</v>
      </c>
      <c r="BK98" s="11">
        <f t="shared" si="283"/>
        <v>55.0771206276561</v>
      </c>
      <c r="BL98" s="11">
        <f t="shared" si="284"/>
        <v>40</v>
      </c>
      <c r="BP98" s="111">
        <v>4</v>
      </c>
      <c r="BQ98" s="39">
        <f t="shared" ref="BQ98:BQ107" si="351">($BQ$8*BP98^2+$BR$8*BP98+$BS$8)*1000000</f>
        <v>20910800</v>
      </c>
      <c r="BR98" s="110">
        <v>0</v>
      </c>
      <c r="BS98" s="39">
        <f t="shared" ref="BS98:BS107" si="352">BQ98*(1+BR98)</f>
        <v>20910800</v>
      </c>
      <c r="CE98" s="18" t="e">
        <f t="shared" si="285"/>
        <v>#N/A</v>
      </c>
      <c r="CF98" s="12" t="e">
        <f t="shared" si="286"/>
        <v>#N/A</v>
      </c>
      <c r="CG98" s="11" t="e">
        <f t="shared" si="287"/>
        <v>#N/A</v>
      </c>
      <c r="CH98" s="11" t="e">
        <f t="shared" si="288"/>
        <v>#N/A</v>
      </c>
      <c r="CT98" s="18" t="e">
        <f t="shared" si="289"/>
        <v>#N/A</v>
      </c>
      <c r="CU98" s="12" t="e">
        <f t="shared" si="290"/>
        <v>#N/A</v>
      </c>
      <c r="CV98" s="11" t="e">
        <f t="shared" si="291"/>
        <v>#N/A</v>
      </c>
      <c r="CW98" s="11" t="e">
        <f t="shared" si="292"/>
        <v>#N/A</v>
      </c>
      <c r="DI98" s="18" t="e">
        <f t="shared" si="293"/>
        <v>#N/A</v>
      </c>
      <c r="DJ98" s="12" t="e">
        <f t="shared" si="294"/>
        <v>#N/A</v>
      </c>
      <c r="DK98" s="11" t="e">
        <f t="shared" si="295"/>
        <v>#N/A</v>
      </c>
      <c r="DL98" s="11" t="e">
        <f t="shared" si="296"/>
        <v>#N/A</v>
      </c>
      <c r="DX98" s="18" t="e">
        <f t="shared" si="297"/>
        <v>#N/A</v>
      </c>
      <c r="DY98" s="12" t="e">
        <f t="shared" si="298"/>
        <v>#N/A</v>
      </c>
      <c r="DZ98" s="11" t="e">
        <f t="shared" si="299"/>
        <v>#N/A</v>
      </c>
      <c r="EA98" s="11" t="e">
        <f t="shared" si="300"/>
        <v>#N/A</v>
      </c>
      <c r="EE98" s="12" t="e">
        <f t="shared" si="325"/>
        <v>#N/A</v>
      </c>
      <c r="EF98" s="12" t="e">
        <f t="shared" si="326"/>
        <v>#N/A</v>
      </c>
      <c r="EG98" s="11" t="e">
        <f t="shared" si="327"/>
        <v>#N/A</v>
      </c>
      <c r="EH98" s="11" t="e">
        <f t="shared" si="328"/>
        <v>#N/A</v>
      </c>
      <c r="ET98" s="12" t="str">
        <f t="shared" si="301"/>
        <v>FY18-52</v>
      </c>
      <c r="EU98" s="12">
        <f t="shared" si="302"/>
        <v>43279</v>
      </c>
      <c r="EV98" s="11">
        <f t="shared" si="303"/>
        <v>16.82988989192625</v>
      </c>
      <c r="EW98" s="11">
        <f t="shared" si="304"/>
        <v>8</v>
      </c>
      <c r="FI98" s="12" t="str">
        <f t="shared" si="305"/>
        <v>FY19</v>
      </c>
      <c r="FJ98" s="12">
        <f t="shared" si="306"/>
        <v>43643</v>
      </c>
      <c r="FK98" s="11">
        <f t="shared" si="307"/>
        <v>37.957462714276872</v>
      </c>
      <c r="FL98" s="11">
        <f t="shared" si="308"/>
        <v>40</v>
      </c>
      <c r="FP98" s="12" t="str">
        <f t="shared" si="329"/>
        <v>FY19</v>
      </c>
      <c r="FQ98" s="12">
        <f t="shared" si="330"/>
        <v>43629</v>
      </c>
      <c r="FR98" s="11">
        <f t="shared" si="331"/>
        <v>22.750507333374586</v>
      </c>
      <c r="FS98" s="11">
        <f t="shared" si="332"/>
        <v>20</v>
      </c>
      <c r="FX98" s="16"/>
      <c r="FY98" s="15"/>
      <c r="GF98" s="12" t="str">
        <f t="shared" si="309"/>
        <v>FY20</v>
      </c>
      <c r="GG98" s="12">
        <f t="shared" si="310"/>
        <v>44007</v>
      </c>
      <c r="GH98" s="11">
        <f t="shared" si="311"/>
        <v>48.173921070234115</v>
      </c>
      <c r="GI98" s="11">
        <f t="shared" si="312"/>
        <v>30</v>
      </c>
      <c r="GM98" s="12" t="str">
        <f t="shared" si="333"/>
        <v>FY20</v>
      </c>
      <c r="GN98" s="12">
        <f t="shared" si="334"/>
        <v>43993</v>
      </c>
      <c r="GO98" s="11">
        <f t="shared" si="335"/>
        <v>24.991572879294623</v>
      </c>
      <c r="GP98" s="11">
        <f t="shared" si="336"/>
        <v>8</v>
      </c>
      <c r="GU98" s="16"/>
      <c r="GV98" s="14"/>
      <c r="GW98" s="15"/>
      <c r="HB98" s="12" t="str">
        <f t="shared" si="313"/>
        <v>FY21</v>
      </c>
      <c r="HC98" s="12">
        <f t="shared" si="314"/>
        <v>44371</v>
      </c>
      <c r="HD98" s="11">
        <f t="shared" si="315"/>
        <v>55.754455457585884</v>
      </c>
      <c r="HE98" s="11">
        <f t="shared" si="316"/>
        <v>40</v>
      </c>
      <c r="HJ98" s="16"/>
      <c r="HK98" s="15"/>
      <c r="HL98" s="14"/>
      <c r="HQ98" s="12" t="str">
        <f t="shared" si="317"/>
        <v>FY22</v>
      </c>
      <c r="HR98" s="12">
        <f t="shared" si="318"/>
        <v>44735</v>
      </c>
      <c r="HS98" s="11">
        <f t="shared" si="319"/>
        <v>57.463937245363326</v>
      </c>
      <c r="HT98" s="11">
        <f t="shared" si="320"/>
        <v>40</v>
      </c>
      <c r="HX98" s="12" t="str">
        <f t="shared" si="337"/>
        <v>FY22</v>
      </c>
      <c r="HY98" s="12">
        <f t="shared" si="338"/>
        <v>44721</v>
      </c>
      <c r="HZ98" s="11">
        <f t="shared" si="339"/>
        <v>27.291882760717545</v>
      </c>
      <c r="IA98" s="11">
        <f t="shared" si="340"/>
        <v>8</v>
      </c>
      <c r="IM98" s="12" t="str">
        <f t="shared" si="271"/>
        <v>FY23</v>
      </c>
      <c r="IN98" s="12">
        <f t="shared" si="272"/>
        <v>44966</v>
      </c>
      <c r="IO98" s="11">
        <f t="shared" si="273"/>
        <v>20.069480449984798</v>
      </c>
      <c r="IP98" s="11">
        <f t="shared" si="274"/>
        <v>4</v>
      </c>
      <c r="IT98" s="12" t="str">
        <f t="shared" si="347"/>
        <v>FY23</v>
      </c>
      <c r="IU98" s="12">
        <f t="shared" si="348"/>
        <v>44812</v>
      </c>
      <c r="IV98" s="11">
        <f t="shared" si="349"/>
        <v>61.420572818485859</v>
      </c>
      <c r="IW98" s="11">
        <f t="shared" si="350"/>
        <v>40</v>
      </c>
      <c r="JI98" s="12" t="str">
        <f t="shared" si="275"/>
        <v>FY24</v>
      </c>
      <c r="JJ98" s="12">
        <f t="shared" si="276"/>
        <v>45330</v>
      </c>
      <c r="JK98" s="11">
        <f t="shared" si="277"/>
        <v>22.03278903781192</v>
      </c>
      <c r="JL98" s="11">
        <f t="shared" si="278"/>
        <v>4</v>
      </c>
      <c r="JP98" s="12" t="str">
        <f t="shared" si="341"/>
        <v>FY24</v>
      </c>
      <c r="JQ98" s="12">
        <f t="shared" si="342"/>
        <v>45204</v>
      </c>
      <c r="JR98" s="11">
        <f t="shared" si="343"/>
        <v>85.3851064618067</v>
      </c>
      <c r="JS98" s="11">
        <f t="shared" si="344"/>
        <v>60</v>
      </c>
      <c r="NG98" s="12"/>
      <c r="NH98" s="12"/>
      <c r="NI98" s="11"/>
      <c r="NJ98" s="11"/>
      <c r="NV98" s="12"/>
      <c r="NW98" s="12"/>
      <c r="NX98" s="11"/>
      <c r="NY98" s="11"/>
      <c r="OB98" s="1"/>
    </row>
    <row r="99" spans="13:392" x14ac:dyDescent="0.2">
      <c r="M99" s="5" t="str" cm="1">
        <f t="array" ref="M99">LOOKUP(2,1/($G$19:$G$35&lt;=$V99)/($H$19:$H$35&gt;=$V99),$F$19:$F$35)</f>
        <v>1H19</v>
      </c>
      <c r="N99" s="5" t="str" cm="1">
        <f t="array" ref="N99">LOOKUP(2,1/($G$8:$G$16&lt;=$V99)/($H$8:$H$16&gt;=$V99),$F$8:$F$16)</f>
        <v>FY19</v>
      </c>
      <c r="O99" s="5" t="str">
        <f>IFERROR(N99&amp;"-"&amp;COUNTIF($N$5:N99,N99),NA())</f>
        <v>FY19-17</v>
      </c>
      <c r="P99" s="5">
        <f>COUNTIF(V$5:V99,"&gt;="&amp;MAX($V:$V)-183)</f>
        <v>0</v>
      </c>
      <c r="Q99" s="5">
        <f>COUNTIF(V$5:V99,"&gt;="&amp;MAX($V:$V)-365)</f>
        <v>0</v>
      </c>
      <c r="R99" s="5" cm="1">
        <f t="array" ref="R99">LOOKUP(2,1/($G$46:$G$50&lt;=$V99)/($H$46:$H$50&gt;=$V99),$F$46:$F$50)</f>
        <v>0</v>
      </c>
      <c r="S99" s="5" cm="1">
        <f t="array" ref="S99">LOOKUP(2,1/($G$53:$G$56&lt;=$V99)/($H$53:$H$56&gt;=$V99),$F$53:$F$56)</f>
        <v>0</v>
      </c>
      <c r="T99" s="5" t="e">
        <f>IFERROR(IF($R99&gt;0,$R99&amp;"-"&amp;COUNTIF($R$5:$R99,$R99),NA()),NA())</f>
        <v>#N/A</v>
      </c>
      <c r="U99" s="5" t="e">
        <f>IFERROR(IF($S99&gt;0,$S99&amp;"-"&amp;COUNTIF($S$5:$S99,$S99),NA()),NA())</f>
        <v>#N/A</v>
      </c>
      <c r="V99" s="10">
        <v>43398</v>
      </c>
      <c r="W99" s="9">
        <v>34304900.19071836</v>
      </c>
      <c r="X99" s="9">
        <v>41244781.499300689</v>
      </c>
      <c r="Y99" s="8">
        <v>30000000</v>
      </c>
      <c r="AI99" s="18"/>
      <c r="AJ99" s="12"/>
      <c r="AK99" s="11"/>
      <c r="AL99" s="11"/>
      <c r="AP99" s="18" t="e">
        <f t="shared" si="321"/>
        <v>#N/A</v>
      </c>
      <c r="AQ99" s="12" t="e">
        <f t="shared" si="322"/>
        <v>#N/A</v>
      </c>
      <c r="AR99" s="11" t="e">
        <f t="shared" si="323"/>
        <v>#N/A</v>
      </c>
      <c r="AS99" s="11" t="e">
        <f t="shared" si="324"/>
        <v>#N/A</v>
      </c>
      <c r="BI99" s="18">
        <f t="shared" si="281"/>
        <v>53</v>
      </c>
      <c r="BJ99" s="12">
        <f t="shared" si="282"/>
        <v>45470</v>
      </c>
      <c r="BK99" s="11">
        <f t="shared" si="283"/>
        <v>19.509070393374742</v>
      </c>
      <c r="BL99" s="11">
        <f t="shared" si="284"/>
        <v>4</v>
      </c>
      <c r="BP99" s="111">
        <v>12</v>
      </c>
      <c r="BQ99" s="39">
        <f t="shared" si="351"/>
        <v>29600400</v>
      </c>
      <c r="BR99" s="110">
        <v>0</v>
      </c>
      <c r="BS99" s="39">
        <f t="shared" si="352"/>
        <v>29600400</v>
      </c>
      <c r="CE99" s="18" t="e">
        <f t="shared" si="285"/>
        <v>#N/A</v>
      </c>
      <c r="CF99" s="12" t="e">
        <f t="shared" si="286"/>
        <v>#N/A</v>
      </c>
      <c r="CG99" s="11" t="e">
        <f t="shared" si="287"/>
        <v>#N/A</v>
      </c>
      <c r="CH99" s="11" t="e">
        <f t="shared" si="288"/>
        <v>#N/A</v>
      </c>
      <c r="CT99" s="18" t="e">
        <f t="shared" si="289"/>
        <v>#N/A</v>
      </c>
      <c r="CU99" s="12" t="e">
        <f t="shared" si="290"/>
        <v>#N/A</v>
      </c>
      <c r="CV99" s="11" t="e">
        <f t="shared" si="291"/>
        <v>#N/A</v>
      </c>
      <c r="CW99" s="11" t="e">
        <f t="shared" si="292"/>
        <v>#N/A</v>
      </c>
      <c r="DI99" s="18" t="e">
        <f t="shared" si="293"/>
        <v>#N/A</v>
      </c>
      <c r="DJ99" s="12" t="e">
        <f t="shared" si="294"/>
        <v>#N/A</v>
      </c>
      <c r="DK99" s="11" t="e">
        <f t="shared" si="295"/>
        <v>#N/A</v>
      </c>
      <c r="DL99" s="11" t="e">
        <f t="shared" si="296"/>
        <v>#N/A</v>
      </c>
      <c r="DX99" s="18" t="e">
        <f t="shared" si="297"/>
        <v>#N/A</v>
      </c>
      <c r="DY99" s="12" t="e">
        <f t="shared" si="298"/>
        <v>#N/A</v>
      </c>
      <c r="DZ99" s="11" t="e">
        <f t="shared" si="299"/>
        <v>#N/A</v>
      </c>
      <c r="EA99" s="11" t="e">
        <f t="shared" si="300"/>
        <v>#N/A</v>
      </c>
      <c r="EE99" s="12" t="e">
        <f t="shared" si="325"/>
        <v>#N/A</v>
      </c>
      <c r="EF99" s="12" t="e">
        <f t="shared" si="326"/>
        <v>#N/A</v>
      </c>
      <c r="EG99" s="11" t="e">
        <f t="shared" si="327"/>
        <v>#N/A</v>
      </c>
      <c r="EH99" s="11" t="e">
        <f t="shared" si="328"/>
        <v>#N/A</v>
      </c>
      <c r="ET99" s="12"/>
      <c r="EU99" s="12"/>
      <c r="EV99" s="11"/>
      <c r="EW99" s="11"/>
      <c r="FI99" s="12"/>
      <c r="FJ99" s="12"/>
      <c r="FK99" s="11"/>
      <c r="FL99" s="11"/>
      <c r="FP99" s="12" t="str">
        <f t="shared" si="329"/>
        <v>FY19</v>
      </c>
      <c r="FQ99" s="12">
        <f t="shared" si="330"/>
        <v>43636</v>
      </c>
      <c r="FR99" s="11">
        <f t="shared" si="331"/>
        <v>27.826067454669225</v>
      </c>
      <c r="FS99" s="11">
        <f t="shared" si="332"/>
        <v>30</v>
      </c>
      <c r="FX99" s="16"/>
      <c r="FY99" s="15"/>
      <c r="GF99" s="12"/>
      <c r="GG99" s="12"/>
      <c r="GH99" s="11"/>
      <c r="GI99" s="11"/>
      <c r="GM99" s="12" t="str">
        <f t="shared" si="333"/>
        <v>FY20</v>
      </c>
      <c r="GN99" s="12">
        <f t="shared" si="334"/>
        <v>44000</v>
      </c>
      <c r="GO99" s="11">
        <f t="shared" si="335"/>
        <v>31.885473031316504</v>
      </c>
      <c r="GP99" s="11">
        <f t="shared" si="336"/>
        <v>15</v>
      </c>
      <c r="GU99" s="16"/>
      <c r="GV99" s="14"/>
      <c r="GW99" s="15"/>
      <c r="HB99" s="12"/>
      <c r="HC99" s="12"/>
      <c r="HD99" s="11"/>
      <c r="HE99" s="11"/>
      <c r="HJ99" s="16"/>
      <c r="HK99" s="15"/>
      <c r="HL99" s="14"/>
      <c r="HQ99" s="12" t="str">
        <f t="shared" si="317"/>
        <v>FY22</v>
      </c>
      <c r="HR99" s="12">
        <f t="shared" si="318"/>
        <v>44742</v>
      </c>
      <c r="HS99" s="11">
        <f t="shared" si="319"/>
        <v>77.836461903314074</v>
      </c>
      <c r="HT99" s="11">
        <f t="shared" si="320"/>
        <v>60</v>
      </c>
      <c r="HX99" s="12" t="str">
        <f t="shared" si="337"/>
        <v>FY22</v>
      </c>
      <c r="HY99" s="12">
        <f t="shared" si="338"/>
        <v>44728</v>
      </c>
      <c r="HZ99" s="11">
        <f t="shared" si="339"/>
        <v>41.963661416844026</v>
      </c>
      <c r="IA99" s="11">
        <f t="shared" si="340"/>
        <v>20</v>
      </c>
      <c r="IM99" s="12" t="str">
        <f t="shared" ref="IM99:IM119" si="353">IF(ISBLANK(IE37),NA(),IE37)</f>
        <v>FY23</v>
      </c>
      <c r="IN99" s="12">
        <f t="shared" ref="IN99:IN119" si="354">IF(ISBLANK(IF37),NA(),IF37)</f>
        <v>44973</v>
      </c>
      <c r="IO99" s="11">
        <f t="shared" ref="IO99:IO119" si="355">IF(ISBLANK(IG37),NA(),IG37/1000000)</f>
        <v>27.295176771055036</v>
      </c>
      <c r="IP99" s="11">
        <f t="shared" ref="IP99:IP119" si="356">IF(ISBLANK(IH37),NA(),IH37/1000000)</f>
        <v>8</v>
      </c>
      <c r="IT99" s="12" t="str">
        <f t="shared" si="347"/>
        <v>FY23</v>
      </c>
      <c r="IU99" s="12">
        <f t="shared" si="348"/>
        <v>44819</v>
      </c>
      <c r="IV99" s="11">
        <f t="shared" si="349"/>
        <v>25.008818485861962</v>
      </c>
      <c r="IW99" s="11">
        <f t="shared" si="350"/>
        <v>8</v>
      </c>
      <c r="JI99" s="12" t="str">
        <f t="shared" si="275"/>
        <v>FY24</v>
      </c>
      <c r="JJ99" s="12">
        <f t="shared" si="276"/>
        <v>45337</v>
      </c>
      <c r="JK99" s="11">
        <f t="shared" si="277"/>
        <v>21.26904805491991</v>
      </c>
      <c r="JL99" s="11">
        <f t="shared" si="278"/>
        <v>4</v>
      </c>
      <c r="JP99" s="12" t="str">
        <f t="shared" si="341"/>
        <v>FY24</v>
      </c>
      <c r="JQ99" s="12">
        <f t="shared" si="342"/>
        <v>45211</v>
      </c>
      <c r="JR99" s="11">
        <f t="shared" si="343"/>
        <v>19.942564454614796</v>
      </c>
      <c r="JS99" s="11">
        <f t="shared" si="344"/>
        <v>4</v>
      </c>
      <c r="NG99" s="12"/>
      <c r="NH99" s="12"/>
      <c r="NI99" s="11"/>
      <c r="NJ99" s="11"/>
      <c r="NV99" s="12"/>
      <c r="NW99" s="12"/>
      <c r="NX99" s="11"/>
      <c r="NY99" s="11"/>
      <c r="OB99" s="1"/>
    </row>
    <row r="100" spans="13:392" x14ac:dyDescent="0.2">
      <c r="M100" s="5" t="str" cm="1">
        <f t="array" ref="M100">LOOKUP(2,1/($G$19:$G$35&lt;=$V100)/($H$19:$H$35&gt;=$V100),$F$19:$F$35)</f>
        <v>1H19</v>
      </c>
      <c r="N100" s="5" t="str" cm="1">
        <f t="array" ref="N100">LOOKUP(2,1/($G$8:$G$16&lt;=$V100)/($H$8:$H$16&gt;=$V100),$F$8:$F$16)</f>
        <v>FY19</v>
      </c>
      <c r="O100" s="5" t="str">
        <f>IFERROR(N100&amp;"-"&amp;COUNTIF($N$5:N100,N100),NA())</f>
        <v>FY19-18</v>
      </c>
      <c r="P100" s="5">
        <f>COUNTIF(V$5:V100,"&gt;="&amp;MAX($V:$V)-183)</f>
        <v>0</v>
      </c>
      <c r="Q100" s="5">
        <f>COUNTIF(V$5:V100,"&gt;="&amp;MAX($V:$V)-365)</f>
        <v>0</v>
      </c>
      <c r="R100" s="5" cm="1">
        <f t="array" ref="R100">LOOKUP(2,1/($G$46:$G$50&lt;=$V100)/($H$46:$H$50&gt;=$V100),$F$46:$F$50)</f>
        <v>0</v>
      </c>
      <c r="S100" s="5" cm="1">
        <f t="array" ref="S100">LOOKUP(2,1/($G$53:$G$56&lt;=$V100)/($H$53:$H$56&gt;=$V100),$F$53:$F$56)</f>
        <v>0</v>
      </c>
      <c r="T100" s="5" t="e">
        <f>IFERROR(IF($R100&gt;0,$R100&amp;"-"&amp;COUNTIF($R$5:$R100,$R100),NA()),NA())</f>
        <v>#N/A</v>
      </c>
      <c r="U100" s="5" t="e">
        <f>IFERROR(IF($S100&gt;0,$S100&amp;"-"&amp;COUNTIF($S$5:$S100,$S100),NA()),NA())</f>
        <v>#N/A</v>
      </c>
      <c r="V100" s="10">
        <v>43405</v>
      </c>
      <c r="W100" s="9">
        <v>42745877.177368082</v>
      </c>
      <c r="X100" s="9">
        <v>51393368.130349651</v>
      </c>
      <c r="Y100" s="8">
        <v>40000000</v>
      </c>
      <c r="AI100" s="18"/>
      <c r="AJ100" s="12"/>
      <c r="AK100" s="11"/>
      <c r="AL100" s="11"/>
      <c r="AP100" s="18" t="e">
        <f t="shared" si="321"/>
        <v>#N/A</v>
      </c>
      <c r="AQ100" s="12" t="e">
        <f t="shared" si="322"/>
        <v>#N/A</v>
      </c>
      <c r="AR100" s="11" t="e">
        <f t="shared" si="323"/>
        <v>#N/A</v>
      </c>
      <c r="AS100" s="11" t="e">
        <f t="shared" si="324"/>
        <v>#N/A</v>
      </c>
      <c r="BI100" s="18"/>
      <c r="BJ100" s="12"/>
      <c r="BK100" s="11"/>
      <c r="BL100" s="11"/>
      <c r="BP100" s="111">
        <v>20</v>
      </c>
      <c r="BQ100" s="39">
        <f t="shared" si="351"/>
        <v>38290000</v>
      </c>
      <c r="BR100" s="110">
        <v>0</v>
      </c>
      <c r="BS100" s="39">
        <f t="shared" si="352"/>
        <v>38290000</v>
      </c>
      <c r="CE100" s="18"/>
      <c r="CF100" s="12"/>
      <c r="CG100" s="11"/>
      <c r="CH100" s="11"/>
      <c r="CT100" s="18"/>
      <c r="CU100" s="12"/>
      <c r="CV100" s="11"/>
      <c r="CW100" s="11"/>
      <c r="DI100" s="18"/>
      <c r="DJ100" s="12"/>
      <c r="DK100" s="11"/>
      <c r="DL100" s="11"/>
      <c r="DX100" s="18"/>
      <c r="DY100" s="12"/>
      <c r="DZ100" s="11"/>
      <c r="EA100" s="11"/>
      <c r="EE100" s="12" t="e">
        <f t="shared" si="325"/>
        <v>#N/A</v>
      </c>
      <c r="EF100" s="12" t="e">
        <f t="shared" si="326"/>
        <v>#N/A</v>
      </c>
      <c r="EG100" s="11" t="e">
        <f t="shared" si="327"/>
        <v>#N/A</v>
      </c>
      <c r="EH100" s="11" t="e">
        <f t="shared" si="328"/>
        <v>#N/A</v>
      </c>
      <c r="ET100" s="12"/>
      <c r="EU100" s="12"/>
      <c r="EV100" s="11"/>
      <c r="EW100" s="11"/>
      <c r="FI100" s="12"/>
      <c r="FJ100" s="12"/>
      <c r="FK100" s="11"/>
      <c r="FL100" s="11"/>
      <c r="FP100" s="12" t="str">
        <f t="shared" si="329"/>
        <v>FY19</v>
      </c>
      <c r="FQ100" s="12">
        <f t="shared" si="330"/>
        <v>43643</v>
      </c>
      <c r="FR100" s="11">
        <f t="shared" si="331"/>
        <v>37.957462714276872</v>
      </c>
      <c r="FS100" s="11">
        <f t="shared" si="332"/>
        <v>40</v>
      </c>
      <c r="FX100" s="16"/>
      <c r="FY100" s="15"/>
      <c r="GF100" s="12"/>
      <c r="GG100" s="12"/>
      <c r="GH100" s="11"/>
      <c r="GI100" s="11"/>
      <c r="GM100" s="12" t="str">
        <f t="shared" si="333"/>
        <v>FY20</v>
      </c>
      <c r="GN100" s="12">
        <f t="shared" si="334"/>
        <v>44007</v>
      </c>
      <c r="GO100" s="11">
        <f t="shared" si="335"/>
        <v>48.173921070234115</v>
      </c>
      <c r="GP100" s="11">
        <f t="shared" si="336"/>
        <v>30</v>
      </c>
      <c r="GU100" s="16"/>
      <c r="GV100" s="14"/>
      <c r="GW100" s="15"/>
      <c r="HB100" s="12"/>
      <c r="HC100" s="12"/>
      <c r="HD100" s="11"/>
      <c r="HE100" s="11"/>
      <c r="HJ100" s="16"/>
      <c r="HK100" s="15"/>
      <c r="HL100" s="14"/>
      <c r="HQ100" s="12"/>
      <c r="HR100" s="12"/>
      <c r="HS100" s="11"/>
      <c r="HT100" s="11"/>
      <c r="HX100" s="12" t="str">
        <f t="shared" si="337"/>
        <v>FY22</v>
      </c>
      <c r="HY100" s="12">
        <f t="shared" si="338"/>
        <v>44735</v>
      </c>
      <c r="HZ100" s="11">
        <f t="shared" si="339"/>
        <v>57.463937245363326</v>
      </c>
      <c r="IA100" s="11">
        <f t="shared" si="340"/>
        <v>40</v>
      </c>
      <c r="IM100" s="12" t="str">
        <f t="shared" si="353"/>
        <v>FY23</v>
      </c>
      <c r="IN100" s="12">
        <f t="shared" si="354"/>
        <v>44980</v>
      </c>
      <c r="IO100" s="11">
        <f t="shared" si="355"/>
        <v>43.788940346609913</v>
      </c>
      <c r="IP100" s="11">
        <f t="shared" si="356"/>
        <v>20</v>
      </c>
      <c r="IT100" s="12" t="str">
        <f t="shared" si="347"/>
        <v>FY23</v>
      </c>
      <c r="IU100" s="12">
        <f t="shared" si="348"/>
        <v>44826</v>
      </c>
      <c r="IV100" s="11">
        <f t="shared" si="349"/>
        <v>22.65982973548191</v>
      </c>
      <c r="IW100" s="11">
        <f t="shared" si="350"/>
        <v>8</v>
      </c>
      <c r="JI100" s="12" t="str">
        <f t="shared" si="275"/>
        <v>FY24</v>
      </c>
      <c r="JJ100" s="12">
        <f t="shared" si="276"/>
        <v>45344</v>
      </c>
      <c r="JK100" s="11">
        <f t="shared" si="277"/>
        <v>20.955573934837091</v>
      </c>
      <c r="JL100" s="11">
        <f t="shared" si="278"/>
        <v>4</v>
      </c>
      <c r="JP100" s="12" t="e">
        <f t="shared" si="341"/>
        <v>#N/A</v>
      </c>
      <c r="JQ100" s="12">
        <f t="shared" si="342"/>
        <v>45218</v>
      </c>
      <c r="JR100" s="11">
        <f t="shared" si="343"/>
        <v>28.337262286150157</v>
      </c>
      <c r="JS100" s="11">
        <f t="shared" si="344"/>
        <v>12</v>
      </c>
      <c r="NG100" s="12"/>
      <c r="NH100" s="12"/>
      <c r="NI100" s="11"/>
      <c r="NJ100" s="11"/>
      <c r="NV100" s="12"/>
      <c r="NW100" s="12"/>
      <c r="NX100" s="11"/>
      <c r="NY100" s="11"/>
      <c r="OB100" s="1"/>
    </row>
    <row r="101" spans="13:392" x14ac:dyDescent="0.2">
      <c r="M101" s="5" t="str" cm="1">
        <f t="array" ref="M101">LOOKUP(2,1/($G$19:$G$35&lt;=$V101)/($H$19:$H$35&gt;=$V101),$F$19:$F$35)</f>
        <v>1H19</v>
      </c>
      <c r="N101" s="5" t="str" cm="1">
        <f t="array" ref="N101">LOOKUP(2,1/($G$8:$G$16&lt;=$V101)/($H$8:$H$16&gt;=$V101),$F$8:$F$16)</f>
        <v>FY19</v>
      </c>
      <c r="O101" s="5" t="str">
        <f>IFERROR(N101&amp;"-"&amp;COUNTIF($N$5:N101,N101),NA())</f>
        <v>FY19-19</v>
      </c>
      <c r="P101" s="5">
        <f>COUNTIF(V$5:V101,"&gt;="&amp;MAX($V:$V)-183)</f>
        <v>0</v>
      </c>
      <c r="Q101" s="5">
        <f>COUNTIF(V$5:V101,"&gt;="&amp;MAX($V:$V)-365)</f>
        <v>0</v>
      </c>
      <c r="R101" s="5" cm="1">
        <f t="array" ref="R101">LOOKUP(2,1/($G$46:$G$50&lt;=$V101)/($H$46:$H$50&gt;=$V101),$F$46:$F$50)</f>
        <v>0</v>
      </c>
      <c r="S101" s="5" cm="1">
        <f t="array" ref="S101">LOOKUP(2,1/($G$53:$G$56&lt;=$V101)/($H$53:$H$56&gt;=$V101),$F$53:$F$56)</f>
        <v>0</v>
      </c>
      <c r="T101" s="5" t="e">
        <f>IFERROR(IF($R101&gt;0,$R101&amp;"-"&amp;COUNTIF($R$5:$R101,$R101),NA()),NA())</f>
        <v>#N/A</v>
      </c>
      <c r="U101" s="5" t="e">
        <f>IFERROR(IF($S101&gt;0,$S101&amp;"-"&amp;COUNTIF($S$5:$S101,$S101),NA()),NA())</f>
        <v>#N/A</v>
      </c>
      <c r="V101" s="10">
        <v>43412</v>
      </c>
      <c r="W101" s="9">
        <v>70047528.035600752</v>
      </c>
      <c r="X101" s="9">
        <v>84218142.957202792</v>
      </c>
      <c r="Y101" s="8">
        <v>60000000</v>
      </c>
      <c r="AI101" s="18"/>
      <c r="AJ101" s="12"/>
      <c r="AK101" s="11"/>
      <c r="AL101" s="11"/>
      <c r="AP101" s="18" t="e">
        <f t="shared" si="321"/>
        <v>#N/A</v>
      </c>
      <c r="AQ101" s="12" t="e">
        <f t="shared" si="322"/>
        <v>#N/A</v>
      </c>
      <c r="AR101" s="11" t="e">
        <f t="shared" si="323"/>
        <v>#N/A</v>
      </c>
      <c r="AS101" s="11" t="e">
        <f t="shared" si="324"/>
        <v>#N/A</v>
      </c>
      <c r="BI101" s="18"/>
      <c r="BJ101" s="12"/>
      <c r="BK101" s="11"/>
      <c r="BL101" s="11"/>
      <c r="BP101" s="111">
        <v>40</v>
      </c>
      <c r="BQ101" s="39">
        <f t="shared" si="351"/>
        <v>60013999.999999993</v>
      </c>
      <c r="BR101" s="110">
        <v>0</v>
      </c>
      <c r="BS101" s="39">
        <f t="shared" si="352"/>
        <v>60013999.999999993</v>
      </c>
      <c r="CE101" s="18"/>
      <c r="CF101" s="12"/>
      <c r="CG101" s="11"/>
      <c r="CH101" s="11"/>
      <c r="CT101" s="18"/>
      <c r="CU101" s="12"/>
      <c r="CV101" s="11"/>
      <c r="CW101" s="11"/>
      <c r="DI101" s="18"/>
      <c r="DJ101" s="12"/>
      <c r="DK101" s="11"/>
      <c r="DL101" s="11"/>
      <c r="DX101" s="18"/>
      <c r="DY101" s="12"/>
      <c r="DZ101" s="11"/>
      <c r="EA101" s="11"/>
      <c r="EE101" s="12" t="e">
        <f t="shared" si="325"/>
        <v>#N/A</v>
      </c>
      <c r="EF101" s="12" t="e">
        <f t="shared" si="326"/>
        <v>#N/A</v>
      </c>
      <c r="EG101" s="11" t="e">
        <f t="shared" si="327"/>
        <v>#N/A</v>
      </c>
      <c r="EH101" s="11" t="e">
        <f t="shared" si="328"/>
        <v>#N/A</v>
      </c>
      <c r="ET101" s="12"/>
      <c r="EU101" s="12"/>
      <c r="EV101" s="11"/>
      <c r="EW101" s="11"/>
      <c r="FI101" s="12"/>
      <c r="FJ101" s="12"/>
      <c r="FK101" s="11"/>
      <c r="FL101" s="11"/>
      <c r="FP101" s="12" t="e">
        <f t="shared" si="329"/>
        <v>#N/A</v>
      </c>
      <c r="FQ101" s="12" t="e">
        <f t="shared" si="330"/>
        <v>#N/A</v>
      </c>
      <c r="FR101" s="11" t="e">
        <f t="shared" si="331"/>
        <v>#N/A</v>
      </c>
      <c r="FS101" s="11" t="e">
        <f t="shared" si="332"/>
        <v>#N/A</v>
      </c>
      <c r="FX101" s="16"/>
      <c r="FY101" s="15"/>
      <c r="GF101" s="12"/>
      <c r="GG101" s="12"/>
      <c r="GH101" s="11"/>
      <c r="GI101" s="11"/>
      <c r="GM101" s="12" t="e">
        <f t="shared" si="333"/>
        <v>#N/A</v>
      </c>
      <c r="GN101" s="12" t="e">
        <f t="shared" si="334"/>
        <v>#N/A</v>
      </c>
      <c r="GO101" s="11" t="e">
        <f t="shared" si="335"/>
        <v>#N/A</v>
      </c>
      <c r="GP101" s="11" t="e">
        <f t="shared" si="336"/>
        <v>#N/A</v>
      </c>
      <c r="GU101" s="16"/>
      <c r="GV101" s="14"/>
      <c r="GW101" s="15"/>
      <c r="HB101" s="12"/>
      <c r="HC101" s="12"/>
      <c r="HD101" s="11"/>
      <c r="HE101" s="11"/>
      <c r="HJ101" s="16"/>
      <c r="HK101" s="15"/>
      <c r="HL101" s="14"/>
      <c r="HQ101" s="12"/>
      <c r="HR101" s="12"/>
      <c r="HS101" s="11"/>
      <c r="HT101" s="11"/>
      <c r="HX101" s="12" t="str">
        <f t="shared" si="337"/>
        <v>FY22</v>
      </c>
      <c r="HY101" s="12">
        <f t="shared" si="338"/>
        <v>44742</v>
      </c>
      <c r="HZ101" s="11">
        <f t="shared" si="339"/>
        <v>77.836461903314074</v>
      </c>
      <c r="IA101" s="11">
        <f t="shared" si="340"/>
        <v>60</v>
      </c>
      <c r="IM101" s="12" t="str">
        <f t="shared" si="353"/>
        <v>FY23</v>
      </c>
      <c r="IN101" s="12">
        <f t="shared" si="354"/>
        <v>44987</v>
      </c>
      <c r="IO101" s="11">
        <f t="shared" si="355"/>
        <v>60.656023107327449</v>
      </c>
      <c r="IP101" s="11">
        <f t="shared" si="356"/>
        <v>40</v>
      </c>
      <c r="IT101" s="12" t="str">
        <f t="shared" si="347"/>
        <v>FY23</v>
      </c>
      <c r="IU101" s="12">
        <f t="shared" si="348"/>
        <v>44833</v>
      </c>
      <c r="IV101" s="11">
        <f t="shared" si="349"/>
        <v>35.905405655214345</v>
      </c>
      <c r="IW101" s="11">
        <f t="shared" si="350"/>
        <v>20</v>
      </c>
      <c r="JI101" s="12" t="str">
        <f t="shared" si="275"/>
        <v>FY24</v>
      </c>
      <c r="JJ101" s="12">
        <f t="shared" si="276"/>
        <v>45351</v>
      </c>
      <c r="JK101" s="11">
        <f t="shared" si="277"/>
        <v>33.186050670153648</v>
      </c>
      <c r="JL101" s="11">
        <f t="shared" si="278"/>
        <v>12</v>
      </c>
      <c r="JP101" s="12" t="e">
        <f t="shared" si="341"/>
        <v>#N/A</v>
      </c>
      <c r="JQ101" s="12">
        <f t="shared" si="342"/>
        <v>45225</v>
      </c>
      <c r="JR101" s="11">
        <f t="shared" si="343"/>
        <v>41.102714394682366</v>
      </c>
      <c r="JS101" s="11">
        <f t="shared" si="344"/>
        <v>20</v>
      </c>
      <c r="NG101" s="12"/>
      <c r="NH101" s="12"/>
      <c r="NI101" s="11"/>
      <c r="NJ101" s="11"/>
      <c r="NV101" s="12"/>
      <c r="NW101" s="12"/>
      <c r="NX101" s="11"/>
      <c r="NY101" s="11"/>
      <c r="OB101" s="1"/>
    </row>
    <row r="102" spans="13:392" x14ac:dyDescent="0.2">
      <c r="M102" s="5" t="str" cm="1">
        <f t="array" ref="M102">LOOKUP(2,1/($G$19:$G$35&lt;=$V102)/($H$19:$H$35&gt;=$V102),$F$19:$F$35)</f>
        <v>1H19</v>
      </c>
      <c r="N102" s="5" t="str" cm="1">
        <f t="array" ref="N102">LOOKUP(2,1/($G$8:$G$16&lt;=$V102)/($H$8:$H$16&gt;=$V102),$F$8:$F$16)</f>
        <v>FY19</v>
      </c>
      <c r="O102" s="5" t="str">
        <f>IFERROR(N102&amp;"-"&amp;COUNTIF($N$5:N102,N102),NA())</f>
        <v>FY19-20</v>
      </c>
      <c r="P102" s="5">
        <f>COUNTIF(V$5:V102,"&gt;="&amp;MAX($V:$V)-183)</f>
        <v>0</v>
      </c>
      <c r="Q102" s="5">
        <f>COUNTIF(V$5:V102,"&gt;="&amp;MAX($V:$V)-365)</f>
        <v>0</v>
      </c>
      <c r="R102" s="5" cm="1">
        <f t="array" ref="R102">LOOKUP(2,1/($G$46:$G$50&lt;=$V102)/($H$46:$H$50&gt;=$V102),$F$46:$F$50)</f>
        <v>0</v>
      </c>
      <c r="S102" s="5" cm="1">
        <f t="array" ref="S102">LOOKUP(2,1/($G$53:$G$56&lt;=$V102)/($H$53:$H$56&gt;=$V102),$F$53:$F$56)</f>
        <v>0</v>
      </c>
      <c r="T102" s="5" t="e">
        <f>IFERROR(IF($R102&gt;0,$R102&amp;"-"&amp;COUNTIF($R$5:$R102,$R102),NA()),NA())</f>
        <v>#N/A</v>
      </c>
      <c r="U102" s="5" t="e">
        <f>IFERROR(IF($S102&gt;0,$S102&amp;"-"&amp;COUNTIF($S$5:$S102,$S102),NA()),NA())</f>
        <v>#N/A</v>
      </c>
      <c r="V102" s="10">
        <v>43419</v>
      </c>
      <c r="W102" s="9">
        <v>13689841.958041953</v>
      </c>
      <c r="X102" s="9">
        <v>16459296.986153843</v>
      </c>
      <c r="Y102" s="8">
        <v>3000000</v>
      </c>
      <c r="AK102" s="11"/>
      <c r="AL102" s="11"/>
      <c r="AP102" s="12"/>
      <c r="AQ102" s="12"/>
      <c r="AR102" s="11"/>
      <c r="AS102" s="11"/>
      <c r="BK102" s="11"/>
      <c r="BL102" s="11"/>
      <c r="BP102" s="111">
        <v>60</v>
      </c>
      <c r="BQ102" s="39">
        <f t="shared" si="351"/>
        <v>81738000</v>
      </c>
      <c r="BR102" s="110">
        <v>0</v>
      </c>
      <c r="BS102" s="39">
        <f t="shared" si="352"/>
        <v>81738000</v>
      </c>
      <c r="CG102" s="11"/>
      <c r="CH102" s="11"/>
      <c r="CV102" s="11"/>
      <c r="CW102" s="11"/>
      <c r="DK102" s="11"/>
      <c r="DL102" s="11"/>
      <c r="DZ102" s="11"/>
      <c r="EA102" s="11"/>
      <c r="EE102" s="12"/>
      <c r="EF102" s="12"/>
      <c r="EG102" s="11"/>
      <c r="EH102" s="11"/>
      <c r="ET102" s="12"/>
      <c r="EU102" s="12"/>
      <c r="EV102" s="11"/>
      <c r="EW102" s="11"/>
      <c r="FK102" s="11"/>
      <c r="FL102" s="11"/>
      <c r="FP102" s="12"/>
      <c r="FQ102" s="12"/>
      <c r="FR102" s="11"/>
      <c r="FS102" s="11"/>
      <c r="FX102" s="16"/>
      <c r="FY102" s="15"/>
      <c r="GF102" s="12"/>
      <c r="GG102" s="12"/>
      <c r="GH102" s="11"/>
      <c r="GI102" s="11"/>
      <c r="GM102" s="12"/>
      <c r="GN102" s="12"/>
      <c r="GO102" s="11"/>
      <c r="GP102" s="11"/>
      <c r="GU102" s="16"/>
      <c r="GV102" s="14"/>
      <c r="GW102" s="15"/>
      <c r="HB102" s="12"/>
      <c r="HC102" s="12"/>
      <c r="HD102" s="11"/>
      <c r="HE102" s="11"/>
      <c r="HJ102" s="16"/>
      <c r="HK102" s="15"/>
      <c r="HL102" s="14"/>
      <c r="HQ102" s="12"/>
      <c r="HR102" s="12"/>
      <c r="HS102" s="11"/>
      <c r="HT102" s="11"/>
      <c r="HX102" s="12"/>
      <c r="HY102" s="12"/>
      <c r="HZ102" s="11"/>
      <c r="IA102" s="11"/>
      <c r="IM102" s="12" t="str">
        <f t="shared" si="353"/>
        <v>FY23</v>
      </c>
      <c r="IN102" s="12">
        <f t="shared" si="354"/>
        <v>44994</v>
      </c>
      <c r="IO102" s="11">
        <f t="shared" si="355"/>
        <v>20.922155062328976</v>
      </c>
      <c r="IP102" s="11">
        <f t="shared" si="356"/>
        <v>4</v>
      </c>
      <c r="IT102" s="12" t="str">
        <f t="shared" si="347"/>
        <v>FY23</v>
      </c>
      <c r="IU102" s="12">
        <f t="shared" si="348"/>
        <v>44840</v>
      </c>
      <c r="IV102" s="11">
        <f t="shared" si="349"/>
        <v>47.423181270903001</v>
      </c>
      <c r="IW102" s="11">
        <f t="shared" si="350"/>
        <v>30</v>
      </c>
      <c r="JI102" s="12" t="str">
        <f t="shared" si="275"/>
        <v>FY24</v>
      </c>
      <c r="JJ102" s="12">
        <f t="shared" si="276"/>
        <v>45358</v>
      </c>
      <c r="JK102" s="11">
        <f t="shared" si="277"/>
        <v>40.790859104282447</v>
      </c>
      <c r="JL102" s="11">
        <f t="shared" si="278"/>
        <v>20</v>
      </c>
      <c r="JP102" s="12" t="str">
        <f t="shared" si="341"/>
        <v>FY24</v>
      </c>
      <c r="JQ102" s="12">
        <f t="shared" si="342"/>
        <v>45232</v>
      </c>
      <c r="JR102" s="11">
        <f t="shared" si="343"/>
        <v>58.296434782608699</v>
      </c>
      <c r="JS102" s="11">
        <f t="shared" si="344"/>
        <v>40</v>
      </c>
      <c r="NG102" s="12"/>
      <c r="NH102" s="12"/>
      <c r="NI102" s="11"/>
      <c r="NJ102" s="11"/>
      <c r="NV102" s="12"/>
      <c r="NW102" s="12"/>
      <c r="NX102" s="11"/>
      <c r="NY102" s="11"/>
      <c r="OB102" s="1"/>
    </row>
    <row r="103" spans="13:392" x14ac:dyDescent="0.2">
      <c r="M103" s="5" t="str" cm="1">
        <f t="array" ref="M103">LOOKUP(2,1/($G$19:$G$35&lt;=$V103)/($H$19:$H$35&gt;=$V103),$F$19:$F$35)</f>
        <v>1H19</v>
      </c>
      <c r="N103" s="5" t="str" cm="1">
        <f t="array" ref="N103">LOOKUP(2,1/($G$8:$G$16&lt;=$V103)/($H$8:$H$16&gt;=$V103),$F$8:$F$16)</f>
        <v>FY19</v>
      </c>
      <c r="O103" s="5" t="str">
        <f>IFERROR(N103&amp;"-"&amp;COUNTIF($N$5:N103,N103),NA())</f>
        <v>FY19-21</v>
      </c>
      <c r="P103" s="5">
        <f>COUNTIF(V$5:V103,"&gt;="&amp;MAX($V:$V)-183)</f>
        <v>0</v>
      </c>
      <c r="Q103" s="5">
        <f>COUNTIF(V$5:V103,"&gt;="&amp;MAX($V:$V)-365)</f>
        <v>0</v>
      </c>
      <c r="R103" s="5" cm="1">
        <f t="array" ref="R103">LOOKUP(2,1/($G$46:$G$50&lt;=$V103)/($H$46:$H$50&gt;=$V103),$F$46:$F$50)</f>
        <v>0</v>
      </c>
      <c r="S103" s="5" cm="1">
        <f t="array" ref="S103">LOOKUP(2,1/($G$53:$G$56&lt;=$V103)/($H$53:$H$56&gt;=$V103),$F$53:$F$56)</f>
        <v>0</v>
      </c>
      <c r="T103" s="5" t="e">
        <f>IFERROR(IF($R103&gt;0,$R103&amp;"-"&amp;COUNTIF($R$5:$R103,$R103),NA()),NA())</f>
        <v>#N/A</v>
      </c>
      <c r="U103" s="5" t="e">
        <f>IFERROR(IF($S103&gt;0,$S103&amp;"-"&amp;COUNTIF($S$5:$S103,$S103),NA()),NA())</f>
        <v>#N/A</v>
      </c>
      <c r="V103" s="10">
        <v>43426</v>
      </c>
      <c r="W103" s="9">
        <v>13612641.449459627</v>
      </c>
      <c r="X103" s="9">
        <v>16366478.814685311</v>
      </c>
      <c r="Y103" s="8">
        <v>3000000</v>
      </c>
      <c r="AK103" s="11"/>
      <c r="AL103" s="11"/>
      <c r="AP103" s="12"/>
      <c r="AQ103" s="12"/>
      <c r="AR103" s="11"/>
      <c r="AS103" s="11"/>
      <c r="BK103" s="11"/>
      <c r="BL103" s="11"/>
      <c r="BP103" s="111">
        <v>100</v>
      </c>
      <c r="BQ103" s="39">
        <f t="shared" si="351"/>
        <v>125186000</v>
      </c>
      <c r="BR103" s="110">
        <v>0.25</v>
      </c>
      <c r="BS103" s="39">
        <f t="shared" si="352"/>
        <v>156482500</v>
      </c>
      <c r="CG103" s="11"/>
      <c r="CH103" s="11"/>
      <c r="CV103" s="11"/>
      <c r="CW103" s="11"/>
      <c r="DK103" s="11"/>
      <c r="DL103" s="11"/>
      <c r="DZ103" s="11"/>
      <c r="EA103" s="11"/>
      <c r="EE103" s="12"/>
      <c r="EF103" s="12"/>
      <c r="EG103" s="11"/>
      <c r="EH103" s="11"/>
      <c r="ET103" s="12"/>
      <c r="EU103" s="12"/>
      <c r="EV103" s="11"/>
      <c r="EW103" s="11"/>
      <c r="FK103" s="11"/>
      <c r="FL103" s="11"/>
      <c r="FP103" s="12"/>
      <c r="FQ103" s="12"/>
      <c r="FR103" s="11"/>
      <c r="FS103" s="11"/>
      <c r="FX103" s="16"/>
      <c r="FY103" s="15"/>
      <c r="GF103" s="12"/>
      <c r="GG103" s="12"/>
      <c r="GH103" s="11"/>
      <c r="GI103" s="11"/>
      <c r="GM103" s="12"/>
      <c r="GN103" s="12"/>
      <c r="GO103" s="11"/>
      <c r="GP103" s="11"/>
      <c r="GU103" s="16"/>
      <c r="GV103" s="14"/>
      <c r="GW103" s="15"/>
      <c r="HB103" s="12"/>
      <c r="HC103" s="12"/>
      <c r="HD103" s="11"/>
      <c r="HE103" s="11"/>
      <c r="HJ103" s="16"/>
      <c r="HK103" s="15"/>
      <c r="HL103" s="14"/>
      <c r="HQ103" s="12"/>
      <c r="HR103" s="12"/>
      <c r="HS103" s="11"/>
      <c r="HT103" s="11"/>
      <c r="HX103" s="12"/>
      <c r="HY103" s="12"/>
      <c r="HZ103" s="11"/>
      <c r="IA103" s="11"/>
      <c r="IM103" s="12" t="str">
        <f t="shared" si="353"/>
        <v>FY23</v>
      </c>
      <c r="IN103" s="12">
        <f t="shared" si="354"/>
        <v>45001</v>
      </c>
      <c r="IO103" s="11">
        <f t="shared" si="355"/>
        <v>22.050697598054121</v>
      </c>
      <c r="IP103" s="11">
        <f t="shared" si="356"/>
        <v>4</v>
      </c>
      <c r="IT103" s="12" t="str">
        <f t="shared" si="347"/>
        <v>FY23</v>
      </c>
      <c r="IU103" s="12">
        <f t="shared" si="348"/>
        <v>44847</v>
      </c>
      <c r="IV103" s="11">
        <f t="shared" si="349"/>
        <v>77.692655761629666</v>
      </c>
      <c r="IW103" s="11">
        <f t="shared" si="350"/>
        <v>50</v>
      </c>
      <c r="JI103" s="12" t="str">
        <f t="shared" si="275"/>
        <v>FY24</v>
      </c>
      <c r="JJ103" s="12">
        <f t="shared" si="276"/>
        <v>45365</v>
      </c>
      <c r="JK103" s="11">
        <f t="shared" si="277"/>
        <v>52.908046965239187</v>
      </c>
      <c r="JL103" s="11">
        <f t="shared" si="278"/>
        <v>40</v>
      </c>
      <c r="JP103" s="12" t="str">
        <f t="shared" si="341"/>
        <v>FY24</v>
      </c>
      <c r="JQ103" s="12">
        <f t="shared" si="342"/>
        <v>45239</v>
      </c>
      <c r="JR103" s="11">
        <f t="shared" si="343"/>
        <v>24.487517271439469</v>
      </c>
      <c r="JS103" s="11">
        <f t="shared" si="344"/>
        <v>8</v>
      </c>
      <c r="NG103" s="12"/>
      <c r="NH103" s="12"/>
      <c r="NI103" s="11"/>
      <c r="NJ103" s="11"/>
      <c r="NV103" s="12"/>
      <c r="NW103" s="12"/>
      <c r="NX103" s="11"/>
      <c r="NY103" s="11"/>
      <c r="OB103" s="1"/>
    </row>
    <row r="104" spans="13:392" x14ac:dyDescent="0.2">
      <c r="M104" s="5" t="str" cm="1">
        <f t="array" ref="M104">LOOKUP(2,1/($G$19:$G$35&lt;=$V104)/($H$19:$H$35&gt;=$V104),$F$19:$F$35)</f>
        <v>1H19</v>
      </c>
      <c r="N104" s="5" t="str" cm="1">
        <f t="array" ref="N104">LOOKUP(2,1/($G$8:$G$16&lt;=$V104)/($H$8:$H$16&gt;=$V104),$F$8:$F$16)</f>
        <v>FY19</v>
      </c>
      <c r="O104" s="5" t="str">
        <f>IFERROR(N104&amp;"-"&amp;COUNTIF($N$5:N104,N104),NA())</f>
        <v>FY19-22</v>
      </c>
      <c r="P104" s="5">
        <f>COUNTIF(V$5:V104,"&gt;="&amp;MAX($V:$V)-183)</f>
        <v>0</v>
      </c>
      <c r="Q104" s="5">
        <f>COUNTIF(V$5:V104,"&gt;="&amp;MAX($V:$V)-365)</f>
        <v>0</v>
      </c>
      <c r="R104" s="5" cm="1">
        <f t="array" ref="R104">LOOKUP(2,1/($G$46:$G$50&lt;=$V104)/($H$46:$H$50&gt;=$V104),$F$46:$F$50)</f>
        <v>0</v>
      </c>
      <c r="S104" s="5" cm="1">
        <f t="array" ref="S104">LOOKUP(2,1/($G$53:$G$56&lt;=$V104)/($H$53:$H$56&gt;=$V104),$F$53:$F$56)</f>
        <v>0</v>
      </c>
      <c r="T104" s="5" t="e">
        <f>IFERROR(IF($R104&gt;0,$R104&amp;"-"&amp;COUNTIF($R$5:$R104,$R104),NA()),NA())</f>
        <v>#N/A</v>
      </c>
      <c r="U104" s="5" t="e">
        <f>IFERROR(IF($S104&gt;0,$S104&amp;"-"&amp;COUNTIF($S$5:$S104,$S104),NA()),NA())</f>
        <v>#N/A</v>
      </c>
      <c r="V104" s="10">
        <v>43433</v>
      </c>
      <c r="W104" s="9">
        <v>19569770.120788299</v>
      </c>
      <c r="X104" s="9">
        <v>23528734.616223775</v>
      </c>
      <c r="Y104" s="8">
        <v>8000000</v>
      </c>
      <c r="AI104" s="12"/>
      <c r="AJ104" s="12"/>
      <c r="AK104" s="11"/>
      <c r="AL104" s="11"/>
      <c r="AP104" s="12"/>
      <c r="AQ104" s="12"/>
      <c r="AR104" s="11"/>
      <c r="AS104" s="11"/>
      <c r="BI104" s="12"/>
      <c r="BJ104" s="12"/>
      <c r="BK104" s="11"/>
      <c r="BL104" s="11"/>
      <c r="BP104" s="111">
        <v>160</v>
      </c>
      <c r="BQ104" s="39">
        <f t="shared" si="351"/>
        <v>190358000</v>
      </c>
      <c r="BR104" s="110">
        <v>0.25</v>
      </c>
      <c r="BS104" s="39">
        <f t="shared" si="352"/>
        <v>237947500</v>
      </c>
      <c r="CE104" s="12"/>
      <c r="CF104" s="12"/>
      <c r="CG104" s="11"/>
      <c r="CH104" s="11"/>
      <c r="CT104" s="12"/>
      <c r="CU104" s="12"/>
      <c r="CV104" s="11"/>
      <c r="CW104" s="11"/>
      <c r="DI104" s="12"/>
      <c r="DJ104" s="12"/>
      <c r="DK104" s="11"/>
      <c r="DL104" s="11"/>
      <c r="DX104" s="12"/>
      <c r="DY104" s="12"/>
      <c r="DZ104" s="11"/>
      <c r="EA104" s="11"/>
      <c r="EE104" s="12"/>
      <c r="EF104" s="12"/>
      <c r="EG104" s="11"/>
      <c r="EH104" s="11"/>
      <c r="ET104" s="12"/>
      <c r="EU104" s="12"/>
      <c r="EV104" s="11"/>
      <c r="EW104" s="11"/>
      <c r="FI104" s="12"/>
      <c r="FJ104" s="12"/>
      <c r="FK104" s="11"/>
      <c r="FL104" s="11"/>
      <c r="FP104" s="12"/>
      <c r="FQ104" s="12"/>
      <c r="FR104" s="11"/>
      <c r="FS104" s="11"/>
      <c r="FX104" s="16"/>
      <c r="FY104" s="15"/>
      <c r="GF104" s="12"/>
      <c r="GG104" s="12"/>
      <c r="GH104" s="11"/>
      <c r="GI104" s="11"/>
      <c r="GM104" s="12"/>
      <c r="GN104" s="12"/>
      <c r="GO104" s="11"/>
      <c r="GP104" s="11"/>
      <c r="GU104" s="16"/>
      <c r="GV104" s="14"/>
      <c r="GW104" s="15"/>
      <c r="HB104" s="12"/>
      <c r="HC104" s="12"/>
      <c r="HD104" s="11"/>
      <c r="HE104" s="11"/>
      <c r="HJ104" s="16"/>
      <c r="HK104" s="15"/>
      <c r="HL104" s="14"/>
      <c r="HQ104" s="12"/>
      <c r="HR104" s="12"/>
      <c r="HS104" s="11"/>
      <c r="HT104" s="11"/>
      <c r="HX104" s="12"/>
      <c r="HY104" s="12"/>
      <c r="HZ104" s="11"/>
      <c r="IA104" s="11"/>
      <c r="IM104" s="12" t="str">
        <f t="shared" si="353"/>
        <v>FY23</v>
      </c>
      <c r="IN104" s="12">
        <f t="shared" si="354"/>
        <v>45008</v>
      </c>
      <c r="IO104" s="11">
        <f t="shared" si="355"/>
        <v>25.902576588628762</v>
      </c>
      <c r="IP104" s="11">
        <f t="shared" si="356"/>
        <v>8</v>
      </c>
      <c r="IT104" s="12" t="e">
        <f t="shared" si="347"/>
        <v>#N/A</v>
      </c>
      <c r="IU104" s="12" t="e">
        <f t="shared" si="348"/>
        <v>#N/A</v>
      </c>
      <c r="IV104" s="11" t="e">
        <f t="shared" si="349"/>
        <v>#N/A</v>
      </c>
      <c r="IW104" s="11" t="e">
        <f t="shared" si="350"/>
        <v>#N/A</v>
      </c>
      <c r="JI104" s="12" t="str">
        <f t="shared" si="275"/>
        <v>FY24</v>
      </c>
      <c r="JJ104" s="12">
        <f t="shared" si="276"/>
        <v>45372</v>
      </c>
      <c r="JK104" s="11">
        <f t="shared" si="277"/>
        <v>19.7636487959028</v>
      </c>
      <c r="JL104" s="11">
        <f t="shared" si="278"/>
        <v>4</v>
      </c>
      <c r="JP104" s="12" t="str">
        <f t="shared" si="341"/>
        <v>FY24</v>
      </c>
      <c r="JQ104" s="12">
        <f t="shared" si="342"/>
        <v>45246</v>
      </c>
      <c r="JR104" s="11">
        <f t="shared" si="343"/>
        <v>25.126546256946718</v>
      </c>
      <c r="JS104" s="11">
        <f t="shared" si="344"/>
        <v>8</v>
      </c>
      <c r="NG104" s="12"/>
      <c r="NH104" s="12"/>
      <c r="NI104" s="11"/>
      <c r="NJ104" s="11"/>
      <c r="NV104" s="12"/>
      <c r="NW104" s="12"/>
      <c r="NX104" s="11"/>
      <c r="NY104" s="11"/>
      <c r="OB104" s="1"/>
    </row>
    <row r="105" spans="13:392" x14ac:dyDescent="0.2">
      <c r="M105" s="5" t="str" cm="1">
        <f t="array" ref="M105">LOOKUP(2,1/($G$19:$G$35&lt;=$V105)/($H$19:$H$35&gt;=$V105),$F$19:$F$35)</f>
        <v>1H19</v>
      </c>
      <c r="N105" s="5" t="str" cm="1">
        <f t="array" ref="N105">LOOKUP(2,1/($G$8:$G$16&lt;=$V105)/($H$8:$H$16&gt;=$V105),$F$8:$F$16)</f>
        <v>FY19</v>
      </c>
      <c r="O105" s="5" t="str">
        <f>IFERROR(N105&amp;"-"&amp;COUNTIF($N$5:N105,N105),NA())</f>
        <v>FY19-23</v>
      </c>
      <c r="P105" s="5">
        <f>COUNTIF(V$5:V105,"&gt;="&amp;MAX($V:$V)-183)</f>
        <v>0</v>
      </c>
      <c r="Q105" s="5">
        <f>COUNTIF(V$5:V105,"&gt;="&amp;MAX($V:$V)-365)</f>
        <v>0</v>
      </c>
      <c r="R105" s="5" cm="1">
        <f t="array" ref="R105">LOOKUP(2,1/($G$46:$G$50&lt;=$V105)/($H$46:$H$50&gt;=$V105),$F$46:$F$50)</f>
        <v>0</v>
      </c>
      <c r="S105" s="5" cm="1">
        <f t="array" ref="S105">LOOKUP(2,1/($G$53:$G$56&lt;=$V105)/($H$53:$H$56&gt;=$V105),$F$53:$F$56)</f>
        <v>0</v>
      </c>
      <c r="T105" s="5" t="e">
        <f>IFERROR(IF($R105&gt;0,$R105&amp;"-"&amp;COUNTIF($R$5:$R105,$R105),NA()),NA())</f>
        <v>#N/A</v>
      </c>
      <c r="U105" s="5" t="e">
        <f>IFERROR(IF($S105&gt;0,$S105&amp;"-"&amp;COUNTIF($S$5:$S105,$S105),NA()),NA())</f>
        <v>#N/A</v>
      </c>
      <c r="V105" s="10">
        <v>43440</v>
      </c>
      <c r="W105" s="9">
        <v>24628368.722186904</v>
      </c>
      <c r="X105" s="9">
        <v>29610687.714685317</v>
      </c>
      <c r="Y105" s="8">
        <v>12000000</v>
      </c>
      <c r="AI105" s="12"/>
      <c r="AJ105" s="12"/>
      <c r="AK105" s="11"/>
      <c r="AL105" s="11"/>
      <c r="AP105" s="12"/>
      <c r="AQ105" s="12"/>
      <c r="AR105" s="11"/>
      <c r="AS105" s="11"/>
      <c r="BI105" s="12"/>
      <c r="BJ105" s="12"/>
      <c r="BK105" s="11"/>
      <c r="BL105" s="11"/>
      <c r="BP105" s="111">
        <v>220</v>
      </c>
      <c r="BQ105" s="39">
        <f t="shared" si="351"/>
        <v>255530000</v>
      </c>
      <c r="BR105" s="110">
        <v>0.25</v>
      </c>
      <c r="BS105" s="39">
        <f t="shared" si="352"/>
        <v>319412500</v>
      </c>
      <c r="CE105" s="12"/>
      <c r="CF105" s="12"/>
      <c r="CG105" s="11"/>
      <c r="CH105" s="11"/>
      <c r="CT105" s="12"/>
      <c r="CU105" s="12"/>
      <c r="CV105" s="11"/>
      <c r="CW105" s="11"/>
      <c r="DI105" s="12"/>
      <c r="DJ105" s="12"/>
      <c r="DK105" s="11"/>
      <c r="DL105" s="11"/>
      <c r="DX105" s="12"/>
      <c r="DY105" s="12"/>
      <c r="DZ105" s="11"/>
      <c r="EA105" s="11"/>
      <c r="EE105" s="12"/>
      <c r="EF105" s="12"/>
      <c r="EG105" s="11"/>
      <c r="EH105" s="11"/>
      <c r="ET105" s="12"/>
      <c r="EU105" s="12"/>
      <c r="EV105" s="11"/>
      <c r="EW105" s="11"/>
      <c r="FI105" s="12"/>
      <c r="FJ105" s="12"/>
      <c r="FK105" s="11"/>
      <c r="FL105" s="11"/>
      <c r="FP105" s="12"/>
      <c r="FQ105" s="12"/>
      <c r="FR105" s="11"/>
      <c r="FS105" s="11"/>
      <c r="FX105" s="16"/>
      <c r="FY105" s="15"/>
      <c r="GF105" s="12"/>
      <c r="GG105" s="12"/>
      <c r="GH105" s="11"/>
      <c r="GI105" s="11"/>
      <c r="GM105" s="12"/>
      <c r="GN105" s="12"/>
      <c r="GO105" s="11"/>
      <c r="GP105" s="11"/>
      <c r="GU105" s="16"/>
      <c r="GV105" s="14"/>
      <c r="GW105" s="15"/>
      <c r="HB105" s="12"/>
      <c r="HC105" s="12"/>
      <c r="HD105" s="11"/>
      <c r="HE105" s="11"/>
      <c r="HJ105" s="16"/>
      <c r="HK105" s="15"/>
      <c r="HL105" s="14"/>
      <c r="HQ105" s="12"/>
      <c r="HR105" s="12"/>
      <c r="HS105" s="11"/>
      <c r="HT105" s="11"/>
      <c r="HX105" s="12"/>
      <c r="HY105" s="12"/>
      <c r="HZ105" s="11"/>
      <c r="IA105" s="11"/>
      <c r="IM105" s="12" t="str">
        <f t="shared" si="353"/>
        <v>FY23</v>
      </c>
      <c r="IN105" s="12">
        <f t="shared" si="354"/>
        <v>45015</v>
      </c>
      <c r="IO105" s="11">
        <f t="shared" si="355"/>
        <v>25.590152994831257</v>
      </c>
      <c r="IP105" s="11">
        <f t="shared" si="356"/>
        <v>8</v>
      </c>
      <c r="IT105" s="12" t="e">
        <f t="shared" si="347"/>
        <v>#N/A</v>
      </c>
      <c r="IU105" s="12" t="e">
        <f t="shared" si="348"/>
        <v>#N/A</v>
      </c>
      <c r="IV105" s="11" t="e">
        <f t="shared" si="349"/>
        <v>#N/A</v>
      </c>
      <c r="IW105" s="11" t="e">
        <f t="shared" si="350"/>
        <v>#N/A</v>
      </c>
      <c r="JI105" s="12" t="str">
        <f t="shared" si="275"/>
        <v>FY24</v>
      </c>
      <c r="JJ105" s="12">
        <f t="shared" si="276"/>
        <v>45379</v>
      </c>
      <c r="JK105" s="11">
        <f t="shared" si="277"/>
        <v>28.780959790781303</v>
      </c>
      <c r="JL105" s="11">
        <f t="shared" si="278"/>
        <v>12</v>
      </c>
      <c r="JP105" s="12" t="str">
        <f t="shared" si="341"/>
        <v>FY24</v>
      </c>
      <c r="JQ105" s="12">
        <f t="shared" si="342"/>
        <v>45253</v>
      </c>
      <c r="JR105" s="11">
        <f t="shared" si="343"/>
        <v>37.695077694235586</v>
      </c>
      <c r="JS105" s="11">
        <f t="shared" si="344"/>
        <v>20</v>
      </c>
      <c r="NG105" s="12"/>
      <c r="NH105" s="12"/>
      <c r="NI105" s="11"/>
      <c r="NJ105" s="11"/>
      <c r="NV105" s="12"/>
      <c r="NW105" s="12"/>
      <c r="NX105" s="11"/>
      <c r="NY105" s="11"/>
      <c r="OB105" s="1"/>
    </row>
    <row r="106" spans="13:392" x14ac:dyDescent="0.2">
      <c r="M106" s="5" t="str" cm="1">
        <f t="array" ref="M106">LOOKUP(2,1/($G$19:$G$35&lt;=$V106)/($H$19:$H$35&gt;=$V106),$F$19:$F$35)</f>
        <v>1H19</v>
      </c>
      <c r="N106" s="5" t="str" cm="1">
        <f t="array" ref="N106">LOOKUP(2,1/($G$8:$G$16&lt;=$V106)/($H$8:$H$16&gt;=$V106),$F$8:$F$16)</f>
        <v>FY19</v>
      </c>
      <c r="O106" s="5" t="str">
        <f>IFERROR(N106&amp;"-"&amp;COUNTIF($N$5:N106,N106),NA())</f>
        <v>FY19-24</v>
      </c>
      <c r="P106" s="5">
        <f>COUNTIF(V$5:V106,"&gt;="&amp;MAX($V:$V)-183)</f>
        <v>0</v>
      </c>
      <c r="Q106" s="5">
        <f>COUNTIF(V$5:V106,"&gt;="&amp;MAX($V:$V)-365)</f>
        <v>0</v>
      </c>
      <c r="R106" s="5" cm="1">
        <f t="array" ref="R106">LOOKUP(2,1/($G$46:$G$50&lt;=$V106)/($H$46:$H$50&gt;=$V106),$F$46:$F$50)</f>
        <v>0</v>
      </c>
      <c r="S106" s="5" cm="1">
        <f t="array" ref="S106">LOOKUP(2,1/($G$53:$G$56&lt;=$V106)/($H$53:$H$56&gt;=$V106),$F$53:$F$56)</f>
        <v>0</v>
      </c>
      <c r="T106" s="5" t="e">
        <f>IFERROR(IF($R106&gt;0,$R106&amp;"-"&amp;COUNTIF($R$5:$R106,$R106),NA()),NA())</f>
        <v>#N/A</v>
      </c>
      <c r="U106" s="5" t="e">
        <f>IFERROR(IF($S106&gt;0,$S106&amp;"-"&amp;COUNTIF($S$5:$S106,$S106),NA()),NA())</f>
        <v>#N/A</v>
      </c>
      <c r="V106" s="10">
        <v>43447</v>
      </c>
      <c r="W106" s="9">
        <v>30784708.455181174</v>
      </c>
      <c r="X106" s="9">
        <v>37012454.975664333</v>
      </c>
      <c r="Y106" s="8">
        <v>20000000</v>
      </c>
      <c r="AI106" s="12"/>
      <c r="AJ106" s="12"/>
      <c r="AK106" s="11"/>
      <c r="AL106" s="11"/>
      <c r="AP106" s="12"/>
      <c r="AQ106" s="12"/>
      <c r="AR106" s="11"/>
      <c r="AS106" s="11"/>
      <c r="BI106" s="12"/>
      <c r="BJ106" s="12"/>
      <c r="BK106" s="11"/>
      <c r="BL106" s="11"/>
      <c r="BP106" s="111">
        <v>300</v>
      </c>
      <c r="BQ106" s="39">
        <f t="shared" si="351"/>
        <v>342426000</v>
      </c>
      <c r="BR106" s="110">
        <v>0.25</v>
      </c>
      <c r="BS106" s="39">
        <f t="shared" si="352"/>
        <v>428032500</v>
      </c>
      <c r="CE106" s="12"/>
      <c r="CF106" s="12"/>
      <c r="CG106" s="11"/>
      <c r="CH106" s="11"/>
      <c r="CT106" s="12"/>
      <c r="CU106" s="12"/>
      <c r="CV106" s="11"/>
      <c r="CW106" s="11"/>
      <c r="DI106" s="12"/>
      <c r="DJ106" s="12"/>
      <c r="DK106" s="11"/>
      <c r="DL106" s="11"/>
      <c r="DX106" s="12"/>
      <c r="DY106" s="12"/>
      <c r="DZ106" s="11"/>
      <c r="EA106" s="11"/>
      <c r="EE106" s="12"/>
      <c r="EF106" s="12"/>
      <c r="EG106" s="11"/>
      <c r="EH106" s="11"/>
      <c r="ET106" s="12"/>
      <c r="EU106" s="12"/>
      <c r="EV106" s="11"/>
      <c r="EW106" s="11"/>
      <c r="FI106" s="12"/>
      <c r="FJ106" s="12"/>
      <c r="FK106" s="11"/>
      <c r="FL106" s="11"/>
      <c r="FP106" s="12"/>
      <c r="FQ106" s="12"/>
      <c r="FR106" s="11"/>
      <c r="FS106" s="11"/>
      <c r="FX106" s="16"/>
      <c r="FY106" s="15"/>
      <c r="GF106" s="12"/>
      <c r="GG106" s="12"/>
      <c r="GH106" s="11"/>
      <c r="GI106" s="11"/>
      <c r="GM106" s="12"/>
      <c r="GN106" s="12"/>
      <c r="GO106" s="11"/>
      <c r="GP106" s="11"/>
      <c r="GU106" s="16"/>
      <c r="GV106" s="14"/>
      <c r="GW106" s="15"/>
      <c r="HB106" s="12"/>
      <c r="HC106" s="12"/>
      <c r="HD106" s="11"/>
      <c r="HE106" s="11"/>
      <c r="HJ106" s="16"/>
      <c r="HK106" s="15"/>
      <c r="HL106" s="14"/>
      <c r="HQ106" s="12"/>
      <c r="HR106" s="12"/>
      <c r="HS106" s="11"/>
      <c r="HT106" s="11"/>
      <c r="HX106" s="12"/>
      <c r="HY106" s="12"/>
      <c r="HZ106" s="11"/>
      <c r="IA106" s="11"/>
      <c r="IM106" s="12" t="str">
        <f t="shared" si="353"/>
        <v>FY23</v>
      </c>
      <c r="IN106" s="12">
        <f t="shared" si="354"/>
        <v>45022</v>
      </c>
      <c r="IO106" s="11">
        <f t="shared" si="355"/>
        <v>41.047026208574025</v>
      </c>
      <c r="IP106" s="11">
        <f t="shared" si="356"/>
        <v>20</v>
      </c>
      <c r="IT106" s="12" t="str">
        <f t="shared" si="347"/>
        <v>FY23</v>
      </c>
      <c r="IU106" s="12">
        <f t="shared" si="348"/>
        <v>44868</v>
      </c>
      <c r="IV106" s="11">
        <f t="shared" si="349"/>
        <v>27.003392885375497</v>
      </c>
      <c r="IW106" s="11">
        <f t="shared" si="350"/>
        <v>8</v>
      </c>
      <c r="JI106" s="12" t="str">
        <f t="shared" si="275"/>
        <v>FY24</v>
      </c>
      <c r="JJ106" s="12">
        <f t="shared" si="276"/>
        <v>45386</v>
      </c>
      <c r="JK106" s="11">
        <f t="shared" si="277"/>
        <v>33.664848752315571</v>
      </c>
      <c r="JL106" s="11">
        <f t="shared" si="278"/>
        <v>20</v>
      </c>
      <c r="JP106" s="12" t="str">
        <f t="shared" si="341"/>
        <v>FY24</v>
      </c>
      <c r="JQ106" s="12">
        <f t="shared" si="342"/>
        <v>45260</v>
      </c>
      <c r="JR106" s="11">
        <f t="shared" si="343"/>
        <v>23.402584504740112</v>
      </c>
      <c r="JS106" s="11">
        <f t="shared" si="344"/>
        <v>8</v>
      </c>
      <c r="NG106" s="12"/>
      <c r="NH106" s="12"/>
      <c r="NI106" s="11"/>
      <c r="NJ106" s="11"/>
      <c r="NV106" s="12"/>
      <c r="NW106" s="12"/>
      <c r="NX106" s="11"/>
      <c r="NY106" s="11"/>
      <c r="OB106" s="1"/>
    </row>
    <row r="107" spans="13:392" x14ac:dyDescent="0.2">
      <c r="M107" s="5" t="str" cm="1">
        <f t="array" ref="M107">LOOKUP(2,1/($G$19:$G$35&lt;=$V107)/($H$19:$H$35&gt;=$V107),$F$19:$F$35)</f>
        <v>1H19</v>
      </c>
      <c r="N107" s="5" t="str" cm="1">
        <f t="array" ref="N107">LOOKUP(2,1/($G$8:$G$16&lt;=$V107)/($H$8:$H$16&gt;=$V107),$F$8:$F$16)</f>
        <v>FY19</v>
      </c>
      <c r="O107" s="5" t="str">
        <f>IFERROR(N107&amp;"-"&amp;COUNTIF($N$5:N107,N107),NA())</f>
        <v>FY19-25</v>
      </c>
      <c r="P107" s="5">
        <f>COUNTIF(V$5:V107,"&gt;="&amp;MAX($V:$V)-183)</f>
        <v>0</v>
      </c>
      <c r="Q107" s="5">
        <f>COUNTIF(V$5:V107,"&gt;="&amp;MAX($V:$V)-365)</f>
        <v>0</v>
      </c>
      <c r="R107" s="5" cm="1">
        <f t="array" ref="R107">LOOKUP(2,1/($G$46:$G$50&lt;=$V107)/($H$46:$H$50&gt;=$V107),$F$46:$F$50)</f>
        <v>0</v>
      </c>
      <c r="S107" s="5" cm="1">
        <f t="array" ref="S107">LOOKUP(2,1/($G$53:$G$56&lt;=$V107)/($H$53:$H$56&gt;=$V107),$F$53:$F$56)</f>
        <v>0</v>
      </c>
      <c r="T107" s="5" t="e">
        <f>IFERROR(IF($R107&gt;0,$R107&amp;"-"&amp;COUNTIF($R$5:$R107,$R107),NA()),NA())</f>
        <v>#N/A</v>
      </c>
      <c r="U107" s="5" t="e">
        <f>IFERROR(IF($S107&gt;0,$S107&amp;"-"&amp;COUNTIF($S$5:$S107,$S107),NA()),NA())</f>
        <v>#N/A</v>
      </c>
      <c r="V107" s="10">
        <v>43454</v>
      </c>
      <c r="W107" s="9">
        <v>32972327.018436104</v>
      </c>
      <c r="X107" s="9">
        <v>39642628.774265736</v>
      </c>
      <c r="Y107" s="8">
        <v>25000000</v>
      </c>
      <c r="AI107" s="12"/>
      <c r="AJ107" s="12"/>
      <c r="AK107" s="11"/>
      <c r="AL107" s="11"/>
      <c r="AP107" s="12"/>
      <c r="AQ107" s="12"/>
      <c r="AR107" s="11"/>
      <c r="AS107" s="11"/>
      <c r="BI107" s="12"/>
      <c r="BJ107" s="12"/>
      <c r="BK107" s="11"/>
      <c r="BL107" s="11"/>
      <c r="BP107" s="111">
        <v>400</v>
      </c>
      <c r="BQ107" s="39">
        <f t="shared" si="351"/>
        <v>451046000</v>
      </c>
      <c r="BR107" s="110">
        <v>0.25</v>
      </c>
      <c r="BS107" s="39">
        <f t="shared" si="352"/>
        <v>563807500</v>
      </c>
      <c r="CE107" s="12"/>
      <c r="CF107" s="12"/>
      <c r="CG107" s="11"/>
      <c r="CH107" s="11"/>
      <c r="CJ107" s="13" t="s">
        <v>11</v>
      </c>
      <c r="CT107" s="12"/>
      <c r="CU107" s="12"/>
      <c r="CV107" s="11"/>
      <c r="CW107" s="11"/>
      <c r="DI107" s="12"/>
      <c r="DJ107" s="12"/>
      <c r="DK107" s="11"/>
      <c r="DL107" s="11"/>
      <c r="DX107" s="12"/>
      <c r="DY107" s="12"/>
      <c r="DZ107" s="11"/>
      <c r="EA107" s="11"/>
      <c r="EE107" s="12"/>
      <c r="EF107" s="12"/>
      <c r="EG107" s="11"/>
      <c r="EH107" s="11"/>
      <c r="ET107" s="12"/>
      <c r="EU107" s="12"/>
      <c r="EV107" s="11"/>
      <c r="EW107" s="11"/>
      <c r="FI107" s="12"/>
      <c r="FJ107" s="12"/>
      <c r="FK107" s="11"/>
      <c r="FL107" s="11"/>
      <c r="FP107" s="12"/>
      <c r="FQ107" s="12"/>
      <c r="FR107" s="11"/>
      <c r="FS107" s="11"/>
      <c r="FX107" s="16"/>
      <c r="FY107" s="15"/>
      <c r="GF107" s="12"/>
      <c r="GG107" s="12"/>
      <c r="GH107" s="11"/>
      <c r="GI107" s="11"/>
      <c r="GM107" s="12"/>
      <c r="GN107" s="12"/>
      <c r="GO107" s="11"/>
      <c r="GP107" s="11"/>
      <c r="GU107" s="16"/>
      <c r="GV107" s="14"/>
      <c r="GW107" s="15"/>
      <c r="HB107" s="12"/>
      <c r="HC107" s="12"/>
      <c r="HD107" s="11"/>
      <c r="HE107" s="11"/>
      <c r="HJ107" s="16"/>
      <c r="HK107" s="15"/>
      <c r="HL107" s="14"/>
      <c r="HQ107" s="12"/>
      <c r="HR107" s="12"/>
      <c r="HS107" s="11"/>
      <c r="HT107" s="11"/>
      <c r="HX107" s="12"/>
      <c r="HY107" s="12"/>
      <c r="HZ107" s="11"/>
      <c r="IA107" s="11"/>
      <c r="IM107" s="12" t="str">
        <f t="shared" si="353"/>
        <v>FY23</v>
      </c>
      <c r="IN107" s="12">
        <f t="shared" si="354"/>
        <v>45029</v>
      </c>
      <c r="IO107" s="11">
        <f t="shared" si="355"/>
        <v>49.471698145332923</v>
      </c>
      <c r="IP107" s="11">
        <f t="shared" si="356"/>
        <v>30</v>
      </c>
      <c r="IT107" s="12" t="str">
        <f t="shared" si="347"/>
        <v>FY23</v>
      </c>
      <c r="IU107" s="12">
        <f t="shared" si="348"/>
        <v>44875</v>
      </c>
      <c r="IV107" s="11">
        <f t="shared" si="349"/>
        <v>44.321005290361803</v>
      </c>
      <c r="IW107" s="11">
        <f t="shared" si="350"/>
        <v>20</v>
      </c>
      <c r="JI107" s="12" t="str">
        <f t="shared" si="275"/>
        <v>FY24</v>
      </c>
      <c r="JJ107" s="12">
        <f t="shared" si="276"/>
        <v>45393</v>
      </c>
      <c r="JK107" s="11">
        <f t="shared" si="277"/>
        <v>19.70956619810396</v>
      </c>
      <c r="JL107" s="11">
        <f t="shared" si="278"/>
        <v>4</v>
      </c>
      <c r="JP107" s="12" t="str">
        <f t="shared" si="341"/>
        <v>FY24</v>
      </c>
      <c r="JQ107" s="12">
        <f t="shared" si="342"/>
        <v>45267</v>
      </c>
      <c r="JR107" s="11">
        <f t="shared" si="343"/>
        <v>34.302016781083154</v>
      </c>
      <c r="JS107" s="11">
        <f t="shared" si="344"/>
        <v>20</v>
      </c>
      <c r="NG107" s="12"/>
      <c r="NH107" s="12"/>
      <c r="NI107" s="11"/>
      <c r="NJ107" s="11"/>
      <c r="NV107" s="12"/>
      <c r="NW107" s="12"/>
      <c r="NX107" s="11"/>
      <c r="NY107" s="11"/>
      <c r="OB107" s="1"/>
    </row>
    <row r="108" spans="13:392" x14ac:dyDescent="0.2">
      <c r="M108" s="5" t="str" cm="1">
        <f t="array" ref="M108">LOOKUP(2,1/($G$19:$G$35&lt;=$V108)/($H$19:$H$35&gt;=$V108),$F$19:$F$35)</f>
        <v>1H19</v>
      </c>
      <c r="N108" s="5" t="str" cm="1">
        <f t="array" ref="N108">LOOKUP(2,1/($G$8:$G$16&lt;=$V108)/($H$8:$H$16&gt;=$V108),$F$8:$F$16)</f>
        <v>FY19</v>
      </c>
      <c r="O108" s="5" t="str">
        <f>IFERROR(N108&amp;"-"&amp;COUNTIF($N$5:N108,N108),NA())</f>
        <v>FY19-26</v>
      </c>
      <c r="P108" s="5">
        <f>COUNTIF(V$5:V108,"&gt;="&amp;MAX($V:$V)-183)</f>
        <v>0</v>
      </c>
      <c r="Q108" s="5">
        <f>COUNTIF(V$5:V108,"&gt;="&amp;MAX($V:$V)-365)</f>
        <v>0</v>
      </c>
      <c r="R108" s="5" cm="1">
        <f t="array" ref="R108">LOOKUP(2,1/($G$46:$G$50&lt;=$V108)/($H$46:$H$50&gt;=$V108),$F$46:$F$50)</f>
        <v>0</v>
      </c>
      <c r="S108" s="5" cm="1">
        <f t="array" ref="S108">LOOKUP(2,1/($G$53:$G$56&lt;=$V108)/($H$53:$H$56&gt;=$V108),$F$53:$F$56)</f>
        <v>0</v>
      </c>
      <c r="T108" s="5" t="e">
        <f>IFERROR(IF($R108&gt;0,$R108&amp;"-"&amp;COUNTIF($R$5:$R108,$R108),NA()),NA())</f>
        <v>#N/A</v>
      </c>
      <c r="U108" s="5" t="e">
        <f>IFERROR(IF($S108&gt;0,$S108&amp;"-"&amp;COUNTIF($S$5:$S108,$S108),NA()),NA())</f>
        <v>#N/A</v>
      </c>
      <c r="V108" s="10">
        <v>43461</v>
      </c>
      <c r="W108" s="9">
        <v>36354827.972027965</v>
      </c>
      <c r="X108" s="9">
        <v>43709409.67076923</v>
      </c>
      <c r="Y108" s="8">
        <v>30000000</v>
      </c>
      <c r="AI108" s="12"/>
      <c r="AJ108" s="12"/>
      <c r="AK108" s="11"/>
      <c r="AL108" s="11"/>
      <c r="AP108" s="12"/>
      <c r="AQ108" s="12"/>
      <c r="AR108" s="11"/>
      <c r="AS108" s="11"/>
      <c r="BI108" s="12"/>
      <c r="BJ108" s="12"/>
      <c r="BK108" s="11"/>
      <c r="BL108" s="11"/>
      <c r="BP108" s="40"/>
      <c r="BQ108" s="39"/>
      <c r="BR108" s="40"/>
      <c r="BS108" s="39"/>
      <c r="CE108" s="12"/>
      <c r="CF108" s="12"/>
      <c r="CG108" s="11"/>
      <c r="CH108" s="11"/>
      <c r="CJ108" s="13" t="s">
        <v>10</v>
      </c>
      <c r="CT108" s="12"/>
      <c r="CU108" s="12"/>
      <c r="CV108" s="11"/>
      <c r="CW108" s="11"/>
      <c r="DI108" s="12"/>
      <c r="DJ108" s="12"/>
      <c r="DK108" s="11"/>
      <c r="DL108" s="11"/>
      <c r="DX108" s="12"/>
      <c r="DY108" s="12"/>
      <c r="DZ108" s="11"/>
      <c r="EA108" s="11"/>
      <c r="EE108" s="12"/>
      <c r="EF108" s="12"/>
      <c r="EG108" s="11"/>
      <c r="EH108" s="11"/>
      <c r="ET108" s="12"/>
      <c r="EU108" s="12"/>
      <c r="EV108" s="11"/>
      <c r="EW108" s="11"/>
      <c r="FI108" s="12"/>
      <c r="FJ108" s="12"/>
      <c r="FK108" s="11"/>
      <c r="FL108" s="11"/>
      <c r="FP108" s="12"/>
      <c r="FQ108" s="12"/>
      <c r="FR108" s="11"/>
      <c r="FS108" s="11"/>
      <c r="FX108" s="16"/>
      <c r="FY108" s="15"/>
      <c r="GF108" s="12"/>
      <c r="GG108" s="12"/>
      <c r="GH108" s="11"/>
      <c r="GI108" s="11"/>
      <c r="GM108" s="12"/>
      <c r="GN108" s="12"/>
      <c r="GO108" s="11"/>
      <c r="GP108" s="11"/>
      <c r="GU108" s="16"/>
      <c r="GV108" s="14"/>
      <c r="GW108" s="15"/>
      <c r="HB108" s="12"/>
      <c r="HC108" s="12"/>
      <c r="HD108" s="11"/>
      <c r="HE108" s="11"/>
      <c r="HJ108" s="16"/>
      <c r="HK108" s="15"/>
      <c r="HL108" s="14"/>
      <c r="HQ108" s="12"/>
      <c r="HR108" s="12"/>
      <c r="HS108" s="11"/>
      <c r="HT108" s="11"/>
      <c r="HX108" s="12"/>
      <c r="HY108" s="12"/>
      <c r="HZ108" s="11"/>
      <c r="IA108" s="11"/>
      <c r="IM108" s="12" t="str">
        <f t="shared" si="353"/>
        <v>FY23</v>
      </c>
      <c r="IN108" s="12">
        <f t="shared" si="354"/>
        <v>45036</v>
      </c>
      <c r="IO108" s="11">
        <f t="shared" si="355"/>
        <v>21.741040681058067</v>
      </c>
      <c r="IP108" s="11">
        <f t="shared" si="356"/>
        <v>4</v>
      </c>
      <c r="IT108" s="12" t="str">
        <f t="shared" si="347"/>
        <v>FY23</v>
      </c>
      <c r="IU108" s="12">
        <f t="shared" si="348"/>
        <v>44882</v>
      </c>
      <c r="IV108" s="11">
        <f t="shared" si="349"/>
        <v>51.026175372453629</v>
      </c>
      <c r="IW108" s="11">
        <f t="shared" si="350"/>
        <v>30</v>
      </c>
      <c r="JI108" s="12" t="str">
        <f t="shared" si="275"/>
        <v>FY24</v>
      </c>
      <c r="JJ108" s="12">
        <f t="shared" si="276"/>
        <v>45400</v>
      </c>
      <c r="JK108" s="11">
        <f t="shared" si="277"/>
        <v>30.895473575242455</v>
      </c>
      <c r="JL108" s="11">
        <f t="shared" si="278"/>
        <v>12</v>
      </c>
      <c r="JP108" s="12" t="str">
        <f t="shared" si="341"/>
        <v>FY24</v>
      </c>
      <c r="JQ108" s="12">
        <f t="shared" si="342"/>
        <v>45274</v>
      </c>
      <c r="JR108" s="11">
        <f t="shared" si="343"/>
        <v>41.358095020159098</v>
      </c>
      <c r="JS108" s="11">
        <f t="shared" si="344"/>
        <v>30</v>
      </c>
      <c r="NG108" s="12"/>
      <c r="NH108" s="12"/>
      <c r="NI108" s="11"/>
      <c r="NJ108" s="11"/>
      <c r="NV108" s="12"/>
      <c r="NW108" s="12"/>
      <c r="NX108" s="11"/>
      <c r="NY108" s="11"/>
      <c r="OB108" s="1"/>
    </row>
    <row r="109" spans="13:392" x14ac:dyDescent="0.2">
      <c r="M109" s="5" t="str" cm="1">
        <f t="array" ref="M109">LOOKUP(2,1/($G$19:$G$35&lt;=$V109)/($H$19:$H$35&gt;=$V109),$F$19:$F$35)</f>
        <v>2H19</v>
      </c>
      <c r="N109" s="5" t="str" cm="1">
        <f t="array" ref="N109">LOOKUP(2,1/($G$8:$G$16&lt;=$V109)/($H$8:$H$16&gt;=$V109),$F$8:$F$16)</f>
        <v>FY19</v>
      </c>
      <c r="O109" s="5" t="str">
        <f>IFERROR(N109&amp;"-"&amp;COUNTIF($N$5:N109,N109),NA())</f>
        <v>FY19-27</v>
      </c>
      <c r="P109" s="5">
        <f>COUNTIF(V$5:V109,"&gt;="&amp;MAX($V:$V)-183)</f>
        <v>0</v>
      </c>
      <c r="Q109" s="5">
        <f>COUNTIF(V$5:V109,"&gt;="&amp;MAX($V:$V)-365)</f>
        <v>0</v>
      </c>
      <c r="R109" s="5" cm="1">
        <f t="array" ref="R109">LOOKUP(2,1/($G$46:$G$50&lt;=$V109)/($H$46:$H$50&gt;=$V109),$F$46:$F$50)</f>
        <v>0</v>
      </c>
      <c r="S109" s="5" cm="1">
        <f t="array" ref="S109">LOOKUP(2,1/($G$53:$G$56&lt;=$V109)/($H$53:$H$56&gt;=$V109),$F$53:$F$56)</f>
        <v>0</v>
      </c>
      <c r="T109" s="5" t="e">
        <f>IFERROR(IF($R109&gt;0,$R109&amp;"-"&amp;COUNTIF($R$5:$R109,$R109),NA()),NA())</f>
        <v>#N/A</v>
      </c>
      <c r="U109" s="5" t="e">
        <f>IFERROR(IF($S109&gt;0,$S109&amp;"-"&amp;COUNTIF($S$5:$S109,$S109),NA()),NA())</f>
        <v>#N/A</v>
      </c>
      <c r="V109" s="10">
        <v>43468</v>
      </c>
      <c r="W109" s="9">
        <v>63766761.602034323</v>
      </c>
      <c r="X109" s="9">
        <v>76666777.474125877</v>
      </c>
      <c r="Y109" s="8">
        <v>50000000</v>
      </c>
      <c r="AI109" s="12"/>
      <c r="AJ109" s="12"/>
      <c r="AK109" s="11"/>
      <c r="AL109" s="11"/>
      <c r="AP109" s="12"/>
      <c r="AQ109" s="12"/>
      <c r="AR109" s="11"/>
      <c r="AS109" s="11"/>
      <c r="BI109" s="12"/>
      <c r="BJ109" s="12"/>
      <c r="BK109" s="11"/>
      <c r="BL109" s="11"/>
      <c r="BP109" s="111">
        <v>8</v>
      </c>
      <c r="BQ109" s="39">
        <f t="shared" ref="BQ109:BQ118" si="357">($BQ$8*BP109^2+$BR$8*BP109+$BS$8)*1000000</f>
        <v>25255600</v>
      </c>
      <c r="BR109" s="110">
        <v>0</v>
      </c>
      <c r="BS109" s="39">
        <f t="shared" ref="BS109:BS118" si="358">BQ109*(1+BR109)</f>
        <v>25255600</v>
      </c>
      <c r="CE109" s="12"/>
      <c r="CF109" s="12"/>
      <c r="CG109" s="11"/>
      <c r="CH109" s="11"/>
      <c r="CJ109" s="13" t="s">
        <v>9</v>
      </c>
      <c r="CT109" s="12"/>
      <c r="CU109" s="12"/>
      <c r="CV109" s="11"/>
      <c r="CW109" s="11"/>
      <c r="DI109" s="12"/>
      <c r="DJ109" s="12"/>
      <c r="DK109" s="11"/>
      <c r="DL109" s="11"/>
      <c r="DX109" s="12"/>
      <c r="DY109" s="12"/>
      <c r="DZ109" s="11"/>
      <c r="EA109" s="11"/>
      <c r="EE109" s="12"/>
      <c r="EF109" s="12"/>
      <c r="EG109" s="11"/>
      <c r="EH109" s="11"/>
      <c r="ET109" s="12"/>
      <c r="EU109" s="12"/>
      <c r="EV109" s="11"/>
      <c r="EW109" s="11"/>
      <c r="FI109" s="12"/>
      <c r="FJ109" s="12"/>
      <c r="FK109" s="11"/>
      <c r="FL109" s="11"/>
      <c r="FP109" s="12"/>
      <c r="FQ109" s="12"/>
      <c r="FR109" s="11"/>
      <c r="FS109" s="11"/>
      <c r="FX109" s="16"/>
      <c r="FY109" s="15"/>
      <c r="GF109" s="12"/>
      <c r="GG109" s="12"/>
      <c r="GH109" s="11"/>
      <c r="GI109" s="11"/>
      <c r="GM109" s="12"/>
      <c r="GN109" s="12"/>
      <c r="GO109" s="11"/>
      <c r="GP109" s="11"/>
      <c r="GU109" s="16"/>
      <c r="GV109" s="14"/>
      <c r="GW109" s="15"/>
      <c r="HB109" s="12"/>
      <c r="HC109" s="12"/>
      <c r="HD109" s="11"/>
      <c r="HE109" s="11"/>
      <c r="HJ109" s="16"/>
      <c r="HK109" s="15"/>
      <c r="HL109" s="14"/>
      <c r="HQ109" s="12"/>
      <c r="HR109" s="12"/>
      <c r="HS109" s="11"/>
      <c r="HT109" s="11"/>
      <c r="HX109" s="12"/>
      <c r="HY109" s="12"/>
      <c r="HZ109" s="11"/>
      <c r="IA109" s="11"/>
      <c r="IM109" s="12" t="str">
        <f t="shared" si="353"/>
        <v>FY23</v>
      </c>
      <c r="IN109" s="12">
        <f t="shared" si="354"/>
        <v>45043</v>
      </c>
      <c r="IO109" s="11">
        <f t="shared" si="355"/>
        <v>27.045895287321372</v>
      </c>
      <c r="IP109" s="11">
        <f t="shared" si="356"/>
        <v>8</v>
      </c>
      <c r="IT109" s="12" t="str">
        <f t="shared" si="347"/>
        <v>FY23</v>
      </c>
      <c r="IU109" s="12">
        <f t="shared" si="348"/>
        <v>44889</v>
      </c>
      <c r="IV109" s="11">
        <f t="shared" si="349"/>
        <v>71.266594101550623</v>
      </c>
      <c r="IW109" s="11">
        <f t="shared" si="350"/>
        <v>50</v>
      </c>
      <c r="JI109" s="12" t="str">
        <f t="shared" si="275"/>
        <v>FY24</v>
      </c>
      <c r="JJ109" s="12">
        <f t="shared" si="276"/>
        <v>45407</v>
      </c>
      <c r="JK109" s="11">
        <f t="shared" si="277"/>
        <v>37.208673640623303</v>
      </c>
      <c r="JL109" s="11">
        <f t="shared" si="278"/>
        <v>20</v>
      </c>
      <c r="JP109" s="12" t="str">
        <f t="shared" si="341"/>
        <v>FY24</v>
      </c>
      <c r="JQ109" s="12">
        <f t="shared" si="342"/>
        <v>45281</v>
      </c>
      <c r="JR109" s="11">
        <f t="shared" si="343"/>
        <v>23.530717990628748</v>
      </c>
      <c r="JS109" s="11">
        <f t="shared" si="344"/>
        <v>8</v>
      </c>
      <c r="NG109" s="12"/>
      <c r="NH109" s="12"/>
      <c r="NI109" s="11"/>
      <c r="NJ109" s="11"/>
      <c r="NV109" s="12"/>
      <c r="NW109" s="12"/>
      <c r="NX109" s="11"/>
      <c r="NY109" s="11"/>
      <c r="OB109" s="1"/>
    </row>
    <row r="110" spans="13:392" x14ac:dyDescent="0.2">
      <c r="M110" s="5" t="str" cm="1">
        <f t="array" ref="M110">LOOKUP(2,1/($G$19:$G$35&lt;=$V110)/($H$19:$H$35&gt;=$V110),$F$19:$F$35)</f>
        <v>2H19</v>
      </c>
      <c r="N110" s="5" t="str" cm="1">
        <f t="array" ref="N110">LOOKUP(2,1/($G$8:$G$16&lt;=$V110)/($H$8:$H$16&gt;=$V110),$F$8:$F$16)</f>
        <v>FY19</v>
      </c>
      <c r="O110" s="5" t="str">
        <f>IFERROR(N110&amp;"-"&amp;COUNTIF($N$5:N110,N110),NA())</f>
        <v>FY19-28</v>
      </c>
      <c r="P110" s="5">
        <f>COUNTIF(V$5:V110,"&gt;="&amp;MAX($V:$V)-183)</f>
        <v>0</v>
      </c>
      <c r="Q110" s="5">
        <f>COUNTIF(V$5:V110,"&gt;="&amp;MAX($V:$V)-365)</f>
        <v>0</v>
      </c>
      <c r="R110" s="5" cm="1">
        <f t="array" ref="R110">LOOKUP(2,1/($G$46:$G$50&lt;=$V110)/($H$46:$H$50&gt;=$V110),$F$46:$F$50)</f>
        <v>0</v>
      </c>
      <c r="S110" s="5" cm="1">
        <f t="array" ref="S110">LOOKUP(2,1/($G$53:$G$56&lt;=$V110)/($H$53:$H$56&gt;=$V110),$F$53:$F$56)</f>
        <v>0</v>
      </c>
      <c r="T110" s="5" t="e">
        <f>IFERROR(IF($R110&gt;0,$R110&amp;"-"&amp;COUNTIF($R$5:$R110,$R110),NA()),NA())</f>
        <v>#N/A</v>
      </c>
      <c r="U110" s="5" t="e">
        <f>IFERROR(IF($S110&gt;0,$S110&amp;"-"&amp;COUNTIF($S$5:$S110,$S110),NA()),NA())</f>
        <v>#N/A</v>
      </c>
      <c r="V110" s="10">
        <v>43475</v>
      </c>
      <c r="W110" s="9">
        <v>112313238.6522568</v>
      </c>
      <c r="X110" s="9">
        <v>135034206.83160836</v>
      </c>
      <c r="Y110" s="8">
        <v>80000000</v>
      </c>
      <c r="AI110" s="12"/>
      <c r="AJ110" s="12"/>
      <c r="AK110" s="11"/>
      <c r="AL110" s="11"/>
      <c r="AP110" s="12"/>
      <c r="AQ110" s="12"/>
      <c r="AR110" s="11"/>
      <c r="AS110" s="11"/>
      <c r="BI110" s="12"/>
      <c r="BJ110" s="12"/>
      <c r="BK110" s="11"/>
      <c r="BL110" s="11"/>
      <c r="BP110" s="111">
        <v>20</v>
      </c>
      <c r="BQ110" s="39">
        <f t="shared" si="357"/>
        <v>38290000</v>
      </c>
      <c r="BR110" s="110">
        <v>0</v>
      </c>
      <c r="BS110" s="39">
        <f t="shared" si="358"/>
        <v>38290000</v>
      </c>
      <c r="CE110" s="12"/>
      <c r="CF110" s="12"/>
      <c r="CG110" s="11"/>
      <c r="CH110" s="11"/>
      <c r="CJ110" s="13"/>
      <c r="CT110" s="12"/>
      <c r="CU110" s="12"/>
      <c r="CV110" s="11"/>
      <c r="CW110" s="11"/>
      <c r="DI110" s="12"/>
      <c r="DJ110" s="12"/>
      <c r="DK110" s="11"/>
      <c r="DL110" s="11"/>
      <c r="DX110" s="12"/>
      <c r="DY110" s="12"/>
      <c r="DZ110" s="11"/>
      <c r="EA110" s="11"/>
      <c r="EE110" s="12"/>
      <c r="EF110" s="12"/>
      <c r="EG110" s="11"/>
      <c r="EH110" s="11"/>
      <c r="ET110" s="12"/>
      <c r="EU110" s="12"/>
      <c r="EV110" s="11"/>
      <c r="EW110" s="11"/>
      <c r="FI110" s="12"/>
      <c r="FJ110" s="12"/>
      <c r="FK110" s="11"/>
      <c r="FL110" s="11"/>
      <c r="FP110" s="12"/>
      <c r="FQ110" s="12"/>
      <c r="FR110" s="11"/>
      <c r="FS110" s="11"/>
      <c r="FX110" s="16"/>
      <c r="FY110" s="15"/>
      <c r="GF110" s="12"/>
      <c r="GG110" s="12"/>
      <c r="GH110" s="11"/>
      <c r="GI110" s="11"/>
      <c r="GM110" s="12"/>
      <c r="GN110" s="12"/>
      <c r="GO110" s="11"/>
      <c r="GP110" s="11"/>
      <c r="GU110" s="16"/>
      <c r="GV110" s="14"/>
      <c r="GW110" s="15"/>
      <c r="HB110" s="12"/>
      <c r="HC110" s="12"/>
      <c r="HD110" s="11"/>
      <c r="HE110" s="11"/>
      <c r="HJ110" s="16"/>
      <c r="HK110" s="15"/>
      <c r="HL110" s="14"/>
      <c r="HQ110" s="12"/>
      <c r="HR110" s="12"/>
      <c r="HS110" s="11"/>
      <c r="HT110" s="11"/>
      <c r="HX110" s="12"/>
      <c r="HY110" s="12"/>
      <c r="HZ110" s="11"/>
      <c r="IA110" s="11"/>
      <c r="IM110" s="12" t="str">
        <f t="shared" si="353"/>
        <v>FY23</v>
      </c>
      <c r="IN110" s="12">
        <f t="shared" si="354"/>
        <v>45050</v>
      </c>
      <c r="IO110" s="11">
        <f t="shared" si="355"/>
        <v>41.813564487686222</v>
      </c>
      <c r="IP110" s="11">
        <f t="shared" si="356"/>
        <v>20</v>
      </c>
      <c r="IT110" s="12" t="str">
        <f t="shared" si="347"/>
        <v>FY23</v>
      </c>
      <c r="IU110" s="12">
        <f t="shared" si="348"/>
        <v>44896</v>
      </c>
      <c r="IV110" s="11">
        <f t="shared" si="349"/>
        <v>25.213057950744904</v>
      </c>
      <c r="IW110" s="11">
        <f t="shared" si="350"/>
        <v>8</v>
      </c>
      <c r="JI110" s="12" t="str">
        <f t="shared" si="275"/>
        <v>FY24</v>
      </c>
      <c r="JJ110" s="12">
        <f t="shared" si="276"/>
        <v>45414</v>
      </c>
      <c r="JK110" s="11">
        <f t="shared" si="277"/>
        <v>54.983203443391083</v>
      </c>
      <c r="JL110" s="11">
        <f t="shared" si="278"/>
        <v>40</v>
      </c>
      <c r="JP110" s="12" t="e">
        <f t="shared" si="341"/>
        <v>#N/A</v>
      </c>
      <c r="JQ110" s="12">
        <f t="shared" si="342"/>
        <v>45288</v>
      </c>
      <c r="JR110" s="11">
        <f t="shared" si="343"/>
        <v>34.197531001416586</v>
      </c>
      <c r="JS110" s="11">
        <f t="shared" si="344"/>
        <v>20</v>
      </c>
      <c r="NG110" s="12"/>
      <c r="NH110" s="12"/>
      <c r="NI110" s="11"/>
      <c r="NJ110" s="11"/>
      <c r="NV110" s="12"/>
      <c r="NW110" s="12"/>
      <c r="NX110" s="11"/>
      <c r="NY110" s="11"/>
      <c r="OB110" s="1"/>
    </row>
    <row r="111" spans="13:392" x14ac:dyDescent="0.2">
      <c r="M111" s="5" t="str" cm="1">
        <f t="array" ref="M111">LOOKUP(2,1/($G$19:$G$35&lt;=$V111)/($H$19:$H$35&gt;=$V111),$F$19:$F$35)</f>
        <v>2H19</v>
      </c>
      <c r="N111" s="5" t="str" cm="1">
        <f t="array" ref="N111">LOOKUP(2,1/($G$8:$G$16&lt;=$V111)/($H$8:$H$16&gt;=$V111),$F$8:$F$16)</f>
        <v>FY19</v>
      </c>
      <c r="O111" s="5" t="str">
        <f>IFERROR(N111&amp;"-"&amp;COUNTIF($N$5:N111,N111),NA())</f>
        <v>FY19-29</v>
      </c>
      <c r="P111" s="5">
        <f>COUNTIF(V$5:V111,"&gt;="&amp;MAX($V:$V)-183)</f>
        <v>0</v>
      </c>
      <c r="Q111" s="5">
        <f>COUNTIF(V$5:V111,"&gt;="&amp;MAX($V:$V)-365)</f>
        <v>0</v>
      </c>
      <c r="R111" s="5" cm="1">
        <f t="array" ref="R111">LOOKUP(2,1/($G$46:$G$50&lt;=$V111)/($H$46:$H$50&gt;=$V111),$F$46:$F$50)</f>
        <v>0</v>
      </c>
      <c r="S111" s="5" cm="1">
        <f t="array" ref="S111">LOOKUP(2,1/($G$53:$G$56&lt;=$V111)/($H$53:$H$56&gt;=$V111),$F$53:$F$56)</f>
        <v>0</v>
      </c>
      <c r="T111" s="5" t="e">
        <f>IFERROR(IF($R111&gt;0,$R111&amp;"-"&amp;COUNTIF($R$5:$R111,$R111),NA()),NA())</f>
        <v>#N/A</v>
      </c>
      <c r="U111" s="5" t="e">
        <f>IFERROR(IF($S111&gt;0,$S111&amp;"-"&amp;COUNTIF($S$5:$S111,$S111),NA()),NA())</f>
        <v>#N/A</v>
      </c>
      <c r="V111" s="10">
        <v>43482</v>
      </c>
      <c r="W111" s="9">
        <v>174145591.86268273</v>
      </c>
      <c r="X111" s="9">
        <v>209375245.09650347</v>
      </c>
      <c r="Y111" s="8">
        <v>100000000</v>
      </c>
      <c r="AI111" s="12"/>
      <c r="AJ111" s="12"/>
      <c r="AK111" s="11"/>
      <c r="AL111" s="11"/>
      <c r="AP111" s="12"/>
      <c r="AQ111" s="12"/>
      <c r="AR111" s="11"/>
      <c r="AS111" s="11"/>
      <c r="BI111" s="12"/>
      <c r="BJ111" s="12"/>
      <c r="BK111" s="11"/>
      <c r="BL111" s="11"/>
      <c r="BP111" s="111">
        <v>30</v>
      </c>
      <c r="BQ111" s="39">
        <f t="shared" si="357"/>
        <v>49152000</v>
      </c>
      <c r="BR111" s="110">
        <v>0</v>
      </c>
      <c r="BS111" s="39">
        <f t="shared" si="358"/>
        <v>49152000</v>
      </c>
      <c r="CE111" s="12"/>
      <c r="CF111" s="12"/>
      <c r="CG111" s="11"/>
      <c r="CH111" s="11"/>
      <c r="CJ111" s="17" t="s">
        <v>8</v>
      </c>
      <c r="CT111" s="12"/>
      <c r="CU111" s="12"/>
      <c r="CV111" s="11"/>
      <c r="CW111" s="11"/>
      <c r="DI111" s="12"/>
      <c r="DJ111" s="12"/>
      <c r="DK111" s="11"/>
      <c r="DL111" s="11"/>
      <c r="DX111" s="12"/>
      <c r="DY111" s="12"/>
      <c r="DZ111" s="11"/>
      <c r="EA111" s="11"/>
      <c r="EE111" s="12"/>
      <c r="EF111" s="12"/>
      <c r="EG111" s="11"/>
      <c r="EH111" s="11"/>
      <c r="ET111" s="12"/>
      <c r="EU111" s="12"/>
      <c r="EV111" s="11"/>
      <c r="EW111" s="11"/>
      <c r="FI111" s="12"/>
      <c r="FJ111" s="12"/>
      <c r="FK111" s="11"/>
      <c r="FL111" s="11"/>
      <c r="FP111" s="12"/>
      <c r="FQ111" s="12"/>
      <c r="FR111" s="11"/>
      <c r="FS111" s="11"/>
      <c r="FX111" s="16"/>
      <c r="FY111" s="15"/>
      <c r="GF111" s="12"/>
      <c r="GG111" s="12"/>
      <c r="GH111" s="11"/>
      <c r="GI111" s="11"/>
      <c r="GM111" s="12"/>
      <c r="GN111" s="12"/>
      <c r="GO111" s="11"/>
      <c r="GP111" s="11"/>
      <c r="GU111" s="16"/>
      <c r="GV111" s="14"/>
      <c r="GW111" s="15"/>
      <c r="HB111" s="12"/>
      <c r="HC111" s="12"/>
      <c r="HD111" s="11"/>
      <c r="HE111" s="11"/>
      <c r="HJ111" s="16"/>
      <c r="HK111" s="15"/>
      <c r="HL111" s="14"/>
      <c r="HQ111" s="12"/>
      <c r="HR111" s="12"/>
      <c r="HS111" s="11"/>
      <c r="HT111" s="11"/>
      <c r="HX111" s="12"/>
      <c r="HY111" s="12"/>
      <c r="HZ111" s="11"/>
      <c r="IA111" s="11"/>
      <c r="IM111" s="12" t="str">
        <f t="shared" si="353"/>
        <v>FY23</v>
      </c>
      <c r="IN111" s="12">
        <f t="shared" si="354"/>
        <v>45057</v>
      </c>
      <c r="IO111" s="11">
        <f t="shared" si="355"/>
        <v>19.348700760109455</v>
      </c>
      <c r="IP111" s="11">
        <f t="shared" si="356"/>
        <v>4</v>
      </c>
      <c r="IT111" s="12" t="str">
        <f t="shared" si="347"/>
        <v>FY23</v>
      </c>
      <c r="IU111" s="12">
        <f t="shared" si="348"/>
        <v>44903</v>
      </c>
      <c r="IV111" s="11">
        <f t="shared" si="349"/>
        <v>38.341626147765275</v>
      </c>
      <c r="IW111" s="11">
        <f t="shared" si="350"/>
        <v>20</v>
      </c>
      <c r="JI111" s="12" t="str">
        <f t="shared" si="275"/>
        <v>FY24</v>
      </c>
      <c r="JJ111" s="12">
        <f t="shared" si="276"/>
        <v>45421</v>
      </c>
      <c r="JK111" s="11">
        <f t="shared" si="277"/>
        <v>77.952955649994564</v>
      </c>
      <c r="JL111" s="11">
        <f t="shared" si="278"/>
        <v>60</v>
      </c>
      <c r="JP111" s="12" t="str">
        <f t="shared" si="341"/>
        <v>FY24</v>
      </c>
      <c r="JQ111" s="12">
        <f t="shared" si="342"/>
        <v>45295</v>
      </c>
      <c r="JR111" s="11">
        <f t="shared" si="343"/>
        <v>45.025587337910004</v>
      </c>
      <c r="JS111" s="11">
        <f t="shared" si="344"/>
        <v>30</v>
      </c>
      <c r="NG111" s="12"/>
      <c r="NH111" s="12"/>
      <c r="NI111" s="11"/>
      <c r="NJ111" s="11"/>
      <c r="NV111" s="12"/>
      <c r="NW111" s="12"/>
      <c r="NX111" s="11"/>
      <c r="NY111" s="11"/>
      <c r="OB111" s="1"/>
    </row>
    <row r="112" spans="13:392" x14ac:dyDescent="0.2">
      <c r="M112" s="5" t="str" cm="1">
        <f t="array" ref="M112">LOOKUP(2,1/($G$19:$G$35&lt;=$V112)/($H$19:$H$35&gt;=$V112),$F$19:$F$35)</f>
        <v>2H19</v>
      </c>
      <c r="N112" s="5" t="str" cm="1">
        <f t="array" ref="N112">LOOKUP(2,1/($G$8:$G$16&lt;=$V112)/($H$8:$H$16&gt;=$V112),$F$8:$F$16)</f>
        <v>FY19</v>
      </c>
      <c r="O112" s="5" t="str">
        <f>IFERROR(N112&amp;"-"&amp;COUNTIF($N$5:N112,N112),NA())</f>
        <v>FY19-30</v>
      </c>
      <c r="P112" s="5">
        <f>COUNTIF(V$5:V112,"&gt;="&amp;MAX($V:$V)-183)</f>
        <v>0</v>
      </c>
      <c r="Q112" s="5">
        <f>COUNTIF(V$5:V112,"&gt;="&amp;MAX($V:$V)-365)</f>
        <v>0</v>
      </c>
      <c r="R112" s="5" cm="1">
        <f t="array" ref="R112">LOOKUP(2,1/($G$46:$G$50&lt;=$V112)/($H$46:$H$50&gt;=$V112),$F$46:$F$50)</f>
        <v>0</v>
      </c>
      <c r="S112" s="5" cm="1">
        <f t="array" ref="S112">LOOKUP(2,1/($G$53:$G$56&lt;=$V112)/($H$53:$H$56&gt;=$V112),$F$53:$F$56)</f>
        <v>0</v>
      </c>
      <c r="T112" s="5" t="e">
        <f>IFERROR(IF($R112&gt;0,$R112&amp;"-"&amp;COUNTIF($R$5:$R112,$R112),NA()),NA())</f>
        <v>#N/A</v>
      </c>
      <c r="U112" s="5" t="e">
        <f>IFERROR(IF($S112&gt;0,$S112&amp;"-"&amp;COUNTIF($S$5:$S112,$S112),NA()),NA())</f>
        <v>#N/A</v>
      </c>
      <c r="V112" s="10">
        <v>43489</v>
      </c>
      <c r="W112" s="9">
        <v>13937889.72089857</v>
      </c>
      <c r="X112" s="9">
        <v>16757524.811436353</v>
      </c>
      <c r="Y112" s="8">
        <v>3000000</v>
      </c>
      <c r="AI112" s="12"/>
      <c r="AJ112" s="12"/>
      <c r="AK112" s="11"/>
      <c r="AL112" s="11"/>
      <c r="AP112" s="12"/>
      <c r="AQ112" s="12"/>
      <c r="AR112" s="11"/>
      <c r="AS112" s="11"/>
      <c r="BI112" s="12"/>
      <c r="BJ112" s="12"/>
      <c r="BK112" s="11"/>
      <c r="BL112" s="11"/>
      <c r="BP112" s="111">
        <v>50</v>
      </c>
      <c r="BQ112" s="39">
        <f t="shared" si="357"/>
        <v>70876000</v>
      </c>
      <c r="BR112" s="110">
        <v>0</v>
      </c>
      <c r="BS112" s="39">
        <f t="shared" si="358"/>
        <v>70876000</v>
      </c>
      <c r="CE112" s="12"/>
      <c r="CF112" s="12"/>
      <c r="CG112" s="11"/>
      <c r="CH112" s="11"/>
      <c r="CJ112" s="13" t="s">
        <v>7</v>
      </c>
      <c r="CT112" s="12"/>
      <c r="CU112" s="12"/>
      <c r="CV112" s="11"/>
      <c r="CW112" s="11"/>
      <c r="DI112" s="12"/>
      <c r="DJ112" s="12"/>
      <c r="DK112" s="11"/>
      <c r="DL112" s="11"/>
      <c r="DX112" s="12"/>
      <c r="DY112" s="12"/>
      <c r="DZ112" s="11"/>
      <c r="EA112" s="11"/>
      <c r="EE112" s="12"/>
      <c r="EF112" s="12"/>
      <c r="EG112" s="11"/>
      <c r="EH112" s="11"/>
      <c r="ET112" s="12"/>
      <c r="EU112" s="12"/>
      <c r="EV112" s="11"/>
      <c r="EW112" s="11"/>
      <c r="FI112" s="12"/>
      <c r="FJ112" s="12"/>
      <c r="FK112" s="11"/>
      <c r="FL112" s="11"/>
      <c r="FP112" s="12"/>
      <c r="FQ112" s="12"/>
      <c r="FR112" s="11"/>
      <c r="FS112" s="11"/>
      <c r="GF112" s="12"/>
      <c r="GG112" s="12"/>
      <c r="GH112" s="11"/>
      <c r="GI112" s="11"/>
      <c r="GM112" s="12"/>
      <c r="GN112" s="12"/>
      <c r="GO112" s="11"/>
      <c r="GP112" s="11"/>
      <c r="GU112" s="16"/>
      <c r="GV112" s="14"/>
      <c r="GW112" s="15"/>
      <c r="HB112" s="12"/>
      <c r="HC112" s="12"/>
      <c r="HD112" s="11"/>
      <c r="HE112" s="11"/>
      <c r="HJ112" s="16"/>
      <c r="HK112" s="15"/>
      <c r="HL112" s="14"/>
      <c r="HQ112" s="12"/>
      <c r="HR112" s="12"/>
      <c r="HS112" s="11"/>
      <c r="HT112" s="11"/>
      <c r="HX112" s="12"/>
      <c r="HY112" s="12"/>
      <c r="HZ112" s="11"/>
      <c r="IA112" s="11"/>
      <c r="IM112" s="12" t="str">
        <f t="shared" si="353"/>
        <v>FY23</v>
      </c>
      <c r="IN112" s="12">
        <f t="shared" si="354"/>
        <v>45064</v>
      </c>
      <c r="IO112" s="11">
        <f t="shared" si="355"/>
        <v>19.409982487078139</v>
      </c>
      <c r="IP112" s="11">
        <f t="shared" si="356"/>
        <v>4</v>
      </c>
      <c r="IT112" s="12" t="str">
        <f t="shared" si="347"/>
        <v>FY23</v>
      </c>
      <c r="IU112" s="12">
        <f t="shared" si="348"/>
        <v>44910</v>
      </c>
      <c r="IV112" s="11">
        <f t="shared" si="349"/>
        <v>50.094358163575549</v>
      </c>
      <c r="IW112" s="11">
        <f t="shared" si="350"/>
        <v>30</v>
      </c>
      <c r="JI112" s="12" t="str">
        <f t="shared" si="275"/>
        <v>FY24</v>
      </c>
      <c r="JJ112" s="12">
        <f t="shared" si="276"/>
        <v>45428</v>
      </c>
      <c r="JK112" s="11">
        <f t="shared" si="277"/>
        <v>140.29007573281032</v>
      </c>
      <c r="JL112" s="11">
        <f t="shared" si="278"/>
        <v>100</v>
      </c>
      <c r="JP112" s="12" t="str">
        <f t="shared" si="341"/>
        <v>FY24</v>
      </c>
      <c r="JQ112" s="12">
        <f t="shared" si="342"/>
        <v>45302</v>
      </c>
      <c r="JR112" s="11">
        <f t="shared" si="343"/>
        <v>67.199002942137952</v>
      </c>
      <c r="JS112" s="11">
        <f t="shared" si="344"/>
        <v>50</v>
      </c>
      <c r="NG112" s="12"/>
      <c r="NH112" s="12"/>
      <c r="NI112" s="11"/>
      <c r="NJ112" s="11"/>
      <c r="NV112" s="12"/>
      <c r="NW112" s="12"/>
      <c r="NX112" s="11"/>
      <c r="NY112" s="11"/>
      <c r="OB112" s="1"/>
    </row>
    <row r="113" spans="13:392" x14ac:dyDescent="0.2">
      <c r="M113" s="5" t="str" cm="1">
        <f t="array" ref="M113">LOOKUP(2,1/($G$19:$G$35&lt;=$V113)/($H$19:$H$35&gt;=$V113),$F$19:$F$35)</f>
        <v>2H19</v>
      </c>
      <c r="N113" s="5" t="str" cm="1">
        <f t="array" ref="N113">LOOKUP(2,1/($G$8:$G$16&lt;=$V113)/($H$8:$H$16&gt;=$V113),$F$8:$F$16)</f>
        <v>FY19</v>
      </c>
      <c r="O113" s="5" t="str">
        <f>IFERROR(N113&amp;"-"&amp;COUNTIF($N$5:N113,N113),NA())</f>
        <v>FY19-31</v>
      </c>
      <c r="P113" s="5">
        <f>COUNTIF(V$5:V113,"&gt;="&amp;MAX($V:$V)-183)</f>
        <v>0</v>
      </c>
      <c r="Q113" s="5">
        <f>COUNTIF(V$5:V113,"&gt;="&amp;MAX($V:$V)-365)</f>
        <v>0</v>
      </c>
      <c r="R113" s="5" cm="1">
        <f t="array" ref="R113">LOOKUP(2,1/($G$46:$G$50&lt;=$V113)/($H$46:$H$50&gt;=$V113),$F$46:$F$50)</f>
        <v>0</v>
      </c>
      <c r="S113" s="5" cm="1">
        <f t="array" ref="S113">LOOKUP(2,1/($G$53:$G$56&lt;=$V113)/($H$53:$H$56&gt;=$V113),$F$53:$F$56)</f>
        <v>0</v>
      </c>
      <c r="T113" s="5" t="e">
        <f>IFERROR(IF($R113&gt;0,$R113&amp;"-"&amp;COUNTIF($R$5:$R113,$R113),NA()),NA())</f>
        <v>#N/A</v>
      </c>
      <c r="U113" s="5" t="e">
        <f>IFERROR(IF($S113&gt;0,$S113&amp;"-"&amp;COUNTIF($S$5:$S113,$S113),NA()),NA())</f>
        <v>#N/A</v>
      </c>
      <c r="V113" s="10">
        <v>43496</v>
      </c>
      <c r="W113" s="9">
        <v>18140342.842997711</v>
      </c>
      <c r="X113" s="9">
        <v>21810134.200136151</v>
      </c>
      <c r="Y113" s="8">
        <v>8000000</v>
      </c>
      <c r="AI113" s="12"/>
      <c r="AJ113" s="12"/>
      <c r="AK113" s="11"/>
      <c r="AL113" s="11"/>
      <c r="AP113" s="12"/>
      <c r="AQ113" s="12"/>
      <c r="AR113" s="11"/>
      <c r="AS113" s="11"/>
      <c r="BI113" s="12"/>
      <c r="BJ113" s="12"/>
      <c r="BK113" s="11"/>
      <c r="BL113" s="11"/>
      <c r="BP113" s="111">
        <v>100</v>
      </c>
      <c r="BQ113" s="39">
        <f t="shared" si="357"/>
        <v>125186000</v>
      </c>
      <c r="BR113" s="110">
        <v>0.25</v>
      </c>
      <c r="BS113" s="39">
        <f t="shared" si="358"/>
        <v>156482500</v>
      </c>
      <c r="CE113" s="12"/>
      <c r="CF113" s="12"/>
      <c r="CG113" s="11"/>
      <c r="CH113" s="11"/>
      <c r="CJ113" s="17" t="s">
        <v>6</v>
      </c>
      <c r="CT113" s="12"/>
      <c r="CU113" s="12"/>
      <c r="CV113" s="11"/>
      <c r="CW113" s="11"/>
      <c r="DI113" s="12"/>
      <c r="DJ113" s="12"/>
      <c r="DK113" s="11"/>
      <c r="DL113" s="11"/>
      <c r="DX113" s="12"/>
      <c r="DY113" s="12"/>
      <c r="DZ113" s="11"/>
      <c r="EA113" s="11"/>
      <c r="EE113" s="12"/>
      <c r="EF113" s="12"/>
      <c r="EG113" s="11"/>
      <c r="EH113" s="11"/>
      <c r="ET113" s="12"/>
      <c r="EU113" s="12"/>
      <c r="EV113" s="11"/>
      <c r="EW113" s="11"/>
      <c r="FI113" s="12"/>
      <c r="FJ113" s="12"/>
      <c r="FK113" s="11"/>
      <c r="FL113" s="11"/>
      <c r="FP113" s="12"/>
      <c r="FQ113" s="12"/>
      <c r="FR113" s="11"/>
      <c r="FS113" s="11"/>
      <c r="GF113" s="12"/>
      <c r="GG113" s="12"/>
      <c r="GH113" s="11"/>
      <c r="GI113" s="11"/>
      <c r="GM113" s="12"/>
      <c r="GN113" s="12"/>
      <c r="GO113" s="11"/>
      <c r="GP113" s="11"/>
      <c r="HB113" s="12"/>
      <c r="HC113" s="12"/>
      <c r="HD113" s="11"/>
      <c r="HE113" s="11"/>
      <c r="HJ113" s="16"/>
      <c r="HK113" s="15"/>
      <c r="HL113" s="14"/>
      <c r="HQ113" s="12"/>
      <c r="HR113" s="12"/>
      <c r="HS113" s="11"/>
      <c r="HT113" s="11"/>
      <c r="HX113" s="12"/>
      <c r="HY113" s="12"/>
      <c r="HZ113" s="11"/>
      <c r="IA113" s="11"/>
      <c r="IM113" s="12" t="str">
        <f t="shared" si="353"/>
        <v>FY23</v>
      </c>
      <c r="IN113" s="12">
        <f t="shared" si="354"/>
        <v>45071</v>
      </c>
      <c r="IO113" s="11">
        <f t="shared" si="355"/>
        <v>30.887849079219787</v>
      </c>
      <c r="IP113" s="11">
        <f t="shared" si="356"/>
        <v>12</v>
      </c>
      <c r="IT113" s="12" t="str">
        <f t="shared" si="347"/>
        <v>FY23</v>
      </c>
      <c r="IU113" s="12">
        <f t="shared" si="348"/>
        <v>44917</v>
      </c>
      <c r="IV113" s="11">
        <f t="shared" si="349"/>
        <v>75.733957798723026</v>
      </c>
      <c r="IW113" s="11">
        <f t="shared" si="350"/>
        <v>50</v>
      </c>
      <c r="JI113" s="12" t="str">
        <f t="shared" si="275"/>
        <v>FY24</v>
      </c>
      <c r="JJ113" s="12">
        <f t="shared" si="276"/>
        <v>45435</v>
      </c>
      <c r="JK113" s="11">
        <f t="shared" si="277"/>
        <v>194.70491718426504</v>
      </c>
      <c r="JL113" s="11">
        <f t="shared" si="278"/>
        <v>150</v>
      </c>
      <c r="JP113" s="12" t="str">
        <f t="shared" si="341"/>
        <v>FY24</v>
      </c>
      <c r="JQ113" s="12" t="e">
        <f t="shared" si="342"/>
        <v>#N/A</v>
      </c>
      <c r="JR113" s="11" t="e">
        <f t="shared" si="343"/>
        <v>#N/A</v>
      </c>
      <c r="JS113" s="11" t="e">
        <f t="shared" si="344"/>
        <v>#N/A</v>
      </c>
      <c r="NG113" s="12"/>
      <c r="NH113" s="12"/>
      <c r="NI113" s="11"/>
      <c r="NJ113" s="11"/>
      <c r="NV113" s="12"/>
      <c r="NW113" s="12"/>
      <c r="NX113" s="11"/>
      <c r="NY113" s="11"/>
      <c r="OB113" s="1"/>
    </row>
    <row r="114" spans="13:392" x14ac:dyDescent="0.2">
      <c r="M114" s="5" t="str" cm="1">
        <f t="array" ref="M114">LOOKUP(2,1/($G$19:$G$35&lt;=$V114)/($H$19:$H$35&gt;=$V114),$F$19:$F$35)</f>
        <v>2H19</v>
      </c>
      <c r="N114" s="5" t="str" cm="1">
        <f t="array" ref="N114">LOOKUP(2,1/($G$8:$G$16&lt;=$V114)/($H$8:$H$16&gt;=$V114),$F$8:$F$16)</f>
        <v>FY19</v>
      </c>
      <c r="O114" s="5" t="str">
        <f>IFERROR(N114&amp;"-"&amp;COUNTIF($N$5:N114,N114),NA())</f>
        <v>FY19-32</v>
      </c>
      <c r="P114" s="5">
        <f>COUNTIF(V$5:V114,"&gt;="&amp;MAX($V:$V)-183)</f>
        <v>0</v>
      </c>
      <c r="Q114" s="5">
        <f>COUNTIF(V$5:V114,"&gt;="&amp;MAX($V:$V)-365)</f>
        <v>0</v>
      </c>
      <c r="R114" s="5" cm="1">
        <f t="array" ref="R114">LOOKUP(2,1/($G$46:$G$50&lt;=$V114)/($H$46:$H$50&gt;=$V114),$F$46:$F$50)</f>
        <v>0</v>
      </c>
      <c r="S114" s="5" cm="1">
        <f t="array" ref="S114">LOOKUP(2,1/($G$53:$G$56&lt;=$V114)/($H$53:$H$56&gt;=$V114),$F$53:$F$56)</f>
        <v>0</v>
      </c>
      <c r="T114" s="5" t="e">
        <f>IFERROR(IF($R114&gt;0,$R114&amp;"-"&amp;COUNTIF($R$5:$R114,$R114),NA()),NA())</f>
        <v>#N/A</v>
      </c>
      <c r="U114" s="5" t="e">
        <f>IFERROR(IF($S114&gt;0,$S114&amp;"-"&amp;COUNTIF($S$5:$S114,$S114),NA()),NA())</f>
        <v>#N/A</v>
      </c>
      <c r="V114" s="10">
        <v>43503</v>
      </c>
      <c r="W114" s="9">
        <v>25118955.133362219</v>
      </c>
      <c r="X114" s="9">
        <v>30200519.756841399</v>
      </c>
      <c r="Y114" s="8">
        <v>12000000</v>
      </c>
      <c r="AI114" s="12"/>
      <c r="AJ114" s="12"/>
      <c r="AK114" s="11"/>
      <c r="AL114" s="11"/>
      <c r="AP114" s="12"/>
      <c r="AQ114" s="12"/>
      <c r="AR114" s="11"/>
      <c r="AS114" s="11"/>
      <c r="BI114" s="12"/>
      <c r="BJ114" s="12"/>
      <c r="BK114" s="11"/>
      <c r="BL114" s="11"/>
      <c r="BP114" s="111">
        <v>160</v>
      </c>
      <c r="BQ114" s="39">
        <f t="shared" si="357"/>
        <v>190358000</v>
      </c>
      <c r="BR114" s="110">
        <v>0.25</v>
      </c>
      <c r="BS114" s="39">
        <f t="shared" si="358"/>
        <v>237947500</v>
      </c>
      <c r="CE114" s="12"/>
      <c r="CF114" s="12"/>
      <c r="CG114" s="11"/>
      <c r="CH114" s="11"/>
      <c r="CJ114" s="13"/>
      <c r="CT114" s="12"/>
      <c r="CU114" s="12"/>
      <c r="CV114" s="11"/>
      <c r="CW114" s="11"/>
      <c r="DI114" s="12"/>
      <c r="DJ114" s="12"/>
      <c r="DK114" s="11"/>
      <c r="DL114" s="11"/>
      <c r="DX114" s="12"/>
      <c r="DY114" s="12"/>
      <c r="DZ114" s="11"/>
      <c r="EA114" s="11"/>
      <c r="EE114" s="12"/>
      <c r="EF114" s="12"/>
      <c r="EG114" s="11"/>
      <c r="EH114" s="11"/>
      <c r="ET114" s="12"/>
      <c r="EU114" s="12"/>
      <c r="EV114" s="11"/>
      <c r="EW114" s="11"/>
      <c r="FI114" s="12"/>
      <c r="FJ114" s="12"/>
      <c r="FK114" s="11"/>
      <c r="FL114" s="11"/>
      <c r="FP114" s="12"/>
      <c r="FQ114" s="12"/>
      <c r="FR114" s="11"/>
      <c r="FS114" s="11"/>
      <c r="GF114" s="12"/>
      <c r="GG114" s="12"/>
      <c r="GH114" s="11"/>
      <c r="GI114" s="11"/>
      <c r="GM114" s="12"/>
      <c r="GN114" s="12"/>
      <c r="GO114" s="11"/>
      <c r="GP114" s="11"/>
      <c r="HB114" s="12"/>
      <c r="HC114" s="12"/>
      <c r="HD114" s="11"/>
      <c r="HE114" s="11"/>
      <c r="HJ114" s="16"/>
      <c r="HK114" s="15"/>
      <c r="HL114" s="14"/>
      <c r="HQ114" s="12"/>
      <c r="HR114" s="12"/>
      <c r="HS114" s="11"/>
      <c r="HT114" s="11"/>
      <c r="HX114" s="12"/>
      <c r="HY114" s="12"/>
      <c r="HZ114" s="11"/>
      <c r="IA114" s="11"/>
      <c r="IM114" s="12" t="str">
        <f t="shared" si="353"/>
        <v>FY23</v>
      </c>
      <c r="IN114" s="12">
        <f t="shared" si="354"/>
        <v>45078</v>
      </c>
      <c r="IO114" s="11">
        <f t="shared" si="355"/>
        <v>40.719506810504527</v>
      </c>
      <c r="IP114" s="11">
        <f t="shared" si="356"/>
        <v>20</v>
      </c>
      <c r="IT114" s="12" t="e">
        <f t="shared" si="347"/>
        <v>#N/A</v>
      </c>
      <c r="IU114" s="12" t="e">
        <f t="shared" si="348"/>
        <v>#N/A</v>
      </c>
      <c r="IV114" s="11" t="e">
        <f t="shared" si="349"/>
        <v>#N/A</v>
      </c>
      <c r="IW114" s="11" t="e">
        <f t="shared" si="350"/>
        <v>#N/A</v>
      </c>
      <c r="JI114" s="12" t="str">
        <f t="shared" si="275"/>
        <v>FY24</v>
      </c>
      <c r="JJ114" s="12">
        <f t="shared" si="276"/>
        <v>45442</v>
      </c>
      <c r="JK114" s="11">
        <f t="shared" si="277"/>
        <v>21.15536057535142</v>
      </c>
      <c r="JL114" s="11">
        <f t="shared" si="278"/>
        <v>4</v>
      </c>
      <c r="JP114" s="12" t="str">
        <f t="shared" si="341"/>
        <v>FY24</v>
      </c>
      <c r="JQ114" s="12" t="e">
        <f t="shared" si="342"/>
        <v>#N/A</v>
      </c>
      <c r="JR114" s="11" t="e">
        <f t="shared" si="343"/>
        <v>#N/A</v>
      </c>
      <c r="JS114" s="11" t="e">
        <f t="shared" si="344"/>
        <v>#N/A</v>
      </c>
      <c r="NG114" s="12"/>
      <c r="NH114" s="12"/>
      <c r="NI114" s="11"/>
      <c r="NJ114" s="11"/>
      <c r="NV114" s="12"/>
      <c r="NW114" s="12"/>
      <c r="NX114" s="11"/>
      <c r="NY114" s="11"/>
      <c r="OB114" s="1"/>
    </row>
    <row r="115" spans="13:392" x14ac:dyDescent="0.2">
      <c r="M115" s="5" t="str" cm="1">
        <f t="array" ref="M115">LOOKUP(2,1/($G$19:$G$35&lt;=$V115)/($H$19:$H$35&gt;=$V115),$F$19:$F$35)</f>
        <v>2H19</v>
      </c>
      <c r="N115" s="5" t="str" cm="1">
        <f t="array" ref="N115">LOOKUP(2,1/($G$8:$G$16&lt;=$V115)/($H$8:$H$16&gt;=$V115),$F$8:$F$16)</f>
        <v>FY19</v>
      </c>
      <c r="O115" s="5" t="str">
        <f>IFERROR(N115&amp;"-"&amp;COUNTIF($N$5:N115,N115),NA())</f>
        <v>FY19-33</v>
      </c>
      <c r="P115" s="5">
        <f>COUNTIF(V$5:V115,"&gt;="&amp;MAX($V:$V)-183)</f>
        <v>0</v>
      </c>
      <c r="Q115" s="5">
        <f>COUNTIF(V$5:V115,"&gt;="&amp;MAX($V:$V)-365)</f>
        <v>0</v>
      </c>
      <c r="R115" s="5" cm="1">
        <f t="array" ref="R115">LOOKUP(2,1/($G$46:$G$50&lt;=$V115)/($H$46:$H$50&gt;=$V115),$F$46:$F$50)</f>
        <v>0</v>
      </c>
      <c r="S115" s="5" cm="1">
        <f t="array" ref="S115">LOOKUP(2,1/($G$53:$G$56&lt;=$V115)/($H$53:$H$56&gt;=$V115),$F$53:$F$56)</f>
        <v>0</v>
      </c>
      <c r="T115" s="5" t="e">
        <f>IFERROR(IF($R115&gt;0,$R115&amp;"-"&amp;COUNTIF($R$5:$R115,$R115),NA()),NA())</f>
        <v>#N/A</v>
      </c>
      <c r="U115" s="5" t="e">
        <f>IFERROR(IF($S115&gt;0,$S115&amp;"-"&amp;COUNTIF($S$5:$S115,$S115),NA()),NA())</f>
        <v>#N/A</v>
      </c>
      <c r="V115" s="10">
        <v>43510</v>
      </c>
      <c r="W115" s="9">
        <v>31354336.778265979</v>
      </c>
      <c r="X115" s="9">
        <v>37697319.10850919</v>
      </c>
      <c r="Y115" s="8">
        <v>20000000</v>
      </c>
      <c r="AI115" s="12"/>
      <c r="AJ115" s="12"/>
      <c r="AK115" s="11"/>
      <c r="AL115" s="11"/>
      <c r="AP115" s="12"/>
      <c r="AQ115" s="12"/>
      <c r="AR115" s="11"/>
      <c r="AS115" s="11"/>
      <c r="BI115" s="12"/>
      <c r="BJ115" s="12"/>
      <c r="BK115" s="11"/>
      <c r="BL115" s="11"/>
      <c r="BP115" s="111">
        <v>220</v>
      </c>
      <c r="BQ115" s="39">
        <f t="shared" si="357"/>
        <v>255530000</v>
      </c>
      <c r="BR115" s="110">
        <v>0.25</v>
      </c>
      <c r="BS115" s="39">
        <f t="shared" si="358"/>
        <v>319412500</v>
      </c>
      <c r="CE115" s="12"/>
      <c r="CF115" s="12"/>
      <c r="CG115" s="11"/>
      <c r="CH115" s="11"/>
      <c r="CJ115" s="13" t="s">
        <v>5</v>
      </c>
      <c r="CT115" s="12"/>
      <c r="CU115" s="12"/>
      <c r="CV115" s="11"/>
      <c r="CW115" s="11"/>
      <c r="DI115" s="12"/>
      <c r="DJ115" s="12"/>
      <c r="DK115" s="11"/>
      <c r="DL115" s="11"/>
      <c r="DX115" s="12"/>
      <c r="DY115" s="12"/>
      <c r="DZ115" s="11"/>
      <c r="EA115" s="11"/>
      <c r="EE115" s="12"/>
      <c r="EF115" s="12"/>
      <c r="EG115" s="11"/>
      <c r="EH115" s="11"/>
      <c r="ET115" s="12"/>
      <c r="EU115" s="12"/>
      <c r="EV115" s="11"/>
      <c r="EW115" s="11"/>
      <c r="FI115" s="12"/>
      <c r="FJ115" s="12"/>
      <c r="FK115" s="11"/>
      <c r="FL115" s="11"/>
      <c r="FP115" s="12"/>
      <c r="FQ115" s="12"/>
      <c r="FR115" s="11"/>
      <c r="FS115" s="11"/>
      <c r="GF115" s="12"/>
      <c r="GG115" s="12"/>
      <c r="GH115" s="11"/>
      <c r="GI115" s="11"/>
      <c r="GM115" s="12"/>
      <c r="GN115" s="12"/>
      <c r="GO115" s="11"/>
      <c r="GP115" s="11"/>
      <c r="HB115" s="12"/>
      <c r="HC115" s="12"/>
      <c r="HD115" s="11"/>
      <c r="HE115" s="11"/>
      <c r="HJ115" s="16"/>
      <c r="HK115" s="15"/>
      <c r="HL115" s="14"/>
      <c r="HQ115" s="12"/>
      <c r="HR115" s="12"/>
      <c r="HS115" s="11"/>
      <c r="HT115" s="11"/>
      <c r="HX115" s="12"/>
      <c r="HY115" s="12"/>
      <c r="HZ115" s="11"/>
      <c r="IA115" s="11"/>
      <c r="IM115" s="12" t="str">
        <f t="shared" si="353"/>
        <v>FY23</v>
      </c>
      <c r="IN115" s="12">
        <f t="shared" si="354"/>
        <v>45085</v>
      </c>
      <c r="IO115" s="11">
        <f t="shared" si="355"/>
        <v>56.400732701318518</v>
      </c>
      <c r="IP115" s="11">
        <f t="shared" si="356"/>
        <v>40</v>
      </c>
      <c r="IT115" s="12" t="str">
        <f t="shared" si="347"/>
        <v>FY23</v>
      </c>
      <c r="IU115" s="12">
        <f t="shared" si="348"/>
        <v>44931</v>
      </c>
      <c r="IV115" s="11">
        <f t="shared" si="349"/>
        <v>20.659761872909698</v>
      </c>
      <c r="IW115" s="11">
        <f t="shared" si="350"/>
        <v>4</v>
      </c>
      <c r="JI115" s="12" t="str">
        <f t="shared" si="275"/>
        <v>FY24</v>
      </c>
      <c r="JJ115" s="12">
        <f t="shared" si="276"/>
        <v>45449</v>
      </c>
      <c r="JK115" s="11">
        <f t="shared" si="277"/>
        <v>32.64936362645745</v>
      </c>
      <c r="JL115" s="11">
        <f t="shared" si="278"/>
        <v>12</v>
      </c>
      <c r="JP115" s="12" t="str">
        <f t="shared" si="341"/>
        <v>FY24</v>
      </c>
      <c r="JQ115" s="12" t="e">
        <f t="shared" si="342"/>
        <v>#N/A</v>
      </c>
      <c r="JR115" s="11" t="e">
        <f t="shared" si="343"/>
        <v>#N/A</v>
      </c>
      <c r="JS115" s="11" t="e">
        <f t="shared" si="344"/>
        <v>#N/A</v>
      </c>
      <c r="NG115" s="12"/>
      <c r="NH115" s="12"/>
      <c r="NI115" s="11"/>
      <c r="NJ115" s="11"/>
      <c r="NV115" s="12"/>
      <c r="NW115" s="12"/>
      <c r="NX115" s="11"/>
      <c r="NY115" s="11"/>
      <c r="OB115" s="1"/>
    </row>
    <row r="116" spans="13:392" x14ac:dyDescent="0.2">
      <c r="M116" s="5" t="str" cm="1">
        <f t="array" ref="M116">LOOKUP(2,1/($G$19:$G$35&lt;=$V116)/($H$19:$H$35&gt;=$V116),$F$19:$F$35)</f>
        <v>2H19</v>
      </c>
      <c r="N116" s="5" t="str" cm="1">
        <f t="array" ref="N116">LOOKUP(2,1/($G$8:$G$16&lt;=$V116)/($H$8:$H$16&gt;=$V116),$F$8:$F$16)</f>
        <v>FY19</v>
      </c>
      <c r="O116" s="5" t="str">
        <f>IFERROR(N116&amp;"-"&amp;COUNTIF($N$5:N116,N116),NA())</f>
        <v>FY19-34</v>
      </c>
      <c r="P116" s="5">
        <f>COUNTIF(V$5:V116,"&gt;="&amp;MAX($V:$V)-183)</f>
        <v>0</v>
      </c>
      <c r="Q116" s="5">
        <f>COUNTIF(V$5:V116,"&gt;="&amp;MAX($V:$V)-365)</f>
        <v>0</v>
      </c>
      <c r="R116" s="5" cm="1">
        <f t="array" ref="R116">LOOKUP(2,1/($G$46:$G$50&lt;=$V116)/($H$46:$H$50&gt;=$V116),$F$46:$F$50)</f>
        <v>0</v>
      </c>
      <c r="S116" s="5" cm="1">
        <f t="array" ref="S116">LOOKUP(2,1/($G$53:$G$56&lt;=$V116)/($H$53:$H$56&gt;=$V116),$F$53:$F$56)</f>
        <v>0</v>
      </c>
      <c r="T116" s="5" t="e">
        <f>IFERROR(IF($R116&gt;0,$R116&amp;"-"&amp;COUNTIF($R$5:$R116,$R116),NA()),NA())</f>
        <v>#N/A</v>
      </c>
      <c r="U116" s="5" t="e">
        <f>IFERROR(IF($S116&gt;0,$S116&amp;"-"&amp;COUNTIF($S$5:$S116,$S116),NA()),NA())</f>
        <v>#N/A</v>
      </c>
      <c r="V116" s="10">
        <v>43517</v>
      </c>
      <c r="W116" s="9">
        <v>38283030.633083731</v>
      </c>
      <c r="X116" s="9">
        <v>46027687.730156578</v>
      </c>
      <c r="Y116" s="8">
        <v>30000000</v>
      </c>
      <c r="AI116" s="12"/>
      <c r="AJ116" s="12"/>
      <c r="AK116" s="11"/>
      <c r="AL116" s="11"/>
      <c r="AP116" s="12"/>
      <c r="AQ116" s="12"/>
      <c r="AR116" s="11"/>
      <c r="AS116" s="11"/>
      <c r="BI116" s="12"/>
      <c r="BJ116" s="12"/>
      <c r="BK116" s="11"/>
      <c r="BL116" s="11"/>
      <c r="BP116" s="111">
        <v>300</v>
      </c>
      <c r="BQ116" s="39">
        <f t="shared" si="357"/>
        <v>342426000</v>
      </c>
      <c r="BR116" s="110">
        <v>0.25</v>
      </c>
      <c r="BS116" s="39">
        <f t="shared" si="358"/>
        <v>428032500</v>
      </c>
      <c r="CE116" s="12"/>
      <c r="CF116" s="12"/>
      <c r="CG116" s="11"/>
      <c r="CH116" s="11"/>
      <c r="CJ116" s="13" t="s">
        <v>4</v>
      </c>
      <c r="CT116" s="12"/>
      <c r="CU116" s="12"/>
      <c r="CV116" s="11"/>
      <c r="CW116" s="11"/>
      <c r="DI116" s="12"/>
      <c r="DJ116" s="12"/>
      <c r="DK116" s="11"/>
      <c r="DL116" s="11"/>
      <c r="DX116" s="12"/>
      <c r="DY116" s="12"/>
      <c r="DZ116" s="11"/>
      <c r="EA116" s="11"/>
      <c r="EE116" s="12"/>
      <c r="EF116" s="12"/>
      <c r="EG116" s="11"/>
      <c r="EH116" s="11"/>
      <c r="ET116" s="12"/>
      <c r="EU116" s="12"/>
      <c r="EV116" s="11"/>
      <c r="EW116" s="11"/>
      <c r="FI116" s="12"/>
      <c r="FJ116" s="12"/>
      <c r="FK116" s="11"/>
      <c r="FL116" s="11"/>
      <c r="FP116" s="12"/>
      <c r="FQ116" s="12"/>
      <c r="FR116" s="11"/>
      <c r="FS116" s="11"/>
      <c r="GF116" s="12"/>
      <c r="GG116" s="12"/>
      <c r="GH116" s="11"/>
      <c r="GI116" s="11"/>
      <c r="GM116" s="12"/>
      <c r="GN116" s="12"/>
      <c r="GO116" s="11"/>
      <c r="GP116" s="11"/>
      <c r="HB116" s="12"/>
      <c r="HC116" s="12"/>
      <c r="HD116" s="11"/>
      <c r="HE116" s="11"/>
      <c r="HQ116" s="12"/>
      <c r="HR116" s="12"/>
      <c r="HS116" s="11"/>
      <c r="HT116" s="11"/>
      <c r="HX116" s="12"/>
      <c r="HY116" s="12"/>
      <c r="HZ116" s="11"/>
      <c r="IA116" s="11"/>
      <c r="IM116" s="12" t="str">
        <f t="shared" si="353"/>
        <v>FY23</v>
      </c>
      <c r="IN116" s="12">
        <f t="shared" si="354"/>
        <v>45092</v>
      </c>
      <c r="IO116" s="11">
        <f t="shared" si="355"/>
        <v>87.731429334205075</v>
      </c>
      <c r="IP116" s="11">
        <f t="shared" si="356"/>
        <v>60</v>
      </c>
      <c r="IT116" s="12" t="str">
        <f t="shared" si="347"/>
        <v>FY23</v>
      </c>
      <c r="IU116" s="12">
        <f t="shared" si="348"/>
        <v>44938</v>
      </c>
      <c r="IV116" s="11">
        <f t="shared" si="349"/>
        <v>22.177022316813623</v>
      </c>
      <c r="IW116" s="11">
        <f t="shared" si="350"/>
        <v>4</v>
      </c>
      <c r="JI116" s="12" t="str">
        <f t="shared" si="275"/>
        <v>FY24</v>
      </c>
      <c r="JJ116" s="12">
        <f t="shared" si="276"/>
        <v>45456</v>
      </c>
      <c r="JK116" s="11">
        <f t="shared" si="277"/>
        <v>41.109275798191128</v>
      </c>
      <c r="JL116" s="11">
        <f t="shared" si="278"/>
        <v>20</v>
      </c>
      <c r="JP116" s="12" t="str">
        <f t="shared" si="341"/>
        <v>FY24</v>
      </c>
      <c r="JQ116" s="12">
        <f t="shared" si="342"/>
        <v>45330</v>
      </c>
      <c r="JR116" s="11">
        <f t="shared" si="343"/>
        <v>22.03278903781192</v>
      </c>
      <c r="JS116" s="11">
        <f t="shared" si="344"/>
        <v>4</v>
      </c>
      <c r="NG116" s="12"/>
      <c r="NH116" s="12"/>
      <c r="NI116" s="11"/>
      <c r="NJ116" s="11"/>
      <c r="NV116" s="12"/>
      <c r="NW116" s="12"/>
      <c r="NX116" s="11"/>
      <c r="NY116" s="11"/>
      <c r="OB116" s="1"/>
    </row>
    <row r="117" spans="13:392" x14ac:dyDescent="0.2">
      <c r="M117" s="5" t="str" cm="1">
        <f t="array" ref="M117">LOOKUP(2,1/($G$19:$G$35&lt;=$V117)/($H$19:$H$35&gt;=$V117),$F$19:$F$35)</f>
        <v>2H19</v>
      </c>
      <c r="N117" s="5" t="str" cm="1">
        <f t="array" ref="N117">LOOKUP(2,1/($G$8:$G$16&lt;=$V117)/($H$8:$H$16&gt;=$V117),$F$8:$F$16)</f>
        <v>FY19</v>
      </c>
      <c r="O117" s="5" t="str">
        <f>IFERROR(N117&amp;"-"&amp;COUNTIF($N$5:N117,N117),NA())</f>
        <v>FY19-35</v>
      </c>
      <c r="P117" s="5">
        <f>COUNTIF(V$5:V117,"&gt;="&amp;MAX($V:$V)-183)</f>
        <v>0</v>
      </c>
      <c r="Q117" s="5">
        <f>COUNTIF(V$5:V117,"&gt;="&amp;MAX($V:$V)-365)</f>
        <v>0</v>
      </c>
      <c r="R117" s="5" cm="1">
        <f t="array" ref="R117">LOOKUP(2,1/($G$46:$G$50&lt;=$V117)/($H$46:$H$50&gt;=$V117),$F$46:$F$50)</f>
        <v>0</v>
      </c>
      <c r="S117" s="5" cm="1">
        <f t="array" ref="S117">LOOKUP(2,1/($G$53:$G$56&lt;=$V117)/($H$53:$H$56&gt;=$V117),$F$53:$F$56)</f>
        <v>0</v>
      </c>
      <c r="T117" s="5" t="e">
        <f>IFERROR(IF($R117&gt;0,$R117&amp;"-"&amp;COUNTIF($R$5:$R117,$R117),NA()),NA())</f>
        <v>#N/A</v>
      </c>
      <c r="U117" s="5" t="e">
        <f>IFERROR(IF($S117&gt;0,$S117&amp;"-"&amp;COUNTIF($S$5:$S117,$S117),NA()),NA())</f>
        <v>#N/A</v>
      </c>
      <c r="V117" s="10">
        <v>43524</v>
      </c>
      <c r="W117" s="9">
        <v>44982119.438084036</v>
      </c>
      <c r="X117" s="9">
        <v>54082002.200408444</v>
      </c>
      <c r="Y117" s="8">
        <v>40000000</v>
      </c>
      <c r="AP117" s="12"/>
      <c r="AQ117" s="12"/>
      <c r="AR117" s="11"/>
      <c r="AS117" s="11"/>
      <c r="BP117" s="111">
        <v>400</v>
      </c>
      <c r="BQ117" s="39">
        <f t="shared" si="357"/>
        <v>451046000</v>
      </c>
      <c r="BR117" s="110">
        <v>0.25</v>
      </c>
      <c r="BS117" s="39">
        <f t="shared" si="358"/>
        <v>563807500</v>
      </c>
      <c r="CJ117" s="13" t="s">
        <v>3</v>
      </c>
      <c r="EE117" s="12"/>
      <c r="EF117" s="12"/>
      <c r="EG117" s="11"/>
      <c r="EH117" s="11"/>
      <c r="FP117" s="12"/>
      <c r="FQ117" s="12"/>
      <c r="FR117" s="11"/>
      <c r="FS117" s="11"/>
      <c r="GM117" s="12"/>
      <c r="GN117" s="12"/>
      <c r="GO117" s="11"/>
      <c r="GP117" s="11"/>
      <c r="HX117" s="12"/>
      <c r="HY117" s="12"/>
      <c r="HZ117" s="11"/>
      <c r="IA117" s="11"/>
      <c r="IM117" s="12" t="str">
        <f t="shared" si="353"/>
        <v>FY23</v>
      </c>
      <c r="IN117" s="12">
        <f t="shared" si="354"/>
        <v>45099</v>
      </c>
      <c r="IO117" s="11">
        <f t="shared" si="355"/>
        <v>169.14758330609132</v>
      </c>
      <c r="IP117" s="11">
        <f t="shared" si="356"/>
        <v>100</v>
      </c>
      <c r="IT117" s="12" t="str">
        <f t="shared" si="347"/>
        <v>FY23</v>
      </c>
      <c r="IU117" s="12">
        <f t="shared" si="348"/>
        <v>44945</v>
      </c>
      <c r="IV117" s="11">
        <f t="shared" si="349"/>
        <v>28.696273517786555</v>
      </c>
      <c r="IW117" s="11">
        <f t="shared" si="350"/>
        <v>8</v>
      </c>
      <c r="JI117" s="12" t="str">
        <f t="shared" si="275"/>
        <v>FY24</v>
      </c>
      <c r="JJ117" s="12">
        <f t="shared" si="276"/>
        <v>45463</v>
      </c>
      <c r="JK117" s="11">
        <f t="shared" si="277"/>
        <v>55.0771206276561</v>
      </c>
      <c r="JL117" s="11">
        <f t="shared" si="278"/>
        <v>40</v>
      </c>
      <c r="JP117" s="12" t="str">
        <f t="shared" ref="JP117:JP137" si="359">IF(OR(ISBLANK(JA37),$IH37&gt;=$IU$86),NA(),JA37)</f>
        <v>FY24</v>
      </c>
      <c r="JQ117" s="12">
        <f t="shared" ref="JQ117:JQ137" si="360">IF(OR(ISBLANK(JB37),$JD37&gt;=$JQ$82),NA(),JB37)</f>
        <v>45337</v>
      </c>
      <c r="JR117" s="11">
        <f t="shared" ref="JR117:JR137" si="361">IF(OR(ISBLANK(JC37),$JD37&gt;=$JQ$82),NA(),JC37/1000000)</f>
        <v>21.26904805491991</v>
      </c>
      <c r="JS117" s="11">
        <f t="shared" ref="JS117:JS137" si="362">IF(OR(ISBLANK(JD37),$JD37&gt;=$JQ$82),NA(),JD37/1000000)</f>
        <v>4</v>
      </c>
      <c r="OB117" s="1"/>
    </row>
    <row r="118" spans="13:392" x14ac:dyDescent="0.2">
      <c r="M118" s="5" t="str" cm="1">
        <f t="array" ref="M118">LOOKUP(2,1/($G$19:$G$35&lt;=$V118)/($H$19:$H$35&gt;=$V118),$F$19:$F$35)</f>
        <v>2H19</v>
      </c>
      <c r="N118" s="5" t="str" cm="1">
        <f t="array" ref="N118">LOOKUP(2,1/($G$8:$G$16&lt;=$V118)/($H$8:$H$16&gt;=$V118),$F$8:$F$16)</f>
        <v>FY19</v>
      </c>
      <c r="O118" s="5" t="str">
        <f>IFERROR(N118&amp;"-"&amp;COUNTIF($N$5:N118,N118),NA())</f>
        <v>FY19-36</v>
      </c>
      <c r="P118" s="5">
        <f>COUNTIF(V$5:V118,"&gt;="&amp;MAX($V:$V)-183)</f>
        <v>0</v>
      </c>
      <c r="Q118" s="5">
        <f>COUNTIF(V$5:V118,"&gt;="&amp;MAX($V:$V)-365)</f>
        <v>0</v>
      </c>
      <c r="R118" s="5" cm="1">
        <f t="array" ref="R118">LOOKUP(2,1/($G$46:$G$50&lt;=$V118)/($H$46:$H$50&gt;=$V118),$F$46:$F$50)</f>
        <v>0</v>
      </c>
      <c r="S118" s="5" cm="1">
        <f t="array" ref="S118">LOOKUP(2,1/($G$53:$G$56&lt;=$V118)/($H$53:$H$56&gt;=$V118),$F$53:$F$56)</f>
        <v>0</v>
      </c>
      <c r="T118" s="5" t="e">
        <f>IFERROR(IF($R118&gt;0,$R118&amp;"-"&amp;COUNTIF($R$5:$R118,$R118),NA()),NA())</f>
        <v>#N/A</v>
      </c>
      <c r="U118" s="5" t="e">
        <f>IFERROR(IF($S118&gt;0,$S118&amp;"-"&amp;COUNTIF($S$5:$S118,$S118),NA()),NA())</f>
        <v>#N/A</v>
      </c>
      <c r="V118" s="10">
        <v>43531</v>
      </c>
      <c r="W118" s="9">
        <v>13444204.963178415</v>
      </c>
      <c r="X118" s="9">
        <v>16163967.627229409</v>
      </c>
      <c r="Y118" s="8">
        <v>3000000</v>
      </c>
      <c r="AP118" s="12"/>
      <c r="AQ118" s="12"/>
      <c r="AR118" s="11"/>
      <c r="AS118" s="11"/>
      <c r="BP118" s="111">
        <v>500</v>
      </c>
      <c r="BQ118" s="39">
        <f t="shared" si="357"/>
        <v>559666000</v>
      </c>
      <c r="BR118" s="110">
        <v>0.25</v>
      </c>
      <c r="BS118" s="39">
        <f t="shared" si="358"/>
        <v>699582500</v>
      </c>
      <c r="CJ118" s="13"/>
      <c r="EE118" s="12"/>
      <c r="EF118" s="12"/>
      <c r="EG118" s="11"/>
      <c r="EH118" s="11"/>
      <c r="FP118" s="12"/>
      <c r="FQ118" s="12"/>
      <c r="FR118" s="11"/>
      <c r="FS118" s="11"/>
      <c r="GM118" s="12"/>
      <c r="GN118" s="12"/>
      <c r="GO118" s="11"/>
      <c r="GP118" s="11"/>
      <c r="HX118" s="12"/>
      <c r="HY118" s="12"/>
      <c r="HZ118" s="11"/>
      <c r="IA118" s="11"/>
      <c r="IM118" s="12" t="str">
        <f t="shared" si="353"/>
        <v>FY23</v>
      </c>
      <c r="IN118" s="12">
        <f t="shared" si="354"/>
        <v>45106</v>
      </c>
      <c r="IO118" s="11">
        <f t="shared" si="355"/>
        <v>19.52442312302496</v>
      </c>
      <c r="IP118" s="11">
        <f t="shared" si="356"/>
        <v>4</v>
      </c>
      <c r="IT118" s="12" t="str">
        <f t="shared" si="347"/>
        <v>FY23</v>
      </c>
      <c r="IU118" s="12">
        <f t="shared" si="348"/>
        <v>44952</v>
      </c>
      <c r="IV118" s="11">
        <f t="shared" si="349"/>
        <v>41.97672252964427</v>
      </c>
      <c r="IW118" s="11">
        <f t="shared" si="350"/>
        <v>20</v>
      </c>
      <c r="JI118" s="12" t="str">
        <f t="shared" si="275"/>
        <v>FY24</v>
      </c>
      <c r="JJ118" s="12">
        <f t="shared" si="276"/>
        <v>45470</v>
      </c>
      <c r="JK118" s="11">
        <f t="shared" si="277"/>
        <v>19.509070393374742</v>
      </c>
      <c r="JL118" s="11">
        <f t="shared" si="278"/>
        <v>4</v>
      </c>
      <c r="JP118" s="12" t="str">
        <f t="shared" si="359"/>
        <v>FY24</v>
      </c>
      <c r="JQ118" s="12">
        <f t="shared" si="360"/>
        <v>45344</v>
      </c>
      <c r="JR118" s="11">
        <f t="shared" si="361"/>
        <v>20.955573934837091</v>
      </c>
      <c r="JS118" s="11">
        <f t="shared" si="362"/>
        <v>4</v>
      </c>
      <c r="OB118" s="1"/>
    </row>
    <row r="119" spans="13:392" x14ac:dyDescent="0.2">
      <c r="M119" s="5" t="str" cm="1">
        <f t="array" ref="M119">LOOKUP(2,1/($G$19:$G$35&lt;=$V119)/($H$19:$H$35&gt;=$V119),$F$19:$F$35)</f>
        <v>2H19</v>
      </c>
      <c r="N119" s="5" t="str" cm="1">
        <f t="array" ref="N119">LOOKUP(2,1/($G$8:$G$16&lt;=$V119)/($H$8:$H$16&gt;=$V119),$F$8:$F$16)</f>
        <v>FY19</v>
      </c>
      <c r="O119" s="5" t="str">
        <f>IFERROR(N119&amp;"-"&amp;COUNTIF($N$5:N119,N119),NA())</f>
        <v>FY19-37</v>
      </c>
      <c r="P119" s="5">
        <f>COUNTIF(V$5:V119,"&gt;="&amp;MAX($V:$V)-183)</f>
        <v>0</v>
      </c>
      <c r="Q119" s="5">
        <f>COUNTIF(V$5:V119,"&gt;="&amp;MAX($V:$V)-365)</f>
        <v>0</v>
      </c>
      <c r="R119" s="5" cm="1">
        <f t="array" ref="R119">LOOKUP(2,1/($G$46:$G$50&lt;=$V119)/($H$46:$H$50&gt;=$V119),$F$46:$F$50)</f>
        <v>0</v>
      </c>
      <c r="S119" s="5" cm="1">
        <f t="array" ref="S119">LOOKUP(2,1/($G$53:$G$56&lt;=$V119)/($H$53:$H$56&gt;=$V119),$F$53:$F$56)</f>
        <v>0</v>
      </c>
      <c r="T119" s="5" t="e">
        <f>IFERROR(IF($R119&gt;0,$R119&amp;"-"&amp;COUNTIF($R$5:$R119,$R119),NA()),NA())</f>
        <v>#N/A</v>
      </c>
      <c r="U119" s="5" t="e">
        <f>IFERROR(IF($S119&gt;0,$S119&amp;"-"&amp;COUNTIF($S$5:$S119,$S119),NA()),NA())</f>
        <v>#N/A</v>
      </c>
      <c r="V119" s="10">
        <v>43538</v>
      </c>
      <c r="W119" s="9">
        <v>16484335.664335664</v>
      </c>
      <c r="X119" s="9">
        <v>19819116.769230772</v>
      </c>
      <c r="Y119" s="8">
        <v>8000000</v>
      </c>
      <c r="BP119" s="40"/>
      <c r="BQ119" s="39"/>
      <c r="BR119" s="110"/>
      <c r="BS119" s="39"/>
      <c r="CJ119" s="13" t="s">
        <v>2</v>
      </c>
      <c r="IM119" s="12" t="e">
        <f t="shared" si="353"/>
        <v>#N/A</v>
      </c>
      <c r="IN119" s="12" t="e">
        <f t="shared" si="354"/>
        <v>#N/A</v>
      </c>
      <c r="IO119" s="11" t="e">
        <f t="shared" si="355"/>
        <v>#N/A</v>
      </c>
      <c r="IP119" s="11" t="e">
        <f t="shared" si="356"/>
        <v>#N/A</v>
      </c>
      <c r="IT119" s="12" t="str">
        <f t="shared" si="347"/>
        <v>FY23</v>
      </c>
      <c r="IU119" s="12">
        <f t="shared" si="348"/>
        <v>44959</v>
      </c>
      <c r="IV119" s="11">
        <f t="shared" si="349"/>
        <v>59.808873700212828</v>
      </c>
      <c r="IW119" s="11">
        <f t="shared" si="350"/>
        <v>40</v>
      </c>
      <c r="JI119" s="12" t="e">
        <f t="shared" si="275"/>
        <v>#N/A</v>
      </c>
      <c r="JJ119" s="12" t="e">
        <f t="shared" si="276"/>
        <v>#N/A</v>
      </c>
      <c r="JK119" s="11" t="e">
        <f t="shared" si="277"/>
        <v>#N/A</v>
      </c>
      <c r="JL119" s="11" t="e">
        <f t="shared" si="278"/>
        <v>#N/A</v>
      </c>
      <c r="JP119" s="12" t="str">
        <f t="shared" si="359"/>
        <v>FY24</v>
      </c>
      <c r="JQ119" s="12">
        <f t="shared" si="360"/>
        <v>45351</v>
      </c>
      <c r="JR119" s="11">
        <f t="shared" si="361"/>
        <v>33.186050670153648</v>
      </c>
      <c r="JS119" s="11">
        <f t="shared" si="362"/>
        <v>12</v>
      </c>
      <c r="OB119" s="1"/>
    </row>
    <row r="120" spans="13:392" x14ac:dyDescent="0.2">
      <c r="M120" s="5" t="str" cm="1">
        <f t="array" ref="M120">LOOKUP(2,1/($G$19:$G$35&lt;=$V120)/($H$19:$H$35&gt;=$V120),$F$19:$F$35)</f>
        <v>2H19</v>
      </c>
      <c r="N120" s="5" t="str" cm="1">
        <f t="array" ref="N120">LOOKUP(2,1/($G$8:$G$16&lt;=$V120)/($H$8:$H$16&gt;=$V120),$F$8:$F$16)</f>
        <v>FY19</v>
      </c>
      <c r="O120" s="5" t="str">
        <f>IFERROR(N120&amp;"-"&amp;COUNTIF($N$5:N120,N120),NA())</f>
        <v>FY19-38</v>
      </c>
      <c r="P120" s="5">
        <f>COUNTIF(V$5:V120,"&gt;="&amp;MAX($V:$V)-183)</f>
        <v>0</v>
      </c>
      <c r="Q120" s="5">
        <f>COUNTIF(V$5:V120,"&gt;="&amp;MAX($V:$V)-365)</f>
        <v>0</v>
      </c>
      <c r="R120" s="5" cm="1">
        <f t="array" ref="R120">LOOKUP(2,1/($G$46:$G$50&lt;=$V120)/($H$46:$H$50&gt;=$V120),$F$46:$F$50)</f>
        <v>0</v>
      </c>
      <c r="S120" s="5" cm="1">
        <f t="array" ref="S120">LOOKUP(2,1/($G$53:$G$56&lt;=$V120)/($H$53:$H$56&gt;=$V120),$F$53:$F$56)</f>
        <v>0</v>
      </c>
      <c r="T120" s="5" t="e">
        <f>IFERROR(IF($R120&gt;0,$R120&amp;"-"&amp;COUNTIF($R$5:$R120,$R120),NA()),NA())</f>
        <v>#N/A</v>
      </c>
      <c r="U120" s="5" t="e">
        <f>IFERROR(IF($S120&gt;0,$S120&amp;"-"&amp;COUNTIF($S$5:$S120,$S120),NA()),NA())</f>
        <v>#N/A</v>
      </c>
      <c r="V120" s="10">
        <v>43545</v>
      </c>
      <c r="W120" s="9">
        <v>20282530.107061081</v>
      </c>
      <c r="X120" s="9">
        <v>24385685.94771954</v>
      </c>
      <c r="Y120" s="8">
        <v>12000000</v>
      </c>
      <c r="BP120" s="40"/>
      <c r="BQ120" s="39"/>
      <c r="BR120" s="110"/>
      <c r="BS120" s="39"/>
      <c r="CJ120" s="13" t="s">
        <v>1</v>
      </c>
      <c r="IM120" s="12"/>
      <c r="IN120" s="12"/>
      <c r="IO120" s="11"/>
      <c r="IP120" s="11"/>
      <c r="IT120" s="12" t="str">
        <f t="shared" si="347"/>
        <v>FY23</v>
      </c>
      <c r="IU120" s="12">
        <f t="shared" si="348"/>
        <v>44966</v>
      </c>
      <c r="IV120" s="11">
        <f t="shared" si="349"/>
        <v>20.069480449984798</v>
      </c>
      <c r="IW120" s="11">
        <f t="shared" si="350"/>
        <v>4</v>
      </c>
      <c r="JI120" s="12"/>
      <c r="JJ120" s="12"/>
      <c r="JK120" s="11"/>
      <c r="JL120" s="11"/>
      <c r="JP120" s="12" t="str">
        <f t="shared" si="359"/>
        <v>FY24</v>
      </c>
      <c r="JQ120" s="12">
        <f t="shared" si="360"/>
        <v>45358</v>
      </c>
      <c r="JR120" s="11">
        <f t="shared" si="361"/>
        <v>40.790859104282447</v>
      </c>
      <c r="JS120" s="11">
        <f t="shared" si="362"/>
        <v>20</v>
      </c>
      <c r="OB120" s="1"/>
    </row>
    <row r="121" spans="13:392" x14ac:dyDescent="0.2">
      <c r="M121" s="5" t="str" cm="1">
        <f t="array" ref="M121">LOOKUP(2,1/($G$19:$G$35&lt;=$V121)/($H$19:$H$35&gt;=$V121),$F$19:$F$35)</f>
        <v>2H19</v>
      </c>
      <c r="N121" s="5" t="str" cm="1">
        <f t="array" ref="N121">LOOKUP(2,1/($G$8:$G$16&lt;=$V121)/($H$8:$H$16&gt;=$V121),$F$8:$F$16)</f>
        <v>FY19</v>
      </c>
      <c r="O121" s="5" t="str">
        <f>IFERROR(N121&amp;"-"&amp;COUNTIF($N$5:N121,N121),NA())</f>
        <v>FY19-39</v>
      </c>
      <c r="P121" s="5">
        <f>COUNTIF(V$5:V121,"&gt;="&amp;MAX($V:$V)-183)</f>
        <v>0</v>
      </c>
      <c r="Q121" s="5">
        <f>COUNTIF(V$5:V121,"&gt;="&amp;MAX($V:$V)-365)</f>
        <v>0</v>
      </c>
      <c r="R121" s="5" cm="1">
        <f t="array" ref="R121">LOOKUP(2,1/($G$46:$G$50&lt;=$V121)/($H$46:$H$50&gt;=$V121),$F$46:$F$50)</f>
        <v>0</v>
      </c>
      <c r="S121" s="5" cm="1">
        <f t="array" ref="S121">LOOKUP(2,1/($G$53:$G$56&lt;=$V121)/($H$53:$H$56&gt;=$V121),$F$53:$F$56)</f>
        <v>0</v>
      </c>
      <c r="T121" s="5" t="e">
        <f>IFERROR(IF($R121&gt;0,$R121&amp;"-"&amp;COUNTIF($R$5:$R121,$R121),NA()),NA())</f>
        <v>#N/A</v>
      </c>
      <c r="U121" s="5" t="e">
        <f>IFERROR(IF($S121&gt;0,$S121&amp;"-"&amp;COUNTIF($S$5:$S121,$S121),NA()),NA())</f>
        <v>#N/A</v>
      </c>
      <c r="V121" s="10">
        <v>43552</v>
      </c>
      <c r="W121" s="9">
        <v>26225644.9037688</v>
      </c>
      <c r="X121" s="9">
        <v>31531092.867801234</v>
      </c>
      <c r="Y121" s="8">
        <v>20000000</v>
      </c>
      <c r="BP121" s="40"/>
      <c r="BQ121" s="39"/>
      <c r="BR121" s="110"/>
      <c r="BS121" s="39"/>
      <c r="CJ121" s="13" t="s">
        <v>0</v>
      </c>
      <c r="IM121" s="12"/>
      <c r="IN121" s="12"/>
      <c r="IO121" s="11"/>
      <c r="IP121" s="11"/>
      <c r="IT121" s="12" t="str">
        <f t="shared" ref="IT121:IT141" si="363">IF(OR(ISBLANK(IE37),$IH37&gt;=$IU$86),NA(),IE37)</f>
        <v>FY23</v>
      </c>
      <c r="IU121" s="12">
        <f t="shared" ref="IU121:IU141" si="364">IF(OR(ISBLANK(IF37),$IH37&gt;=$IU$86),NA(),IF37)</f>
        <v>44973</v>
      </c>
      <c r="IV121" s="11">
        <f t="shared" ref="IV121:IV141" si="365">IF(OR(ISBLANK(IG37),$IH37&gt;=$IU$86),NA(),IG37/1000000)</f>
        <v>27.295176771055036</v>
      </c>
      <c r="IW121" s="11">
        <f t="shared" ref="IW121:IW141" si="366">IF(OR(ISBLANK(IH37),$IH37&gt;=$IU$86),NA(),IH37/1000000)</f>
        <v>8</v>
      </c>
      <c r="JI121" s="12"/>
      <c r="JJ121" s="12"/>
      <c r="JK121" s="11"/>
      <c r="JL121" s="11"/>
      <c r="JP121" s="12" t="str">
        <f t="shared" si="359"/>
        <v>FY24</v>
      </c>
      <c r="JQ121" s="12">
        <f t="shared" si="360"/>
        <v>45365</v>
      </c>
      <c r="JR121" s="11">
        <f t="shared" si="361"/>
        <v>52.908046965239187</v>
      </c>
      <c r="JS121" s="11">
        <f t="shared" si="362"/>
        <v>40</v>
      </c>
      <c r="OB121" s="1"/>
    </row>
    <row r="122" spans="13:392" x14ac:dyDescent="0.2">
      <c r="M122" s="5" t="str" cm="1">
        <f t="array" ref="M122">LOOKUP(2,1/($G$19:$G$35&lt;=$V122)/($H$19:$H$35&gt;=$V122),$F$19:$F$35)</f>
        <v>2H19</v>
      </c>
      <c r="N122" s="5" t="str" cm="1">
        <f t="array" ref="N122">LOOKUP(2,1/($G$8:$G$16&lt;=$V122)/($H$8:$H$16&gt;=$V122),$F$8:$F$16)</f>
        <v>FY19</v>
      </c>
      <c r="O122" s="5" t="str">
        <f>IFERROR(N122&amp;"-"&amp;COUNTIF($N$5:N122,N122),NA())</f>
        <v>FY19-40</v>
      </c>
      <c r="P122" s="5">
        <f>COUNTIF(V$5:V122,"&gt;="&amp;MAX($V:$V)-183)</f>
        <v>0</v>
      </c>
      <c r="Q122" s="5">
        <f>COUNTIF(V$5:V122,"&gt;="&amp;MAX($V:$V)-365)</f>
        <v>0</v>
      </c>
      <c r="R122" s="5" cm="1">
        <f t="array" ref="R122">LOOKUP(2,1/($G$46:$G$50&lt;=$V122)/($H$46:$H$50&gt;=$V122),$F$46:$F$50)</f>
        <v>0</v>
      </c>
      <c r="S122" s="5" cm="1">
        <f t="array" ref="S122">LOOKUP(2,1/($G$53:$G$56&lt;=$V122)/($H$53:$H$56&gt;=$V122),$F$53:$F$56)</f>
        <v>0</v>
      </c>
      <c r="T122" s="5" t="e">
        <f>IFERROR(IF($R122&gt;0,$R122&amp;"-"&amp;COUNTIF($R$5:$R122,$R122),NA()),NA())</f>
        <v>#N/A</v>
      </c>
      <c r="U122" s="5" t="e">
        <f>IFERROR(IF($S122&gt;0,$S122&amp;"-"&amp;COUNTIF($S$5:$S122,$S122),NA()),NA())</f>
        <v>#N/A</v>
      </c>
      <c r="V122" s="10">
        <v>43559</v>
      </c>
      <c r="W122" s="9">
        <v>13585177.795655672</v>
      </c>
      <c r="X122" s="9">
        <v>16333459.263716815</v>
      </c>
      <c r="Y122" s="8">
        <v>3000000</v>
      </c>
      <c r="BP122" s="40"/>
      <c r="BQ122" s="39"/>
      <c r="BR122" s="40"/>
      <c r="BS122" s="39"/>
      <c r="IM122" s="12"/>
      <c r="IN122" s="12"/>
      <c r="IO122" s="11"/>
      <c r="IP122" s="11"/>
      <c r="IT122" s="12" t="str">
        <f t="shared" si="363"/>
        <v>FY23</v>
      </c>
      <c r="IU122" s="12">
        <f t="shared" si="364"/>
        <v>44980</v>
      </c>
      <c r="IV122" s="11">
        <f t="shared" si="365"/>
        <v>43.788940346609913</v>
      </c>
      <c r="IW122" s="11">
        <f t="shared" si="366"/>
        <v>20</v>
      </c>
      <c r="JI122" s="12"/>
      <c r="JJ122" s="12"/>
      <c r="JK122" s="11"/>
      <c r="JL122" s="11"/>
      <c r="JP122" s="12" t="str">
        <f t="shared" si="359"/>
        <v>FY24</v>
      </c>
      <c r="JQ122" s="12">
        <f t="shared" si="360"/>
        <v>45372</v>
      </c>
      <c r="JR122" s="11">
        <f t="shared" si="361"/>
        <v>19.7636487959028</v>
      </c>
      <c r="JS122" s="11">
        <f t="shared" si="362"/>
        <v>4</v>
      </c>
      <c r="OB122" s="1"/>
    </row>
    <row r="123" spans="13:392" x14ac:dyDescent="0.2">
      <c r="M123" s="5" t="str" cm="1">
        <f t="array" ref="M123">LOOKUP(2,1/($G$19:$G$35&lt;=$V123)/($H$19:$H$35&gt;=$V123),$F$19:$F$35)</f>
        <v>2H19</v>
      </c>
      <c r="N123" s="5" t="str" cm="1">
        <f t="array" ref="N123">LOOKUP(2,1/($G$8:$G$16&lt;=$V123)/($H$8:$H$16&gt;=$V123),$F$8:$F$16)</f>
        <v>FY19</v>
      </c>
      <c r="O123" s="5" t="str">
        <f>IFERROR(N123&amp;"-"&amp;COUNTIF($N$5:N123,N123),NA())</f>
        <v>FY19-41</v>
      </c>
      <c r="P123" s="5">
        <f>COUNTIF(V$5:V123,"&gt;="&amp;MAX($V:$V)-183)</f>
        <v>0</v>
      </c>
      <c r="Q123" s="5">
        <f>COUNTIF(V$5:V123,"&gt;="&amp;MAX($V:$V)-365)</f>
        <v>0</v>
      </c>
      <c r="R123" s="5" cm="1">
        <f t="array" ref="R123">LOOKUP(2,1/($G$46:$G$50&lt;=$V123)/($H$46:$H$50&gt;=$V123),$F$46:$F$50)</f>
        <v>0</v>
      </c>
      <c r="S123" s="5" cm="1">
        <f t="array" ref="S123">LOOKUP(2,1/($G$53:$G$56&lt;=$V123)/($H$53:$H$56&gt;=$V123),$F$53:$F$56)</f>
        <v>0</v>
      </c>
      <c r="T123" s="5" t="e">
        <f>IFERROR(IF($R123&gt;0,$R123&amp;"-"&amp;COUNTIF($R$5:$R123,$R123),NA()),NA())</f>
        <v>#N/A</v>
      </c>
      <c r="U123" s="5" t="e">
        <f>IFERROR(IF($S123&gt;0,$S123&amp;"-"&amp;COUNTIF($S$5:$S123,$S123),NA()),NA())</f>
        <v>#N/A</v>
      </c>
      <c r="V123" s="10">
        <v>43566</v>
      </c>
      <c r="W123" s="9">
        <v>17744063.617798131</v>
      </c>
      <c r="X123" s="9">
        <v>21333687.687678695</v>
      </c>
      <c r="Y123" s="8">
        <v>8000000</v>
      </c>
      <c r="BP123" s="2" t="s">
        <v>28</v>
      </c>
      <c r="BQ123" s="42">
        <v>100000000</v>
      </c>
      <c r="BR123" s="40"/>
      <c r="BS123" s="39"/>
      <c r="IM123" s="12"/>
      <c r="IN123" s="12"/>
      <c r="IO123" s="11"/>
      <c r="IP123" s="11"/>
      <c r="IT123" s="12" t="str">
        <f t="shared" si="363"/>
        <v>FY23</v>
      </c>
      <c r="IU123" s="12">
        <f t="shared" si="364"/>
        <v>44987</v>
      </c>
      <c r="IV123" s="11">
        <f t="shared" si="365"/>
        <v>60.656023107327449</v>
      </c>
      <c r="IW123" s="11">
        <f t="shared" si="366"/>
        <v>40</v>
      </c>
      <c r="JI123" s="12"/>
      <c r="JJ123" s="12"/>
      <c r="JK123" s="11"/>
      <c r="JL123" s="11"/>
      <c r="JP123" s="12" t="str">
        <f t="shared" si="359"/>
        <v>FY24</v>
      </c>
      <c r="JQ123" s="12">
        <f t="shared" si="360"/>
        <v>45379</v>
      </c>
      <c r="JR123" s="11">
        <f t="shared" si="361"/>
        <v>28.780959790781303</v>
      </c>
      <c r="JS123" s="11">
        <f t="shared" si="362"/>
        <v>12</v>
      </c>
      <c r="OB123" s="1"/>
    </row>
    <row r="124" spans="13:392" x14ac:dyDescent="0.2">
      <c r="M124" s="5" t="str" cm="1">
        <f t="array" ref="M124">LOOKUP(2,1/($G$19:$G$35&lt;=$V124)/($H$19:$H$35&gt;=$V124),$F$19:$F$35)</f>
        <v>2H19</v>
      </c>
      <c r="N124" s="5" t="str" cm="1">
        <f t="array" ref="N124">LOOKUP(2,1/($G$8:$G$16&lt;=$V124)/($H$8:$H$16&gt;=$V124),$F$8:$F$16)</f>
        <v>FY19</v>
      </c>
      <c r="O124" s="5" t="str">
        <f>IFERROR(N124&amp;"-"&amp;COUNTIF($N$5:N124,N124),NA())</f>
        <v>FY19-42</v>
      </c>
      <c r="P124" s="5">
        <f>COUNTIF(V$5:V124,"&gt;="&amp;MAX($V:$V)-183)</f>
        <v>0</v>
      </c>
      <c r="Q124" s="5">
        <f>COUNTIF(V$5:V124,"&gt;="&amp;MAX($V:$V)-365)</f>
        <v>0</v>
      </c>
      <c r="R124" s="5" cm="1">
        <f t="array" ref="R124">LOOKUP(2,1/($G$46:$G$50&lt;=$V124)/($H$46:$H$50&gt;=$V124),$F$46:$F$50)</f>
        <v>0</v>
      </c>
      <c r="S124" s="5" cm="1">
        <f t="array" ref="S124">LOOKUP(2,1/($G$53:$G$56&lt;=$V124)/($H$53:$H$56&gt;=$V124),$F$53:$F$56)</f>
        <v>0</v>
      </c>
      <c r="T124" s="5" t="e">
        <f>IFERROR(IF($R124&gt;0,$R124&amp;"-"&amp;COUNTIF($R$5:$R124,$R124),NA()),NA())</f>
        <v>#N/A</v>
      </c>
      <c r="U124" s="5" t="e">
        <f>IFERROR(IF($S124&gt;0,$S124&amp;"-"&amp;COUNTIF($S$5:$S124,$S124),NA()),NA())</f>
        <v>#N/A</v>
      </c>
      <c r="V124" s="10">
        <v>43573</v>
      </c>
      <c r="W124" s="9">
        <v>22274509.066155083</v>
      </c>
      <c r="X124" s="9">
        <v>26780642.250238258</v>
      </c>
      <c r="Y124" s="8">
        <v>12000000</v>
      </c>
      <c r="BP124" s="40"/>
      <c r="BQ124" s="39"/>
      <c r="BR124" s="40"/>
      <c r="BS124" s="39"/>
      <c r="IM124" s="12"/>
      <c r="IN124" s="12"/>
      <c r="IO124" s="11"/>
      <c r="IP124" s="11"/>
      <c r="IT124" s="12" t="str">
        <f t="shared" si="363"/>
        <v>FY23</v>
      </c>
      <c r="IU124" s="12">
        <f t="shared" si="364"/>
        <v>44994</v>
      </c>
      <c r="IV124" s="11">
        <f t="shared" si="365"/>
        <v>20.922155062328976</v>
      </c>
      <c r="IW124" s="11">
        <f t="shared" si="366"/>
        <v>4</v>
      </c>
      <c r="JI124" s="12"/>
      <c r="JJ124" s="12"/>
      <c r="JK124" s="11"/>
      <c r="JL124" s="11"/>
      <c r="JP124" s="12" t="str">
        <f t="shared" si="359"/>
        <v>FY24</v>
      </c>
      <c r="JQ124" s="12">
        <f t="shared" si="360"/>
        <v>45386</v>
      </c>
      <c r="JR124" s="11">
        <f t="shared" si="361"/>
        <v>33.664848752315571</v>
      </c>
      <c r="JS124" s="11">
        <f t="shared" si="362"/>
        <v>20</v>
      </c>
      <c r="OB124" s="1"/>
    </row>
    <row r="125" spans="13:392" x14ac:dyDescent="0.2">
      <c r="M125" s="5" t="str" cm="1">
        <f t="array" ref="M125">LOOKUP(2,1/($G$19:$G$35&lt;=$V125)/($H$19:$H$35&gt;=$V125),$F$19:$F$35)</f>
        <v>2H19</v>
      </c>
      <c r="N125" s="5" t="str" cm="1">
        <f t="array" ref="N125">LOOKUP(2,1/($G$8:$G$16&lt;=$V125)/($H$8:$H$16&gt;=$V125),$F$8:$F$16)</f>
        <v>FY19</v>
      </c>
      <c r="O125" s="5" t="str">
        <f>IFERROR(N125&amp;"-"&amp;COUNTIF($N$5:N125,N125),NA())</f>
        <v>FY19-43</v>
      </c>
      <c r="P125" s="5">
        <f>COUNTIF(V$5:V125,"&gt;="&amp;MAX($V:$V)-183)</f>
        <v>0</v>
      </c>
      <c r="Q125" s="5">
        <f>COUNTIF(V$5:V125,"&gt;="&amp;MAX($V:$V)-365)</f>
        <v>0</v>
      </c>
      <c r="R125" s="5" cm="1">
        <f t="array" ref="R125">LOOKUP(2,1/($G$46:$G$50&lt;=$V125)/($H$46:$H$50&gt;=$V125),$F$46:$F$50)</f>
        <v>0</v>
      </c>
      <c r="S125" s="5" cm="1">
        <f t="array" ref="S125">LOOKUP(2,1/($G$53:$G$56&lt;=$V125)/($H$53:$H$56&gt;=$V125),$F$53:$F$56)</f>
        <v>0</v>
      </c>
      <c r="T125" s="5" t="e">
        <f>IFERROR(IF($R125&gt;0,$R125&amp;"-"&amp;COUNTIF($R$5:$R125,$R125),NA()),NA())</f>
        <v>#N/A</v>
      </c>
      <c r="U125" s="5" t="e">
        <f>IFERROR(IF($S125&gt;0,$S125&amp;"-"&amp;COUNTIF($S$5:$S125,$S125),NA()),NA())</f>
        <v>#N/A</v>
      </c>
      <c r="V125" s="10">
        <v>43580</v>
      </c>
      <c r="W125" s="9">
        <v>22688576.025744166</v>
      </c>
      <c r="X125" s="9">
        <v>27278474.955752213</v>
      </c>
      <c r="Y125" s="8">
        <v>20000000</v>
      </c>
      <c r="BP125" s="38" t="s">
        <v>48</v>
      </c>
      <c r="BQ125" s="38" t="s">
        <v>26</v>
      </c>
      <c r="BR125" s="38" t="s">
        <v>25</v>
      </c>
      <c r="BS125" s="38" t="s">
        <v>24</v>
      </c>
      <c r="IM125" s="12"/>
      <c r="IN125" s="12"/>
      <c r="IO125" s="11"/>
      <c r="IP125" s="11"/>
      <c r="IT125" s="12" t="str">
        <f t="shared" si="363"/>
        <v>FY23</v>
      </c>
      <c r="IU125" s="12">
        <f t="shared" si="364"/>
        <v>45001</v>
      </c>
      <c r="IV125" s="11">
        <f t="shared" si="365"/>
        <v>22.050697598054121</v>
      </c>
      <c r="IW125" s="11">
        <f t="shared" si="366"/>
        <v>4</v>
      </c>
      <c r="JI125" s="12"/>
      <c r="JJ125" s="12"/>
      <c r="JK125" s="11"/>
      <c r="JL125" s="11"/>
      <c r="JP125" s="12" t="str">
        <f t="shared" si="359"/>
        <v>FY24</v>
      </c>
      <c r="JQ125" s="12">
        <f t="shared" si="360"/>
        <v>45393</v>
      </c>
      <c r="JR125" s="11">
        <f t="shared" si="361"/>
        <v>19.70956619810396</v>
      </c>
      <c r="JS125" s="11">
        <f t="shared" si="362"/>
        <v>4</v>
      </c>
      <c r="OB125" s="1"/>
    </row>
    <row r="126" spans="13:392" x14ac:dyDescent="0.2">
      <c r="M126" s="5" t="str" cm="1">
        <f t="array" ref="M126">LOOKUP(2,1/($G$19:$G$35&lt;=$V126)/($H$19:$H$35&gt;=$V126),$F$19:$F$35)</f>
        <v>2H19</v>
      </c>
      <c r="N126" s="5" t="str" cm="1">
        <f t="array" ref="N126">LOOKUP(2,1/($G$8:$G$16&lt;=$V126)/($H$8:$H$16&gt;=$V126),$F$8:$F$16)</f>
        <v>FY19</v>
      </c>
      <c r="O126" s="5" t="str">
        <f>IFERROR(N126&amp;"-"&amp;COUNTIF($N$5:N126,N126),NA())</f>
        <v>FY19-44</v>
      </c>
      <c r="P126" s="5">
        <f>COUNTIF(V$5:V126,"&gt;="&amp;MAX($V:$V)-183)</f>
        <v>0</v>
      </c>
      <c r="Q126" s="5">
        <f>COUNTIF(V$5:V126,"&gt;="&amp;MAX($V:$V)-365)</f>
        <v>0</v>
      </c>
      <c r="R126" s="5" cm="1">
        <f t="array" ref="R126">LOOKUP(2,1/($G$46:$G$50&lt;=$V126)/($H$46:$H$50&gt;=$V126),$F$46:$F$50)</f>
        <v>0</v>
      </c>
      <c r="S126" s="5" cm="1">
        <f t="array" ref="S126">LOOKUP(2,1/($G$53:$G$56&lt;=$V126)/($H$53:$H$56&gt;=$V126),$F$53:$F$56)</f>
        <v>0</v>
      </c>
      <c r="T126" s="5" t="e">
        <f>IFERROR(IF($R126&gt;0,$R126&amp;"-"&amp;COUNTIF($R$5:$R126,$R126),NA()),NA())</f>
        <v>#N/A</v>
      </c>
      <c r="U126" s="5" t="e">
        <f>IFERROR(IF($S126&gt;0,$S126&amp;"-"&amp;COUNTIF($S$5:$S126,$S126),NA()),NA())</f>
        <v>#N/A</v>
      </c>
      <c r="V126" s="10">
        <v>43587</v>
      </c>
      <c r="W126" s="9">
        <v>34273410.483321987</v>
      </c>
      <c r="X126" s="9">
        <v>41206921.42409803</v>
      </c>
      <c r="Y126" s="8">
        <v>30000000</v>
      </c>
      <c r="BP126" s="18">
        <f t="shared" ref="BP126:BP157" si="367">IF(OR(ISBLANK(AW5),$AZ5&gt;=$BQ$123),NA(),AW5)</f>
        <v>1</v>
      </c>
      <c r="BQ126" s="12">
        <f t="shared" ref="BQ126:BQ157" si="368">IF(OR(ISBLANK(AX5),$AZ5&gt;=$BQ$123),NA(),AX5)</f>
        <v>45106</v>
      </c>
      <c r="BR126" s="11">
        <f t="shared" ref="BR126:BR157" si="369">IF(OR(ISBLANK(AY5),$AZ5&gt;=$BQ$123),NA(),AY5/1000000)</f>
        <v>19.52442312302496</v>
      </c>
      <c r="BS126" s="11">
        <f t="shared" ref="BS126:BS157" si="370">IF(OR(ISBLANK(AZ5),$AZ5&gt;=$BQ$123),NA(),AZ5/1000000)</f>
        <v>4</v>
      </c>
      <c r="IM126" s="12"/>
      <c r="IN126" s="12"/>
      <c r="IO126" s="11"/>
      <c r="IP126" s="11"/>
      <c r="IT126" s="12" t="str">
        <f t="shared" si="363"/>
        <v>FY23</v>
      </c>
      <c r="IU126" s="12">
        <f t="shared" si="364"/>
        <v>45008</v>
      </c>
      <c r="IV126" s="11">
        <f t="shared" si="365"/>
        <v>25.902576588628762</v>
      </c>
      <c r="IW126" s="11">
        <f t="shared" si="366"/>
        <v>8</v>
      </c>
      <c r="JI126" s="12"/>
      <c r="JJ126" s="12"/>
      <c r="JK126" s="11"/>
      <c r="JL126" s="11"/>
      <c r="JP126" s="12" t="str">
        <f t="shared" si="359"/>
        <v>FY24</v>
      </c>
      <c r="JQ126" s="12">
        <f t="shared" si="360"/>
        <v>45400</v>
      </c>
      <c r="JR126" s="11">
        <f t="shared" si="361"/>
        <v>30.895473575242455</v>
      </c>
      <c r="JS126" s="11">
        <f t="shared" si="362"/>
        <v>12</v>
      </c>
      <c r="OB126" s="1"/>
    </row>
    <row r="127" spans="13:392" x14ac:dyDescent="0.2">
      <c r="M127" s="5" t="str" cm="1">
        <f t="array" ref="M127">LOOKUP(2,1/($G$19:$G$35&lt;=$V127)/($H$19:$H$35&gt;=$V127),$F$19:$F$35)</f>
        <v>2H19</v>
      </c>
      <c r="N127" s="5" t="str" cm="1">
        <f t="array" ref="N127">LOOKUP(2,1/($G$8:$G$16&lt;=$V127)/($H$8:$H$16&gt;=$V127),$F$8:$F$16)</f>
        <v>FY19</v>
      </c>
      <c r="O127" s="5" t="str">
        <f>IFERROR(N127&amp;"-"&amp;COUNTIF($N$5:N127,N127),NA())</f>
        <v>FY19-45</v>
      </c>
      <c r="P127" s="5">
        <f>COUNTIF(V$5:V127,"&gt;="&amp;MAX($V:$V)-183)</f>
        <v>0</v>
      </c>
      <c r="Q127" s="5">
        <f>COUNTIF(V$5:V127,"&gt;="&amp;MAX($V:$V)-365)</f>
        <v>0</v>
      </c>
      <c r="R127" s="5" cm="1">
        <f t="array" ref="R127">LOOKUP(2,1/($G$46:$G$50&lt;=$V127)/($H$46:$H$50&gt;=$V127),$F$46:$F$50)</f>
        <v>0</v>
      </c>
      <c r="S127" s="5" cm="1">
        <f t="array" ref="S127">LOOKUP(2,1/($G$53:$G$56&lt;=$V127)/($H$53:$H$56&gt;=$V127),$F$53:$F$56)</f>
        <v>0</v>
      </c>
      <c r="T127" s="5" t="e">
        <f>IFERROR(IF($R127&gt;0,$R127&amp;"-"&amp;COUNTIF($R$5:$R127,$R127),NA()),NA())</f>
        <v>#N/A</v>
      </c>
      <c r="U127" s="5" t="e">
        <f>IFERROR(IF($S127&gt;0,$S127&amp;"-"&amp;COUNTIF($S$5:$S127,$S127),NA()),NA())</f>
        <v>#N/A</v>
      </c>
      <c r="V127" s="10">
        <v>43594</v>
      </c>
      <c r="W127" s="9">
        <v>12230604.616622316</v>
      </c>
      <c r="X127" s="9">
        <v>14704855.930565013</v>
      </c>
      <c r="Y127" s="8">
        <v>3000000</v>
      </c>
      <c r="BP127" s="18">
        <f t="shared" si="367"/>
        <v>2</v>
      </c>
      <c r="BQ127" s="12">
        <f t="shared" si="368"/>
        <v>45113</v>
      </c>
      <c r="BR127" s="11">
        <f t="shared" si="369"/>
        <v>31.154789255748071</v>
      </c>
      <c r="BS127" s="11">
        <f t="shared" si="370"/>
        <v>12</v>
      </c>
      <c r="IM127" s="12"/>
      <c r="IN127" s="12"/>
      <c r="IO127" s="11"/>
      <c r="IP127" s="11"/>
      <c r="IT127" s="12" t="str">
        <f t="shared" si="363"/>
        <v>FY23</v>
      </c>
      <c r="IU127" s="12">
        <f t="shared" si="364"/>
        <v>45015</v>
      </c>
      <c r="IV127" s="11">
        <f t="shared" si="365"/>
        <v>25.590152994831257</v>
      </c>
      <c r="IW127" s="11">
        <f t="shared" si="366"/>
        <v>8</v>
      </c>
      <c r="JI127" s="12"/>
      <c r="JJ127" s="12"/>
      <c r="JK127" s="11"/>
      <c r="JL127" s="11"/>
      <c r="JP127" s="12" t="str">
        <f t="shared" si="359"/>
        <v>FY24</v>
      </c>
      <c r="JQ127" s="12">
        <f t="shared" si="360"/>
        <v>45407</v>
      </c>
      <c r="JR127" s="11">
        <f t="shared" si="361"/>
        <v>37.208673640623303</v>
      </c>
      <c r="JS127" s="11">
        <f t="shared" si="362"/>
        <v>20</v>
      </c>
      <c r="OB127" s="1"/>
    </row>
    <row r="128" spans="13:392" x14ac:dyDescent="0.2">
      <c r="M128" s="5" t="str" cm="1">
        <f t="array" ref="M128">LOOKUP(2,1/($G$19:$G$35&lt;=$V128)/($H$19:$H$35&gt;=$V128),$F$19:$F$35)</f>
        <v>2H19</v>
      </c>
      <c r="N128" s="5" t="str" cm="1">
        <f t="array" ref="N128">LOOKUP(2,1/($G$8:$G$16&lt;=$V128)/($H$8:$H$16&gt;=$V128),$F$8:$F$16)</f>
        <v>FY19</v>
      </c>
      <c r="O128" s="5" t="str">
        <f>IFERROR(N128&amp;"-"&amp;COUNTIF($N$5:N128,N128),NA())</f>
        <v>FY19-46</v>
      </c>
      <c r="P128" s="5">
        <f>COUNTIF(V$5:V128,"&gt;="&amp;MAX($V:$V)-183)</f>
        <v>0</v>
      </c>
      <c r="Q128" s="5">
        <f>COUNTIF(V$5:V128,"&gt;="&amp;MAX($V:$V)-365)</f>
        <v>0</v>
      </c>
      <c r="R128" s="5" cm="1">
        <f t="array" ref="R128">LOOKUP(2,1/($G$46:$G$50&lt;=$V128)/($H$46:$H$50&gt;=$V128),$F$46:$F$50)</f>
        <v>0</v>
      </c>
      <c r="S128" s="5" cm="1">
        <f t="array" ref="S128">LOOKUP(2,1/($G$53:$G$56&lt;=$V128)/($H$53:$H$56&gt;=$V128),$F$53:$F$56)</f>
        <v>0</v>
      </c>
      <c r="T128" s="5" t="e">
        <f>IFERROR(IF($R128&gt;0,$R128&amp;"-"&amp;COUNTIF($R$5:$R128,$R128),NA()),NA())</f>
        <v>#N/A</v>
      </c>
      <c r="U128" s="5" t="e">
        <f>IFERROR(IF($S128&gt;0,$S128&amp;"-"&amp;COUNTIF($S$5:$S128,$S128),NA()),NA())</f>
        <v>#N/A</v>
      </c>
      <c r="V128" s="10">
        <v>43601</v>
      </c>
      <c r="W128" s="9">
        <v>16704121.542174639</v>
      </c>
      <c r="X128" s="9">
        <v>20083365.330156572</v>
      </c>
      <c r="Y128" s="8">
        <v>8000000</v>
      </c>
      <c r="BP128" s="18">
        <f t="shared" si="367"/>
        <v>3</v>
      </c>
      <c r="BQ128" s="12">
        <f t="shared" si="368"/>
        <v>45120</v>
      </c>
      <c r="BR128" s="11">
        <f t="shared" si="369"/>
        <v>40.570238531110391</v>
      </c>
      <c r="BS128" s="11">
        <f t="shared" si="370"/>
        <v>20</v>
      </c>
      <c r="IM128" s="12"/>
      <c r="IN128" s="12"/>
      <c r="IO128" s="11"/>
      <c r="IP128" s="11"/>
      <c r="IT128" s="12" t="str">
        <f t="shared" si="363"/>
        <v>FY23</v>
      </c>
      <c r="IU128" s="12">
        <f t="shared" si="364"/>
        <v>45022</v>
      </c>
      <c r="IV128" s="11">
        <f t="shared" si="365"/>
        <v>41.047026208574025</v>
      </c>
      <c r="IW128" s="11">
        <f t="shared" si="366"/>
        <v>20</v>
      </c>
      <c r="JI128" s="12"/>
      <c r="JJ128" s="12"/>
      <c r="JK128" s="11"/>
      <c r="JL128" s="11"/>
      <c r="JP128" s="12" t="str">
        <f t="shared" si="359"/>
        <v>FY24</v>
      </c>
      <c r="JQ128" s="12">
        <f t="shared" si="360"/>
        <v>45414</v>
      </c>
      <c r="JR128" s="11">
        <f t="shared" si="361"/>
        <v>54.983203443391083</v>
      </c>
      <c r="JS128" s="11">
        <f t="shared" si="362"/>
        <v>40</v>
      </c>
      <c r="OB128" s="1"/>
    </row>
    <row r="129" spans="13:392" x14ac:dyDescent="0.2">
      <c r="M129" s="5" t="str" cm="1">
        <f t="array" ref="M129">LOOKUP(2,1/($G$19:$G$35&lt;=$V129)/($H$19:$H$35&gt;=$V129),$F$19:$F$35)</f>
        <v>2H19</v>
      </c>
      <c r="N129" s="5" t="str" cm="1">
        <f t="array" ref="N129">LOOKUP(2,1/($G$8:$G$16&lt;=$V129)/($H$8:$H$16&gt;=$V129),$F$8:$F$16)</f>
        <v>FY19</v>
      </c>
      <c r="O129" s="5" t="str">
        <f>IFERROR(N129&amp;"-"&amp;COUNTIF($N$5:N129,N129),NA())</f>
        <v>FY19-47</v>
      </c>
      <c r="P129" s="5">
        <f>COUNTIF(V$5:V129,"&gt;="&amp;MAX($V:$V)-183)</f>
        <v>0</v>
      </c>
      <c r="Q129" s="5">
        <f>COUNTIF(V$5:V129,"&gt;="&amp;MAX($V:$V)-365)</f>
        <v>0</v>
      </c>
      <c r="R129" s="5" cm="1">
        <f t="array" ref="R129">LOOKUP(2,1/($G$46:$G$50&lt;=$V129)/($H$46:$H$50&gt;=$V129),$F$46:$F$50)</f>
        <v>0</v>
      </c>
      <c r="S129" s="5" cm="1">
        <f t="array" ref="S129">LOOKUP(2,1/($G$53:$G$56&lt;=$V129)/($H$53:$H$56&gt;=$V129),$F$53:$F$56)</f>
        <v>0</v>
      </c>
      <c r="T129" s="5" t="e">
        <f>IFERROR(IF($R129&gt;0,$R129&amp;"-"&amp;COUNTIF($R$5:$R129,$R129),NA()),NA())</f>
        <v>#N/A</v>
      </c>
      <c r="U129" s="5" t="e">
        <f>IFERROR(IF($S129&gt;0,$S129&amp;"-"&amp;COUNTIF($S$5:$S129,$S129),NA()),NA())</f>
        <v>#N/A</v>
      </c>
      <c r="V129" s="10">
        <v>43608</v>
      </c>
      <c r="W129" s="9">
        <v>12325589.702333063</v>
      </c>
      <c r="X129" s="9">
        <v>14819056.499115042</v>
      </c>
      <c r="Y129" s="8">
        <v>3000000</v>
      </c>
      <c r="BP129" s="18">
        <f t="shared" si="367"/>
        <v>4</v>
      </c>
      <c r="BQ129" s="12">
        <f t="shared" si="368"/>
        <v>45127</v>
      </c>
      <c r="BR129" s="11">
        <f t="shared" si="369"/>
        <v>60.8369621880789</v>
      </c>
      <c r="BS129" s="11">
        <f t="shared" si="370"/>
        <v>40</v>
      </c>
      <c r="IM129" s="12"/>
      <c r="IN129" s="12"/>
      <c r="IO129" s="11"/>
      <c r="IP129" s="11"/>
      <c r="IT129" s="12" t="str">
        <f t="shared" si="363"/>
        <v>FY23</v>
      </c>
      <c r="IU129" s="12">
        <f t="shared" si="364"/>
        <v>45029</v>
      </c>
      <c r="IV129" s="11">
        <f t="shared" si="365"/>
        <v>49.471698145332923</v>
      </c>
      <c r="IW129" s="11">
        <f t="shared" si="366"/>
        <v>30</v>
      </c>
      <c r="JI129" s="12"/>
      <c r="JJ129" s="12"/>
      <c r="JK129" s="11"/>
      <c r="JL129" s="11"/>
      <c r="JP129" s="12" t="str">
        <f t="shared" si="359"/>
        <v>FY24</v>
      </c>
      <c r="JQ129" s="12">
        <f t="shared" si="360"/>
        <v>45421</v>
      </c>
      <c r="JR129" s="11">
        <f t="shared" si="361"/>
        <v>77.952955649994564</v>
      </c>
      <c r="JS129" s="11">
        <f t="shared" si="362"/>
        <v>60</v>
      </c>
      <c r="OB129" s="1"/>
    </row>
    <row r="130" spans="13:392" x14ac:dyDescent="0.2">
      <c r="M130" s="5" t="str" cm="1">
        <f t="array" ref="M130">LOOKUP(2,1/($G$19:$G$35&lt;=$V130)/($H$19:$H$35&gt;=$V130),$F$19:$F$35)</f>
        <v>2H19</v>
      </c>
      <c r="N130" s="5" t="str" cm="1">
        <f t="array" ref="N130">LOOKUP(2,1/($G$8:$G$16&lt;=$V130)/($H$8:$H$16&gt;=$V130),$F$8:$F$16)</f>
        <v>FY19</v>
      </c>
      <c r="O130" s="5" t="str">
        <f>IFERROR(N130&amp;"-"&amp;COUNTIF($N$5:N130,N130),NA())</f>
        <v>FY19-48</v>
      </c>
      <c r="P130" s="5">
        <f>COUNTIF(V$5:V130,"&gt;="&amp;MAX($V:$V)-183)</f>
        <v>0</v>
      </c>
      <c r="Q130" s="5">
        <f>COUNTIF(V$5:V130,"&gt;="&amp;MAX($V:$V)-365)</f>
        <v>0</v>
      </c>
      <c r="R130" s="5" cm="1">
        <f t="array" ref="R130">LOOKUP(2,1/($G$46:$G$50&lt;=$V130)/($H$46:$H$50&gt;=$V130),$F$46:$F$50)</f>
        <v>0</v>
      </c>
      <c r="S130" s="5" cm="1">
        <f t="array" ref="S130">LOOKUP(2,1/($G$53:$G$56&lt;=$V130)/($H$53:$H$56&gt;=$V130),$F$53:$F$56)</f>
        <v>0</v>
      </c>
      <c r="T130" s="5" t="e">
        <f>IFERROR(IF($R130&gt;0,$R130&amp;"-"&amp;COUNTIF($R$5:$R130,$R130),NA()),NA())</f>
        <v>#N/A</v>
      </c>
      <c r="U130" s="5" t="e">
        <f>IFERROR(IF($S130&gt;0,$S130&amp;"-"&amp;COUNTIF($S$5:$S130,$S130),NA()),NA())</f>
        <v>#N/A</v>
      </c>
      <c r="V130" s="10">
        <v>43615</v>
      </c>
      <c r="W130" s="9">
        <v>15336385.914969984</v>
      </c>
      <c r="X130" s="9">
        <v>18438936.785568416</v>
      </c>
      <c r="Y130" s="8">
        <v>8000000</v>
      </c>
      <c r="BP130" s="18">
        <f t="shared" si="367"/>
        <v>5</v>
      </c>
      <c r="BQ130" s="12">
        <f t="shared" si="368"/>
        <v>45134</v>
      </c>
      <c r="BR130" s="11">
        <f t="shared" si="369"/>
        <v>84.639629072681714</v>
      </c>
      <c r="BS130" s="11">
        <f t="shared" si="370"/>
        <v>60</v>
      </c>
      <c r="IM130" s="12"/>
      <c r="IN130" s="12"/>
      <c r="IO130" s="11"/>
      <c r="IP130" s="11"/>
      <c r="IT130" s="12" t="str">
        <f t="shared" si="363"/>
        <v>FY23</v>
      </c>
      <c r="IU130" s="12">
        <f t="shared" si="364"/>
        <v>45036</v>
      </c>
      <c r="IV130" s="11">
        <f t="shared" si="365"/>
        <v>21.741040681058067</v>
      </c>
      <c r="IW130" s="11">
        <f t="shared" si="366"/>
        <v>4</v>
      </c>
      <c r="JI130" s="12"/>
      <c r="JJ130" s="12"/>
      <c r="JK130" s="11"/>
      <c r="JL130" s="11"/>
      <c r="JP130" s="12" t="str">
        <f t="shared" si="359"/>
        <v>FY24</v>
      </c>
      <c r="JQ130" s="12" t="e">
        <f t="shared" si="360"/>
        <v>#N/A</v>
      </c>
      <c r="JR130" s="11" t="e">
        <f t="shared" si="361"/>
        <v>#N/A</v>
      </c>
      <c r="JS130" s="11" t="e">
        <f t="shared" si="362"/>
        <v>#N/A</v>
      </c>
      <c r="OB130" s="1"/>
    </row>
    <row r="131" spans="13:392" x14ac:dyDescent="0.2">
      <c r="M131" s="5" t="str" cm="1">
        <f t="array" ref="M131">LOOKUP(2,1/($G$19:$G$35&lt;=$V131)/($H$19:$H$35&gt;=$V131),$F$19:$F$35)</f>
        <v>2H19</v>
      </c>
      <c r="N131" s="5" t="str" cm="1">
        <f t="array" ref="N131">LOOKUP(2,1/($G$8:$G$16&lt;=$V131)/($H$8:$H$16&gt;=$V131),$F$8:$F$16)</f>
        <v>FY19</v>
      </c>
      <c r="O131" s="5" t="str">
        <f>IFERROR(N131&amp;"-"&amp;COUNTIF($N$5:N131,N131),NA())</f>
        <v>FY19-49</v>
      </c>
      <c r="P131" s="5">
        <f>COUNTIF(V$5:V131,"&gt;="&amp;MAX($V:$V)-183)</f>
        <v>0</v>
      </c>
      <c r="Q131" s="5">
        <f>COUNTIF(V$5:V131,"&gt;="&amp;MAX($V:$V)-365)</f>
        <v>0</v>
      </c>
      <c r="R131" s="5" cm="1">
        <f t="array" ref="R131">LOOKUP(2,1/($G$46:$G$50&lt;=$V131)/($H$46:$H$50&gt;=$V131),$F$46:$F$50)</f>
        <v>0</v>
      </c>
      <c r="S131" s="5" cm="1">
        <f t="array" ref="S131">LOOKUP(2,1/($G$53:$G$56&lt;=$V131)/($H$53:$H$56&gt;=$V131),$F$53:$F$56)</f>
        <v>0</v>
      </c>
      <c r="T131" s="5" t="e">
        <f>IFERROR(IF($R131&gt;0,$R131&amp;"-"&amp;COUNTIF($R$5:$R131,$R131),NA()),NA())</f>
        <v>#N/A</v>
      </c>
      <c r="U131" s="5" t="e">
        <f>IFERROR(IF($S131&gt;0,$S131&amp;"-"&amp;COUNTIF($S$5:$S131,$S131),NA()),NA())</f>
        <v>#N/A</v>
      </c>
      <c r="V131" s="10">
        <v>43622</v>
      </c>
      <c r="W131" s="9">
        <v>18797418.899684388</v>
      </c>
      <c r="X131" s="9">
        <v>22600136.743090544</v>
      </c>
      <c r="Y131" s="8">
        <v>12000000</v>
      </c>
      <c r="BP131" s="18" t="e">
        <f t="shared" si="367"/>
        <v>#N/A</v>
      </c>
      <c r="BQ131" s="12" t="e">
        <f t="shared" si="368"/>
        <v>#N/A</v>
      </c>
      <c r="BR131" s="11" t="e">
        <f t="shared" si="369"/>
        <v>#N/A</v>
      </c>
      <c r="BS131" s="11" t="e">
        <f t="shared" si="370"/>
        <v>#N/A</v>
      </c>
      <c r="IM131" s="12"/>
      <c r="IN131" s="12"/>
      <c r="IO131" s="11"/>
      <c r="IP131" s="11"/>
      <c r="IT131" s="12" t="str">
        <f t="shared" si="363"/>
        <v>FY23</v>
      </c>
      <c r="IU131" s="12">
        <f t="shared" si="364"/>
        <v>45043</v>
      </c>
      <c r="IV131" s="11">
        <f t="shared" si="365"/>
        <v>27.045895287321372</v>
      </c>
      <c r="IW131" s="11">
        <f t="shared" si="366"/>
        <v>8</v>
      </c>
      <c r="JI131" s="12"/>
      <c r="JJ131" s="12"/>
      <c r="JK131" s="11"/>
      <c r="JL131" s="11"/>
      <c r="JP131" s="12" t="str">
        <f t="shared" si="359"/>
        <v>FY24</v>
      </c>
      <c r="JQ131" s="12" t="e">
        <f t="shared" si="360"/>
        <v>#N/A</v>
      </c>
      <c r="JR131" s="11" t="e">
        <f t="shared" si="361"/>
        <v>#N/A</v>
      </c>
      <c r="JS131" s="11" t="e">
        <f t="shared" si="362"/>
        <v>#N/A</v>
      </c>
      <c r="OB131" s="1"/>
    </row>
    <row r="132" spans="13:392" x14ac:dyDescent="0.2">
      <c r="M132" s="5" t="str" cm="1">
        <f t="array" ref="M132">LOOKUP(2,1/($G$19:$G$35&lt;=$V132)/($H$19:$H$35&gt;=$V132),$F$19:$F$35)</f>
        <v>2H19</v>
      </c>
      <c r="N132" s="5" t="str" cm="1">
        <f t="array" ref="N132">LOOKUP(2,1/($G$8:$G$16&lt;=$V132)/($H$8:$H$16&gt;=$V132),$F$8:$F$16)</f>
        <v>FY19</v>
      </c>
      <c r="O132" s="5" t="str">
        <f>IFERROR(N132&amp;"-"&amp;COUNTIF($N$5:N132,N132),NA())</f>
        <v>FY19-50</v>
      </c>
      <c r="P132" s="5">
        <f>COUNTIF(V$5:V132,"&gt;="&amp;MAX($V:$V)-183)</f>
        <v>0</v>
      </c>
      <c r="Q132" s="5">
        <f>COUNTIF(V$5:V132,"&gt;="&amp;MAX($V:$V)-365)</f>
        <v>0</v>
      </c>
      <c r="R132" s="5" cm="1">
        <f t="array" ref="R132">LOOKUP(2,1/($G$46:$G$50&lt;=$V132)/($H$46:$H$50&gt;=$V132),$F$46:$F$50)</f>
        <v>0</v>
      </c>
      <c r="S132" s="5" cm="1">
        <f t="array" ref="S132">LOOKUP(2,1/($G$53:$G$56&lt;=$V132)/($H$53:$H$56&gt;=$V132),$F$53:$F$56)</f>
        <v>0</v>
      </c>
      <c r="T132" s="5" t="e">
        <f>IFERROR(IF($R132&gt;0,$R132&amp;"-"&amp;COUNTIF($R$5:$R132,$R132),NA()),NA())</f>
        <v>#N/A</v>
      </c>
      <c r="U132" s="5" t="e">
        <f>IFERROR(IF($S132&gt;0,$S132&amp;"-"&amp;COUNTIF($S$5:$S132,$S132),NA()),NA())</f>
        <v>#N/A</v>
      </c>
      <c r="V132" s="10">
        <v>43629</v>
      </c>
      <c r="W132" s="9">
        <v>22750507.333374586</v>
      </c>
      <c r="X132" s="9">
        <v>27352934.966916267</v>
      </c>
      <c r="Y132" s="8">
        <v>20000000</v>
      </c>
      <c r="BP132" s="18">
        <f t="shared" si="367"/>
        <v>7</v>
      </c>
      <c r="BQ132" s="12">
        <f t="shared" si="368"/>
        <v>45148</v>
      </c>
      <c r="BR132" s="11">
        <f t="shared" si="369"/>
        <v>20.677774436090228</v>
      </c>
      <c r="BS132" s="11">
        <f t="shared" si="370"/>
        <v>4</v>
      </c>
      <c r="IM132" s="12"/>
      <c r="IN132" s="12"/>
      <c r="IO132" s="11"/>
      <c r="IP132" s="11"/>
      <c r="IT132" s="12" t="str">
        <f t="shared" si="363"/>
        <v>FY23</v>
      </c>
      <c r="IU132" s="12">
        <f t="shared" si="364"/>
        <v>45050</v>
      </c>
      <c r="IV132" s="11">
        <f t="shared" si="365"/>
        <v>41.813564487686222</v>
      </c>
      <c r="IW132" s="11">
        <f t="shared" si="366"/>
        <v>20</v>
      </c>
      <c r="JI132" s="12"/>
      <c r="JJ132" s="12"/>
      <c r="JK132" s="11"/>
      <c r="JL132" s="11"/>
      <c r="JP132" s="12" t="str">
        <f t="shared" si="359"/>
        <v>FY24</v>
      </c>
      <c r="JQ132" s="12">
        <f t="shared" si="360"/>
        <v>45442</v>
      </c>
      <c r="JR132" s="11">
        <f t="shared" si="361"/>
        <v>21.15536057535142</v>
      </c>
      <c r="JS132" s="11">
        <f t="shared" si="362"/>
        <v>4</v>
      </c>
      <c r="OB132" s="1"/>
    </row>
    <row r="133" spans="13:392" x14ac:dyDescent="0.2">
      <c r="M133" s="5" t="str" cm="1">
        <f t="array" ref="M133">LOOKUP(2,1/($G$19:$G$35&lt;=$V133)/($H$19:$H$35&gt;=$V133),$F$19:$F$35)</f>
        <v>2H19</v>
      </c>
      <c r="N133" s="5" t="str" cm="1">
        <f t="array" ref="N133">LOOKUP(2,1/($G$8:$G$16&lt;=$V133)/($H$8:$H$16&gt;=$V133),$F$8:$F$16)</f>
        <v>FY19</v>
      </c>
      <c r="O133" s="5" t="str">
        <f>IFERROR(N133&amp;"-"&amp;COUNTIF($N$5:N133,N133),NA())</f>
        <v>FY19-51</v>
      </c>
      <c r="P133" s="5">
        <f>COUNTIF(V$5:V133,"&gt;="&amp;MAX($V:$V)-183)</f>
        <v>0</v>
      </c>
      <c r="Q133" s="5">
        <f>COUNTIF(V$5:V133,"&gt;="&amp;MAX($V:$V)-365)</f>
        <v>0</v>
      </c>
      <c r="R133" s="5" cm="1">
        <f t="array" ref="R133">LOOKUP(2,1/($G$46:$G$50&lt;=$V133)/($H$46:$H$50&gt;=$V133),$F$46:$F$50)</f>
        <v>0</v>
      </c>
      <c r="S133" s="5" cm="1">
        <f t="array" ref="S133">LOOKUP(2,1/($G$53:$G$56&lt;=$V133)/($H$53:$H$56&gt;=$V133),$F$53:$F$56)</f>
        <v>0</v>
      </c>
      <c r="T133" s="5" t="e">
        <f>IFERROR(IF($R133&gt;0,$R133&amp;"-"&amp;COUNTIF($R$5:$R133,$R133),NA()),NA())</f>
        <v>#N/A</v>
      </c>
      <c r="U133" s="5" t="e">
        <f>IFERROR(IF($S133&gt;0,$S133&amp;"-"&amp;COUNTIF($S$5:$S133,$S133),NA()),NA())</f>
        <v>#N/A</v>
      </c>
      <c r="V133" s="10">
        <v>43636</v>
      </c>
      <c r="W133" s="9">
        <v>27826067.454669226</v>
      </c>
      <c r="X133" s="9">
        <v>33455280.900748815</v>
      </c>
      <c r="Y133" s="8">
        <v>30000000</v>
      </c>
      <c r="BP133" s="18">
        <f t="shared" si="367"/>
        <v>8</v>
      </c>
      <c r="BQ133" s="12">
        <f t="shared" si="368"/>
        <v>45155</v>
      </c>
      <c r="BR133" s="11">
        <f t="shared" si="369"/>
        <v>30.840203334423013</v>
      </c>
      <c r="BS133" s="11">
        <f t="shared" si="370"/>
        <v>12</v>
      </c>
      <c r="IM133" s="12"/>
      <c r="IN133" s="12"/>
      <c r="IO133" s="11"/>
      <c r="IP133" s="11"/>
      <c r="IT133" s="12" t="str">
        <f t="shared" si="363"/>
        <v>FY23</v>
      </c>
      <c r="IU133" s="12">
        <f t="shared" si="364"/>
        <v>45057</v>
      </c>
      <c r="IV133" s="11">
        <f t="shared" si="365"/>
        <v>19.348700760109455</v>
      </c>
      <c r="IW133" s="11">
        <f t="shared" si="366"/>
        <v>4</v>
      </c>
      <c r="JI133" s="12"/>
      <c r="JJ133" s="12"/>
      <c r="JK133" s="11"/>
      <c r="JL133" s="11"/>
      <c r="JP133" s="12" t="str">
        <f t="shared" si="359"/>
        <v>FY24</v>
      </c>
      <c r="JQ133" s="12">
        <f t="shared" si="360"/>
        <v>45449</v>
      </c>
      <c r="JR133" s="11">
        <f t="shared" si="361"/>
        <v>32.64936362645745</v>
      </c>
      <c r="JS133" s="11">
        <f t="shared" si="362"/>
        <v>12</v>
      </c>
      <c r="OB133" s="1"/>
    </row>
    <row r="134" spans="13:392" x14ac:dyDescent="0.2">
      <c r="M134" s="5" t="str" cm="1">
        <f t="array" ref="M134">LOOKUP(2,1/($G$19:$G$35&lt;=$V134)/($H$19:$H$35&gt;=$V134),$F$19:$F$35)</f>
        <v>2H19</v>
      </c>
      <c r="N134" s="5" t="str" cm="1">
        <f t="array" ref="N134">LOOKUP(2,1/($G$8:$G$16&lt;=$V134)/($H$8:$H$16&gt;=$V134),$F$8:$F$16)</f>
        <v>FY19</v>
      </c>
      <c r="O134" s="5" t="str">
        <f>IFERROR(N134&amp;"-"&amp;COUNTIF($N$5:N134,N134),NA())</f>
        <v>FY19-52</v>
      </c>
      <c r="P134" s="5">
        <f>COUNTIF(V$5:V134,"&gt;="&amp;MAX($V:$V)-183)</f>
        <v>0</v>
      </c>
      <c r="Q134" s="5">
        <f>COUNTIF(V$5:V134,"&gt;="&amp;MAX($V:$V)-365)</f>
        <v>0</v>
      </c>
      <c r="R134" s="5" cm="1">
        <f t="array" ref="R134">LOOKUP(2,1/($G$46:$G$50&lt;=$V134)/($H$46:$H$50&gt;=$V134),$F$46:$F$50)</f>
        <v>0</v>
      </c>
      <c r="S134" s="5" cm="1">
        <f t="array" ref="S134">LOOKUP(2,1/($G$53:$G$56&lt;=$V134)/($H$53:$H$56&gt;=$V134),$F$53:$F$56)</f>
        <v>0</v>
      </c>
      <c r="T134" s="5" t="e">
        <f>IFERROR(IF($R134&gt;0,$R134&amp;"-"&amp;COUNTIF($R$5:$R134,$R134),NA()),NA())</f>
        <v>#N/A</v>
      </c>
      <c r="U134" s="5" t="e">
        <f>IFERROR(IF($S134&gt;0,$S134&amp;"-"&amp;COUNTIF($S$5:$S134,$S134),NA()),NA())</f>
        <v>#N/A</v>
      </c>
      <c r="V134" s="10">
        <v>43643</v>
      </c>
      <c r="W134" s="9">
        <v>37957462.714276873</v>
      </c>
      <c r="X134" s="9">
        <v>45636257.421375088</v>
      </c>
      <c r="Y134" s="8">
        <v>40000000</v>
      </c>
      <c r="BP134" s="18">
        <f t="shared" si="367"/>
        <v>9</v>
      </c>
      <c r="BQ134" s="12">
        <f t="shared" si="368"/>
        <v>45162</v>
      </c>
      <c r="BR134" s="11">
        <f t="shared" si="369"/>
        <v>42.995307072027899</v>
      </c>
      <c r="BS134" s="11">
        <f t="shared" si="370"/>
        <v>20</v>
      </c>
      <c r="IM134" s="12"/>
      <c r="IN134" s="12"/>
      <c r="IO134" s="11"/>
      <c r="IP134" s="11"/>
      <c r="IT134" s="12" t="str">
        <f t="shared" si="363"/>
        <v>FY23</v>
      </c>
      <c r="IU134" s="12">
        <f t="shared" si="364"/>
        <v>45064</v>
      </c>
      <c r="IV134" s="11">
        <f t="shared" si="365"/>
        <v>19.409982487078139</v>
      </c>
      <c r="IW134" s="11">
        <f t="shared" si="366"/>
        <v>4</v>
      </c>
      <c r="JI134" s="12"/>
      <c r="JJ134" s="12"/>
      <c r="JK134" s="11"/>
      <c r="JL134" s="11"/>
      <c r="JP134" s="12" t="str">
        <f t="shared" si="359"/>
        <v>FY24</v>
      </c>
      <c r="JQ134" s="12">
        <f t="shared" si="360"/>
        <v>45456</v>
      </c>
      <c r="JR134" s="11">
        <f t="shared" si="361"/>
        <v>41.109275798191128</v>
      </c>
      <c r="JS134" s="11">
        <f t="shared" si="362"/>
        <v>20</v>
      </c>
      <c r="OB134" s="1"/>
    </row>
    <row r="135" spans="13:392" x14ac:dyDescent="0.2">
      <c r="M135" s="5" t="str" cm="1">
        <f t="array" ref="M135">LOOKUP(2,1/($G$19:$G$35&lt;=$V135)/($H$19:$H$35&gt;=$V135),$F$19:$F$35)</f>
        <v>1H20</v>
      </c>
      <c r="N135" s="5" t="str" cm="1">
        <f t="array" ref="N135">LOOKUP(2,1/($G$8:$G$16&lt;=$V135)/($H$8:$H$16&gt;=$V135),$F$8:$F$16)</f>
        <v>FY20</v>
      </c>
      <c r="O135" s="5" t="str">
        <f>IFERROR(N135&amp;"-"&amp;COUNTIF($N$5:N135,N135),NA())</f>
        <v>FY20-1</v>
      </c>
      <c r="P135" s="5">
        <f>COUNTIF(V$5:V135,"&gt;="&amp;MAX($V:$V)-183)</f>
        <v>0</v>
      </c>
      <c r="Q135" s="5">
        <f>COUNTIF(V$5:V135,"&gt;="&amp;MAX($V:$V)-365)</f>
        <v>0</v>
      </c>
      <c r="R135" s="5" cm="1">
        <f t="array" ref="R135">LOOKUP(2,1/($G$46:$G$50&lt;=$V135)/($H$46:$H$50&gt;=$V135),$F$46:$F$50)</f>
        <v>0</v>
      </c>
      <c r="S135" s="5" cm="1">
        <f t="array" ref="S135">LOOKUP(2,1/($G$53:$G$56&lt;=$V135)/($H$53:$H$56&gt;=$V135),$F$53:$F$56)</f>
        <v>0</v>
      </c>
      <c r="T135" s="5" t="e">
        <f>IFERROR(IF($R135&gt;0,$R135&amp;"-"&amp;COUNTIF($R$5:$R135,$R135),NA()),NA())</f>
        <v>#N/A</v>
      </c>
      <c r="U135" s="5" t="e">
        <f>IFERROR(IF($S135&gt;0,$S135&amp;"-"&amp;COUNTIF($S$5:$S135,$S135),NA()),NA())</f>
        <v>#N/A</v>
      </c>
      <c r="V135" s="10">
        <v>43650</v>
      </c>
      <c r="W135" s="9">
        <v>52868604.987932429</v>
      </c>
      <c r="X135" s="9">
        <v>63563923.776991166</v>
      </c>
      <c r="Y135" s="8">
        <v>60000000</v>
      </c>
      <c r="BP135" s="18">
        <f t="shared" si="367"/>
        <v>10</v>
      </c>
      <c r="BQ135" s="12">
        <f t="shared" si="368"/>
        <v>45169</v>
      </c>
      <c r="BR135" s="11">
        <f t="shared" si="369"/>
        <v>59.703342595619482</v>
      </c>
      <c r="BS135" s="11">
        <f t="shared" si="370"/>
        <v>40</v>
      </c>
      <c r="IM135" s="12"/>
      <c r="IN135" s="12"/>
      <c r="IO135" s="11"/>
      <c r="IP135" s="11"/>
      <c r="IT135" s="12" t="str">
        <f t="shared" si="363"/>
        <v>FY23</v>
      </c>
      <c r="IU135" s="12">
        <f t="shared" si="364"/>
        <v>45071</v>
      </c>
      <c r="IV135" s="11">
        <f t="shared" si="365"/>
        <v>30.887849079219787</v>
      </c>
      <c r="IW135" s="11">
        <f t="shared" si="366"/>
        <v>12</v>
      </c>
      <c r="JI135" s="12"/>
      <c r="JJ135" s="12"/>
      <c r="JK135" s="11"/>
      <c r="JL135" s="11"/>
      <c r="JP135" s="12" t="e">
        <f t="shared" si="359"/>
        <v>#N/A</v>
      </c>
      <c r="JQ135" s="12">
        <f t="shared" si="360"/>
        <v>45463</v>
      </c>
      <c r="JR135" s="11">
        <f t="shared" si="361"/>
        <v>55.0771206276561</v>
      </c>
      <c r="JS135" s="11">
        <f t="shared" si="362"/>
        <v>40</v>
      </c>
      <c r="OB135" s="1"/>
    </row>
    <row r="136" spans="13:392" x14ac:dyDescent="0.2">
      <c r="M136" s="5" t="str" cm="1">
        <f t="array" ref="M136">LOOKUP(2,1/($G$19:$G$35&lt;=$V136)/($H$19:$H$35&gt;=$V136),$F$19:$F$35)</f>
        <v>1H20</v>
      </c>
      <c r="N136" s="5" t="str" cm="1">
        <f t="array" ref="N136">LOOKUP(2,1/($G$8:$G$16&lt;=$V136)/($H$8:$H$16&gt;=$V136),$F$8:$F$16)</f>
        <v>FY20</v>
      </c>
      <c r="O136" s="5" t="str">
        <f>IFERROR(N136&amp;"-"&amp;COUNTIF($N$5:N136,N136),NA())</f>
        <v>FY20-2</v>
      </c>
      <c r="P136" s="5">
        <f>COUNTIF(V$5:V136,"&gt;="&amp;MAX($V:$V)-183)</f>
        <v>0</v>
      </c>
      <c r="Q136" s="5">
        <f>COUNTIF(V$5:V136,"&gt;="&amp;MAX($V:$V)-365)</f>
        <v>0</v>
      </c>
      <c r="R136" s="5" cm="1">
        <f t="array" ref="R136">LOOKUP(2,1/($G$46:$G$50&lt;=$V136)/($H$46:$H$50&gt;=$V136),$F$46:$F$50)</f>
        <v>0</v>
      </c>
      <c r="S136" s="5" cm="1">
        <f t="array" ref="S136">LOOKUP(2,1/($G$53:$G$56&lt;=$V136)/($H$53:$H$56&gt;=$V136),$F$53:$F$56)</f>
        <v>0</v>
      </c>
      <c r="T136" s="5" t="e">
        <f>IFERROR(IF($R136&gt;0,$R136&amp;"-"&amp;COUNTIF($R$5:$R136,$R136),NA()),NA())</f>
        <v>#N/A</v>
      </c>
      <c r="U136" s="5" t="e">
        <f>IFERROR(IF($S136&gt;0,$S136&amp;"-"&amp;COUNTIF($S$5:$S136,$S136),NA()),NA())</f>
        <v>#N/A</v>
      </c>
      <c r="V136" s="10">
        <v>43657</v>
      </c>
      <c r="W136" s="9">
        <v>73766786.311034098</v>
      </c>
      <c r="X136" s="9">
        <v>88689807.181756303</v>
      </c>
      <c r="Y136" s="8">
        <v>80000000</v>
      </c>
      <c r="BP136" s="18">
        <f t="shared" si="367"/>
        <v>11</v>
      </c>
      <c r="BQ136" s="12">
        <f t="shared" si="368"/>
        <v>45176</v>
      </c>
      <c r="BR136" s="11">
        <f t="shared" si="369"/>
        <v>20.222166067342272</v>
      </c>
      <c r="BS136" s="11">
        <f t="shared" si="370"/>
        <v>4</v>
      </c>
      <c r="IM136" s="12"/>
      <c r="IN136" s="12"/>
      <c r="IO136" s="11"/>
      <c r="IP136" s="11"/>
      <c r="IT136" s="12" t="str">
        <f t="shared" si="363"/>
        <v>FY23</v>
      </c>
      <c r="IU136" s="12">
        <f t="shared" si="364"/>
        <v>45078</v>
      </c>
      <c r="IV136" s="11">
        <f t="shared" si="365"/>
        <v>40.719506810504527</v>
      </c>
      <c r="IW136" s="11">
        <f t="shared" si="366"/>
        <v>20</v>
      </c>
      <c r="JI136" s="12"/>
      <c r="JJ136" s="12"/>
      <c r="JK136" s="11"/>
      <c r="JL136" s="11"/>
      <c r="JP136" s="12" t="str">
        <f t="shared" si="359"/>
        <v>FY24</v>
      </c>
      <c r="JQ136" s="12">
        <f t="shared" si="360"/>
        <v>45470</v>
      </c>
      <c r="JR136" s="11">
        <f t="shared" si="361"/>
        <v>19.509070393374742</v>
      </c>
      <c r="JS136" s="11">
        <f t="shared" si="362"/>
        <v>4</v>
      </c>
      <c r="OB136" s="1"/>
    </row>
    <row r="137" spans="13:392" x14ac:dyDescent="0.2">
      <c r="M137" s="5" t="str" cm="1">
        <f t="array" ref="M137">LOOKUP(2,1/($G$19:$G$35&lt;=$V137)/($H$19:$H$35&gt;=$V137),$F$19:$F$35)</f>
        <v>1H20</v>
      </c>
      <c r="N137" s="5" t="str" cm="1">
        <f t="array" ref="N137">LOOKUP(2,1/($G$8:$G$16&lt;=$V137)/($H$8:$H$16&gt;=$V137),$F$8:$F$16)</f>
        <v>FY20</v>
      </c>
      <c r="O137" s="5" t="str">
        <f>IFERROR(N137&amp;"-"&amp;COUNTIF($N$5:N137,N137),NA())</f>
        <v>FY20-3</v>
      </c>
      <c r="P137" s="5">
        <f>COUNTIF(V$5:V137,"&gt;="&amp;MAX($V:$V)-183)</f>
        <v>0</v>
      </c>
      <c r="Q137" s="5">
        <f>COUNTIF(V$5:V137,"&gt;="&amp;MAX($V:$V)-365)</f>
        <v>0</v>
      </c>
      <c r="R137" s="5" cm="1">
        <f t="array" ref="R137">LOOKUP(2,1/($G$46:$G$50&lt;=$V137)/($H$46:$H$50&gt;=$V137),$F$46:$F$50)</f>
        <v>0</v>
      </c>
      <c r="S137" s="5" cm="1">
        <f t="array" ref="S137">LOOKUP(2,1/($G$53:$G$56&lt;=$V137)/($H$53:$H$56&gt;=$V137),$F$53:$F$56)</f>
        <v>0</v>
      </c>
      <c r="T137" s="5" t="e">
        <f>IFERROR(IF($R137&gt;0,$R137&amp;"-"&amp;COUNTIF($R$5:$R137,$R137),NA()),NA())</f>
        <v>#N/A</v>
      </c>
      <c r="U137" s="5" t="e">
        <f>IFERROR(IF($S137&gt;0,$S137&amp;"-"&amp;COUNTIF($S$5:$S137,$S137),NA()),NA())</f>
        <v>#N/A</v>
      </c>
      <c r="V137" s="10">
        <v>43664</v>
      </c>
      <c r="W137" s="9">
        <v>149659728.94362274</v>
      </c>
      <c r="X137" s="9">
        <v>179935892.10891765</v>
      </c>
      <c r="Y137" s="8">
        <v>110000000</v>
      </c>
      <c r="BP137" s="18">
        <f t="shared" si="367"/>
        <v>12</v>
      </c>
      <c r="BQ137" s="12">
        <f t="shared" si="368"/>
        <v>45183</v>
      </c>
      <c r="BR137" s="11">
        <f t="shared" si="369"/>
        <v>32.237415277323748</v>
      </c>
      <c r="BS137" s="11">
        <f t="shared" si="370"/>
        <v>12</v>
      </c>
      <c r="IT137" s="12" t="str">
        <f t="shared" si="363"/>
        <v>FY23</v>
      </c>
      <c r="IU137" s="12">
        <f t="shared" si="364"/>
        <v>45085</v>
      </c>
      <c r="IV137" s="11">
        <f t="shared" si="365"/>
        <v>56.400732701318518</v>
      </c>
      <c r="IW137" s="11">
        <f t="shared" si="366"/>
        <v>40</v>
      </c>
      <c r="JP137" s="12" t="e">
        <f t="shared" si="359"/>
        <v>#N/A</v>
      </c>
      <c r="JQ137" s="12" t="e">
        <f t="shared" si="360"/>
        <v>#N/A</v>
      </c>
      <c r="JR137" s="11" t="e">
        <f t="shared" si="361"/>
        <v>#N/A</v>
      </c>
      <c r="JS137" s="11" t="e">
        <f t="shared" si="362"/>
        <v>#N/A</v>
      </c>
      <c r="OB137" s="1"/>
    </row>
    <row r="138" spans="13:392" x14ac:dyDescent="0.2">
      <c r="M138" s="5" t="str" cm="1">
        <f t="array" ref="M138">LOOKUP(2,1/($G$19:$G$35&lt;=$V138)/($H$19:$H$35&gt;=$V138),$F$19:$F$35)</f>
        <v>1H20</v>
      </c>
      <c r="N138" s="5" t="str" cm="1">
        <f t="array" ref="N138">LOOKUP(2,1/($G$8:$G$16&lt;=$V138)/($H$8:$H$16&gt;=$V138),$F$8:$F$16)</f>
        <v>FY20</v>
      </c>
      <c r="O138" s="5" t="str">
        <f>IFERROR(N138&amp;"-"&amp;COUNTIF($N$5:N138,N138),NA())</f>
        <v>FY20-4</v>
      </c>
      <c r="P138" s="5">
        <f>COUNTIF(V$5:V138,"&gt;="&amp;MAX($V:$V)-183)</f>
        <v>0</v>
      </c>
      <c r="Q138" s="5">
        <f>COUNTIF(V$5:V138,"&gt;="&amp;MAX($V:$V)-365)</f>
        <v>0</v>
      </c>
      <c r="R138" s="5" cm="1">
        <f t="array" ref="R138">LOOKUP(2,1/($G$46:$G$50&lt;=$V138)/($H$46:$H$50&gt;=$V138),$F$46:$F$50)</f>
        <v>0</v>
      </c>
      <c r="S138" s="5" cm="1">
        <f t="array" ref="S138">LOOKUP(2,1/($G$53:$G$56&lt;=$V138)/($H$53:$H$56&gt;=$V138),$F$53:$F$56)</f>
        <v>0</v>
      </c>
      <c r="T138" s="5" t="e">
        <f>IFERROR(IF($R138&gt;0,$R138&amp;"-"&amp;COUNTIF($R$5:$R138,$R138),NA()),NA())</f>
        <v>#N/A</v>
      </c>
      <c r="U138" s="5" t="e">
        <f>IFERROR(IF($S138&gt;0,$S138&amp;"-"&amp;COUNTIF($S$5:$S138,$S138),NA()),NA())</f>
        <v>#N/A</v>
      </c>
      <c r="V138" s="10">
        <v>43671</v>
      </c>
      <c r="W138" s="9">
        <v>14254130.329847144</v>
      </c>
      <c r="X138" s="9">
        <v>17137740.895575222</v>
      </c>
      <c r="Y138" s="8">
        <v>3000000</v>
      </c>
      <c r="BP138" s="18">
        <f t="shared" si="367"/>
        <v>13</v>
      </c>
      <c r="BQ138" s="12">
        <f t="shared" si="368"/>
        <v>45190</v>
      </c>
      <c r="BR138" s="11">
        <f t="shared" si="369"/>
        <v>41.746812901819773</v>
      </c>
      <c r="BS138" s="11">
        <f t="shared" si="370"/>
        <v>20</v>
      </c>
      <c r="IT138" s="12" t="str">
        <f t="shared" si="363"/>
        <v>FY23</v>
      </c>
      <c r="IU138" s="12">
        <f t="shared" si="364"/>
        <v>45092</v>
      </c>
      <c r="IV138" s="11">
        <f t="shared" si="365"/>
        <v>87.731429334205075</v>
      </c>
      <c r="IW138" s="11">
        <f t="shared" si="366"/>
        <v>60</v>
      </c>
      <c r="JP138" s="12"/>
      <c r="JQ138" s="12"/>
      <c r="JR138" s="11"/>
      <c r="JS138" s="11"/>
      <c r="OB138" s="1"/>
    </row>
    <row r="139" spans="13:392" x14ac:dyDescent="0.2">
      <c r="M139" s="5" t="str" cm="1">
        <f t="array" ref="M139">LOOKUP(2,1/($G$19:$G$35&lt;=$V139)/($H$19:$H$35&gt;=$V139),$F$19:$F$35)</f>
        <v>1H20</v>
      </c>
      <c r="N139" s="5" t="str" cm="1">
        <f t="array" ref="N139">LOOKUP(2,1/($G$8:$G$16&lt;=$V139)/($H$8:$H$16&gt;=$V139),$F$8:$F$16)</f>
        <v>FY20</v>
      </c>
      <c r="O139" s="5" t="str">
        <f>IFERROR(N139&amp;"-"&amp;COUNTIF($N$5:N139,N139),NA())</f>
        <v>FY20-5</v>
      </c>
      <c r="P139" s="5">
        <f>COUNTIF(V$5:V139,"&gt;="&amp;MAX($V:$V)-183)</f>
        <v>0</v>
      </c>
      <c r="Q139" s="5">
        <f>COUNTIF(V$5:V139,"&gt;="&amp;MAX($V:$V)-365)</f>
        <v>0</v>
      </c>
      <c r="R139" s="5" cm="1">
        <f t="array" ref="R139">LOOKUP(2,1/($G$46:$G$50&lt;=$V139)/($H$46:$H$50&gt;=$V139),$F$46:$F$50)</f>
        <v>0</v>
      </c>
      <c r="S139" s="5" cm="1">
        <f t="array" ref="S139">LOOKUP(2,1/($G$53:$G$56&lt;=$V139)/($H$53:$H$56&gt;=$V139),$F$53:$F$56)</f>
        <v>0</v>
      </c>
      <c r="T139" s="5" t="e">
        <f>IFERROR(IF($R139&gt;0,$R139&amp;"-"&amp;COUNTIF($R$5:$R139,$R139),NA()),NA())</f>
        <v>#N/A</v>
      </c>
      <c r="U139" s="5" t="e">
        <f>IFERROR(IF($S139&gt;0,$S139&amp;"-"&amp;COUNTIF($S$5:$S139,$S139),NA()),NA())</f>
        <v>#N/A</v>
      </c>
      <c r="V139" s="10">
        <v>43678</v>
      </c>
      <c r="W139" s="9">
        <v>17621573.612228479</v>
      </c>
      <c r="X139" s="9">
        <v>21186417.953982305</v>
      </c>
      <c r="Y139" s="8">
        <v>8000000</v>
      </c>
      <c r="BP139" s="18">
        <f t="shared" si="367"/>
        <v>14</v>
      </c>
      <c r="BQ139" s="12">
        <f t="shared" si="368"/>
        <v>45197</v>
      </c>
      <c r="BR139" s="11">
        <f t="shared" si="369"/>
        <v>56.641298899422473</v>
      </c>
      <c r="BS139" s="11">
        <f t="shared" si="370"/>
        <v>40</v>
      </c>
      <c r="IT139" s="12" t="e">
        <f t="shared" si="363"/>
        <v>#N/A</v>
      </c>
      <c r="IU139" s="12" t="e">
        <f t="shared" si="364"/>
        <v>#N/A</v>
      </c>
      <c r="IV139" s="11" t="e">
        <f t="shared" si="365"/>
        <v>#N/A</v>
      </c>
      <c r="IW139" s="11" t="e">
        <f t="shared" si="366"/>
        <v>#N/A</v>
      </c>
      <c r="JP139" s="12"/>
      <c r="JQ139" s="12"/>
      <c r="JR139" s="11"/>
      <c r="JS139" s="11"/>
      <c r="OB139" s="1"/>
    </row>
    <row r="140" spans="13:392" x14ac:dyDescent="0.2">
      <c r="M140" s="5" t="str" cm="1">
        <f t="array" ref="M140">LOOKUP(2,1/($G$19:$G$35&lt;=$V140)/($H$19:$H$35&gt;=$V140),$F$19:$F$35)</f>
        <v>1H20</v>
      </c>
      <c r="N140" s="5" t="str" cm="1">
        <f t="array" ref="N140">LOOKUP(2,1/($G$8:$G$16&lt;=$V140)/($H$8:$H$16&gt;=$V140),$F$8:$F$16)</f>
        <v>FY20</v>
      </c>
      <c r="O140" s="5" t="str">
        <f>IFERROR(N140&amp;"-"&amp;COUNTIF($N$5:N140,N140),NA())</f>
        <v>FY20-6</v>
      </c>
      <c r="P140" s="5">
        <f>COUNTIF(V$5:V140,"&gt;="&amp;MAX($V:$V)-183)</f>
        <v>0</v>
      </c>
      <c r="Q140" s="5">
        <f>COUNTIF(V$5:V140,"&gt;="&amp;MAX($V:$V)-365)</f>
        <v>0</v>
      </c>
      <c r="R140" s="5" cm="1">
        <f t="array" ref="R140">LOOKUP(2,1/($G$46:$G$50&lt;=$V140)/($H$46:$H$50&gt;=$V140),$F$46:$F$50)</f>
        <v>0</v>
      </c>
      <c r="S140" s="5" cm="1">
        <f t="array" ref="S140">LOOKUP(2,1/($G$53:$G$56&lt;=$V140)/($H$53:$H$56&gt;=$V140),$F$53:$F$56)</f>
        <v>0</v>
      </c>
      <c r="T140" s="5" t="e">
        <f>IFERROR(IF($R140&gt;0,$R140&amp;"-"&amp;COUNTIF($R$5:$R140,$R140),NA()),NA())</f>
        <v>#N/A</v>
      </c>
      <c r="U140" s="5" t="e">
        <f>IFERROR(IF($S140&gt;0,$S140&amp;"-"&amp;COUNTIF($S$5:$S140,$S140),NA()),NA())</f>
        <v>#N/A</v>
      </c>
      <c r="V140" s="10">
        <v>43685</v>
      </c>
      <c r="W140" s="9">
        <v>22977947.397735007</v>
      </c>
      <c r="X140" s="9">
        <v>27626386.156296801</v>
      </c>
      <c r="Y140" s="8">
        <v>12000000</v>
      </c>
      <c r="BP140" s="18">
        <f t="shared" si="367"/>
        <v>15</v>
      </c>
      <c r="BQ140" s="12">
        <f t="shared" si="368"/>
        <v>45204</v>
      </c>
      <c r="BR140" s="11">
        <f t="shared" si="369"/>
        <v>85.3851064618067</v>
      </c>
      <c r="BS140" s="11">
        <f t="shared" si="370"/>
        <v>60</v>
      </c>
      <c r="IT140" s="12" t="str">
        <f t="shared" si="363"/>
        <v>FY23</v>
      </c>
      <c r="IU140" s="12">
        <f t="shared" si="364"/>
        <v>45106</v>
      </c>
      <c r="IV140" s="11">
        <f t="shared" si="365"/>
        <v>19.52442312302496</v>
      </c>
      <c r="IW140" s="11">
        <f t="shared" si="366"/>
        <v>4</v>
      </c>
      <c r="JP140" s="12"/>
      <c r="JQ140" s="12"/>
      <c r="JR140" s="11"/>
      <c r="JS140" s="11"/>
      <c r="OB140" s="1"/>
    </row>
    <row r="141" spans="13:392" x14ac:dyDescent="0.2">
      <c r="M141" s="5" t="str" cm="1">
        <f t="array" ref="M141">LOOKUP(2,1/($G$19:$G$35&lt;=$V141)/($H$19:$H$35&gt;=$V141),$F$19:$F$35)</f>
        <v>1H20</v>
      </c>
      <c r="N141" s="5" t="str" cm="1">
        <f t="array" ref="N141">LOOKUP(2,1/($G$8:$G$16&lt;=$V141)/($H$8:$H$16&gt;=$V141),$F$8:$F$16)</f>
        <v>FY20</v>
      </c>
      <c r="O141" s="5" t="str">
        <f>IFERROR(N141&amp;"-"&amp;COUNTIF($N$5:N141,N141),NA())</f>
        <v>FY20-7</v>
      </c>
      <c r="P141" s="5">
        <f>COUNTIF(V$5:V141,"&gt;="&amp;MAX($V:$V)-183)</f>
        <v>0</v>
      </c>
      <c r="Q141" s="5">
        <f>COUNTIF(V$5:V141,"&gt;="&amp;MAX($V:$V)-365)</f>
        <v>0</v>
      </c>
      <c r="R141" s="5" cm="1">
        <f t="array" ref="R141">LOOKUP(2,1/($G$46:$G$50&lt;=$V141)/($H$46:$H$50&gt;=$V141),$F$46:$F$50)</f>
        <v>0</v>
      </c>
      <c r="S141" s="5" cm="1">
        <f t="array" ref="S141">LOOKUP(2,1/($G$53:$G$56&lt;=$V141)/($H$53:$H$56&gt;=$V141),$F$53:$F$56)</f>
        <v>0</v>
      </c>
      <c r="T141" s="5" t="e">
        <f>IFERROR(IF($R141&gt;0,$R141&amp;"-"&amp;COUNTIF($R$5:$R141,$R141),NA()),NA())</f>
        <v>#N/A</v>
      </c>
      <c r="U141" s="5" t="e">
        <f>IFERROR(IF($S141&gt;0,$S141&amp;"-"&amp;COUNTIF($S$5:$S141,$S141),NA()),NA())</f>
        <v>#N/A</v>
      </c>
      <c r="V141" s="10">
        <v>43692</v>
      </c>
      <c r="W141" s="9">
        <v>29967446.995482393</v>
      </c>
      <c r="X141" s="9">
        <v>36029861.522668488</v>
      </c>
      <c r="Y141" s="8">
        <v>20000000</v>
      </c>
      <c r="BP141" s="18">
        <f t="shared" si="367"/>
        <v>16</v>
      </c>
      <c r="BQ141" s="12">
        <f t="shared" si="368"/>
        <v>45211</v>
      </c>
      <c r="BR141" s="11">
        <f t="shared" si="369"/>
        <v>19.942564454614796</v>
      </c>
      <c r="BS141" s="11">
        <f t="shared" si="370"/>
        <v>4</v>
      </c>
      <c r="IT141" s="12" t="e">
        <f t="shared" si="363"/>
        <v>#N/A</v>
      </c>
      <c r="IU141" s="12" t="e">
        <f t="shared" si="364"/>
        <v>#N/A</v>
      </c>
      <c r="IV141" s="11" t="e">
        <f t="shared" si="365"/>
        <v>#N/A</v>
      </c>
      <c r="IW141" s="11" t="e">
        <f t="shared" si="366"/>
        <v>#N/A</v>
      </c>
      <c r="JP141" s="12"/>
      <c r="JQ141" s="48"/>
      <c r="JR141" s="11"/>
      <c r="JS141" s="11"/>
      <c r="OB141" s="1"/>
    </row>
    <row r="142" spans="13:392" x14ac:dyDescent="0.2">
      <c r="M142" s="5" t="str" cm="1">
        <f t="array" ref="M142">LOOKUP(2,1/($G$19:$G$35&lt;=$V142)/($H$19:$H$35&gt;=$V142),$F$19:$F$35)</f>
        <v>1H20</v>
      </c>
      <c r="N142" s="5" t="str" cm="1">
        <f t="array" ref="N142">LOOKUP(2,1/($G$8:$G$16&lt;=$V142)/($H$8:$H$16&gt;=$V142),$F$8:$F$16)</f>
        <v>FY20</v>
      </c>
      <c r="O142" s="5" t="str">
        <f>IFERROR(N142&amp;"-"&amp;COUNTIF($N$5:N142,N142),NA())</f>
        <v>FY20-8</v>
      </c>
      <c r="P142" s="5">
        <f>COUNTIF(V$5:V142,"&gt;="&amp;MAX($V:$V)-183)</f>
        <v>0</v>
      </c>
      <c r="Q142" s="5">
        <f>COUNTIF(V$5:V142,"&gt;="&amp;MAX($V:$V)-365)</f>
        <v>0</v>
      </c>
      <c r="R142" s="5" cm="1">
        <f t="array" ref="R142">LOOKUP(2,1/($G$46:$G$50&lt;=$V142)/($H$46:$H$50&gt;=$V142),$F$46:$F$50)</f>
        <v>0</v>
      </c>
      <c r="S142" s="5" cm="1">
        <f t="array" ref="S142">LOOKUP(2,1/($G$53:$G$56&lt;=$V142)/($H$53:$H$56&gt;=$V142),$F$53:$F$56)</f>
        <v>0</v>
      </c>
      <c r="T142" s="5" t="e">
        <f>IFERROR(IF($R142&gt;0,$R142&amp;"-"&amp;COUNTIF($R$5:$R142,$R142),NA()),NA())</f>
        <v>#N/A</v>
      </c>
      <c r="U142" s="5" t="e">
        <f>IFERROR(IF($S142&gt;0,$S142&amp;"-"&amp;COUNTIF($S$5:$S142,$S142),NA()),NA())</f>
        <v>#N/A</v>
      </c>
      <c r="V142" s="10">
        <v>43699</v>
      </c>
      <c r="W142" s="9">
        <v>39864962.683334358</v>
      </c>
      <c r="X142" s="9">
        <v>47929644.634172902</v>
      </c>
      <c r="Y142" s="8">
        <v>40000000</v>
      </c>
      <c r="BP142" s="18">
        <f t="shared" si="367"/>
        <v>17</v>
      </c>
      <c r="BQ142" s="12">
        <f t="shared" si="368"/>
        <v>45218</v>
      </c>
      <c r="BR142" s="11">
        <f t="shared" si="369"/>
        <v>28.337262286150157</v>
      </c>
      <c r="BS142" s="11">
        <f t="shared" si="370"/>
        <v>12</v>
      </c>
      <c r="IT142" s="12"/>
      <c r="IU142" s="12"/>
      <c r="IV142" s="11"/>
      <c r="IW142" s="11"/>
      <c r="JP142" s="12"/>
      <c r="JQ142" s="48"/>
      <c r="JR142" s="11"/>
      <c r="JS142" s="11"/>
      <c r="OB142" s="1"/>
    </row>
    <row r="143" spans="13:392" x14ac:dyDescent="0.2">
      <c r="M143" s="5" t="str" cm="1">
        <f t="array" ref="M143">LOOKUP(2,1/($G$19:$G$35&lt;=$V143)/($H$19:$H$35&gt;=$V143),$F$19:$F$35)</f>
        <v>1H20</v>
      </c>
      <c r="N143" s="5" t="str" cm="1">
        <f t="array" ref="N143">LOOKUP(2,1/($G$8:$G$16&lt;=$V143)/($H$8:$H$16&gt;=$V143),$F$8:$F$16)</f>
        <v>FY20</v>
      </c>
      <c r="O143" s="5" t="str">
        <f>IFERROR(N143&amp;"-"&amp;COUNTIF($N$5:N143,N143),NA())</f>
        <v>FY20-9</v>
      </c>
      <c r="P143" s="5">
        <f>COUNTIF(V$5:V143,"&gt;="&amp;MAX($V:$V)-183)</f>
        <v>0</v>
      </c>
      <c r="Q143" s="5">
        <f>COUNTIF(V$5:V143,"&gt;="&amp;MAX($V:$V)-365)</f>
        <v>0</v>
      </c>
      <c r="R143" s="5" cm="1">
        <f t="array" ref="R143">LOOKUP(2,1/($G$46:$G$50&lt;=$V143)/($H$46:$H$50&gt;=$V143),$F$46:$F$50)</f>
        <v>0</v>
      </c>
      <c r="S143" s="5" cm="1">
        <f t="array" ref="S143">LOOKUP(2,1/($G$53:$G$56&lt;=$V143)/($H$53:$H$56&gt;=$V143),$F$53:$F$56)</f>
        <v>0</v>
      </c>
      <c r="T143" s="5" t="e">
        <f>IFERROR(IF($R143&gt;0,$R143&amp;"-"&amp;COUNTIF($R$5:$R143,$R143),NA()),NA())</f>
        <v>#N/A</v>
      </c>
      <c r="U143" s="5" t="e">
        <f>IFERROR(IF($S143&gt;0,$S143&amp;"-"&amp;COUNTIF($S$5:$S143,$S143),NA()),NA())</f>
        <v>#N/A</v>
      </c>
      <c r="V143" s="10">
        <v>43706</v>
      </c>
      <c r="W143" s="9">
        <v>55027958.16572807</v>
      </c>
      <c r="X143" s="9">
        <v>66160114.102654867</v>
      </c>
      <c r="Y143" s="8">
        <v>60000000</v>
      </c>
      <c r="BP143" s="18">
        <f t="shared" si="367"/>
        <v>18</v>
      </c>
      <c r="BQ143" s="12">
        <f t="shared" si="368"/>
        <v>45225</v>
      </c>
      <c r="BR143" s="11">
        <f t="shared" si="369"/>
        <v>41.102714394682366</v>
      </c>
      <c r="BS143" s="11">
        <f t="shared" si="370"/>
        <v>20</v>
      </c>
      <c r="IT143" s="12"/>
      <c r="IU143" s="12"/>
      <c r="IV143" s="11"/>
      <c r="IW143" s="11"/>
      <c r="JP143" s="12"/>
      <c r="JQ143" s="48"/>
      <c r="JR143" s="11"/>
      <c r="JS143" s="11"/>
      <c r="OB143" s="1"/>
    </row>
    <row r="144" spans="13:392" x14ac:dyDescent="0.2">
      <c r="M144" s="5" t="str" cm="1">
        <f t="array" ref="M144">LOOKUP(2,1/($G$19:$G$35&lt;=$V144)/($H$19:$H$35&gt;=$V144),$F$19:$F$35)</f>
        <v>1H20</v>
      </c>
      <c r="N144" s="5" t="str" cm="1">
        <f t="array" ref="N144">LOOKUP(2,1/($G$8:$G$16&lt;=$V144)/($H$8:$H$16&gt;=$V144),$F$8:$F$16)</f>
        <v>FY20</v>
      </c>
      <c r="O144" s="5" t="str">
        <f>IFERROR(N144&amp;"-"&amp;COUNTIF($N$5:N144,N144),NA())</f>
        <v>FY20-10</v>
      </c>
      <c r="P144" s="5">
        <f>COUNTIF(V$5:V144,"&gt;="&amp;MAX($V:$V)-183)</f>
        <v>0</v>
      </c>
      <c r="Q144" s="5">
        <f>COUNTIF(V$5:V144,"&gt;="&amp;MAX($V:$V)-365)</f>
        <v>0</v>
      </c>
      <c r="R144" s="5" cm="1">
        <f t="array" ref="R144">LOOKUP(2,1/($G$46:$G$50&lt;=$V144)/($H$46:$H$50&gt;=$V144),$F$46:$F$50)</f>
        <v>0</v>
      </c>
      <c r="S144" s="5" cm="1">
        <f t="array" ref="S144">LOOKUP(2,1/($G$53:$G$56&lt;=$V144)/($H$53:$H$56&gt;=$V144),$F$53:$F$56)</f>
        <v>0</v>
      </c>
      <c r="T144" s="5" t="e">
        <f>IFERROR(IF($R144&gt;0,$R144&amp;"-"&amp;COUNTIF($R$5:$R144,$R144),NA()),NA())</f>
        <v>#N/A</v>
      </c>
      <c r="U144" s="5" t="e">
        <f>IFERROR(IF($S144&gt;0,$S144&amp;"-"&amp;COUNTIF($S$5:$S144,$S144),NA()),NA())</f>
        <v>#N/A</v>
      </c>
      <c r="V144" s="10">
        <v>43713</v>
      </c>
      <c r="W144" s="9">
        <v>82565532.768116847</v>
      </c>
      <c r="X144" s="9">
        <v>99268540.047106892</v>
      </c>
      <c r="Y144" s="8">
        <v>80000000</v>
      </c>
      <c r="BP144" s="18">
        <f t="shared" si="367"/>
        <v>19</v>
      </c>
      <c r="BQ144" s="12">
        <f t="shared" si="368"/>
        <v>45232</v>
      </c>
      <c r="BR144" s="11">
        <f t="shared" si="369"/>
        <v>58.296434782608699</v>
      </c>
      <c r="BS144" s="11">
        <f t="shared" si="370"/>
        <v>40</v>
      </c>
      <c r="IT144" s="12"/>
      <c r="IU144" s="12"/>
      <c r="IV144" s="11"/>
      <c r="IW144" s="11"/>
      <c r="JP144" s="12"/>
      <c r="JQ144" s="48"/>
      <c r="JR144" s="11"/>
      <c r="JS144" s="11"/>
      <c r="OB144" s="1"/>
    </row>
    <row r="145" spans="13:392" x14ac:dyDescent="0.2">
      <c r="M145" s="5" t="str" cm="1">
        <f t="array" ref="M145">LOOKUP(2,1/($G$19:$G$35&lt;=$V145)/($H$19:$H$35&gt;=$V145),$F$19:$F$35)</f>
        <v>1H20</v>
      </c>
      <c r="N145" s="5" t="str" cm="1">
        <f t="array" ref="N145">LOOKUP(2,1/($G$8:$G$16&lt;=$V145)/($H$8:$H$16&gt;=$V145),$F$8:$F$16)</f>
        <v>FY20</v>
      </c>
      <c r="O145" s="5" t="str">
        <f>IFERROR(N145&amp;"-"&amp;COUNTIF($N$5:N145,N145),NA())</f>
        <v>FY20-11</v>
      </c>
      <c r="P145" s="5">
        <f>COUNTIF(V$5:V145,"&gt;="&amp;MAX($V:$V)-183)</f>
        <v>0</v>
      </c>
      <c r="Q145" s="5">
        <f>COUNTIF(V$5:V145,"&gt;="&amp;MAX($V:$V)-365)</f>
        <v>0</v>
      </c>
      <c r="R145" s="5" cm="1">
        <f t="array" ref="R145">LOOKUP(2,1/($G$46:$G$50&lt;=$V145)/($H$46:$H$50&gt;=$V145),$F$46:$F$50)</f>
        <v>0</v>
      </c>
      <c r="S145" s="5" cm="1">
        <f t="array" ref="S145">LOOKUP(2,1/($G$53:$G$56&lt;=$V145)/($H$53:$H$56&gt;=$V145),$F$53:$F$56)</f>
        <v>0</v>
      </c>
      <c r="T145" s="5" t="e">
        <f>IFERROR(IF($R145&gt;0,$R145&amp;"-"&amp;COUNTIF($R$5:$R145,$R145),NA()),NA())</f>
        <v>#N/A</v>
      </c>
      <c r="U145" s="5" t="e">
        <f>IFERROR(IF($S145&gt;0,$S145&amp;"-"&amp;COUNTIF($S$5:$S145,$S145),NA()),NA())</f>
        <v>#N/A</v>
      </c>
      <c r="V145" s="10">
        <v>43720</v>
      </c>
      <c r="W145" s="9">
        <v>124361859.2734699</v>
      </c>
      <c r="X145" s="9">
        <v>149520263.40449288</v>
      </c>
      <c r="Y145" s="8">
        <v>100000000</v>
      </c>
      <c r="BP145" s="18">
        <f t="shared" si="367"/>
        <v>20</v>
      </c>
      <c r="BQ145" s="12">
        <f t="shared" si="368"/>
        <v>45239</v>
      </c>
      <c r="BR145" s="11">
        <f t="shared" si="369"/>
        <v>24.487517271439469</v>
      </c>
      <c r="BS145" s="11">
        <f t="shared" si="370"/>
        <v>8</v>
      </c>
      <c r="IT145" s="12"/>
      <c r="IU145" s="12"/>
      <c r="IV145" s="11"/>
      <c r="IW145" s="11"/>
      <c r="JP145" s="12"/>
      <c r="JQ145" s="48"/>
      <c r="JR145" s="11"/>
      <c r="JS145" s="11"/>
      <c r="OB145" s="1"/>
    </row>
    <row r="146" spans="13:392" x14ac:dyDescent="0.2">
      <c r="M146" s="5" t="str" cm="1">
        <f t="array" ref="M146">LOOKUP(2,1/($G$19:$G$35&lt;=$V146)/($H$19:$H$35&gt;=$V146),$F$19:$F$35)</f>
        <v>1H20</v>
      </c>
      <c r="N146" s="5" t="str" cm="1">
        <f t="array" ref="N146">LOOKUP(2,1/($G$8:$G$16&lt;=$V146)/($H$8:$H$16&gt;=$V146),$F$8:$F$16)</f>
        <v>FY20</v>
      </c>
      <c r="O146" s="5" t="str">
        <f>IFERROR(N146&amp;"-"&amp;COUNTIF($N$5:N146,N146),NA())</f>
        <v>FY20-12</v>
      </c>
      <c r="P146" s="5">
        <f>COUNTIF(V$5:V146,"&gt;="&amp;MAX($V:$V)-183)</f>
        <v>0</v>
      </c>
      <c r="Q146" s="5">
        <f>COUNTIF(V$5:V146,"&gt;="&amp;MAX($V:$V)-365)</f>
        <v>0</v>
      </c>
      <c r="R146" s="5" cm="1">
        <f t="array" ref="R146">LOOKUP(2,1/($G$46:$G$50&lt;=$V146)/($H$46:$H$50&gt;=$V146),$F$46:$F$50)</f>
        <v>0</v>
      </c>
      <c r="S146" s="5" cm="1">
        <f t="array" ref="S146">LOOKUP(2,1/($G$53:$G$56&lt;=$V146)/($H$53:$H$56&gt;=$V146),$F$53:$F$56)</f>
        <v>0</v>
      </c>
      <c r="T146" s="5" t="e">
        <f>IFERROR(IF($R146&gt;0,$R146&amp;"-"&amp;COUNTIF($R$5:$R146,$R146),NA()),NA())</f>
        <v>#N/A</v>
      </c>
      <c r="U146" s="5" t="e">
        <f>IFERROR(IF($S146&gt;0,$S146&amp;"-"&amp;COUNTIF($S$5:$S146,$S146),NA()),NA())</f>
        <v>#N/A</v>
      </c>
      <c r="V146" s="10">
        <v>43727</v>
      </c>
      <c r="W146" s="9">
        <v>202664966.89151555</v>
      </c>
      <c r="X146" s="9">
        <v>243664089.69366917</v>
      </c>
      <c r="Y146" s="8">
        <v>150000000</v>
      </c>
      <c r="BP146" s="18">
        <f t="shared" si="367"/>
        <v>21</v>
      </c>
      <c r="BQ146" s="12">
        <f t="shared" si="368"/>
        <v>45246</v>
      </c>
      <c r="BR146" s="11">
        <f t="shared" si="369"/>
        <v>25.126546256946718</v>
      </c>
      <c r="BS146" s="11">
        <f t="shared" si="370"/>
        <v>8</v>
      </c>
      <c r="IT146" s="12"/>
      <c r="IU146" s="12"/>
      <c r="IV146" s="11"/>
      <c r="IW146" s="11"/>
      <c r="JP146" s="12"/>
      <c r="JQ146" s="48"/>
      <c r="JR146" s="11"/>
      <c r="JS146" s="11"/>
      <c r="OB146" s="1"/>
    </row>
    <row r="147" spans="13:392" x14ac:dyDescent="0.2">
      <c r="M147" s="5" t="str" cm="1">
        <f t="array" ref="M147">LOOKUP(2,1/($G$19:$G$35&lt;=$V147)/($H$19:$H$35&gt;=$V147),$F$19:$F$35)</f>
        <v>1H20</v>
      </c>
      <c r="N147" s="5" t="str" cm="1">
        <f t="array" ref="N147">LOOKUP(2,1/($G$8:$G$16&lt;=$V147)/($H$8:$H$16&gt;=$V147),$F$8:$F$16)</f>
        <v>FY20</v>
      </c>
      <c r="O147" s="5" t="str">
        <f>IFERROR(N147&amp;"-"&amp;COUNTIF($N$5:N147,N147),NA())</f>
        <v>FY20-13</v>
      </c>
      <c r="P147" s="5">
        <f>COUNTIF(V$5:V147,"&gt;="&amp;MAX($V:$V)-183)</f>
        <v>0</v>
      </c>
      <c r="Q147" s="5">
        <f>COUNTIF(V$5:V147,"&gt;="&amp;MAX($V:$V)-365)</f>
        <v>0</v>
      </c>
      <c r="R147" s="5" cm="1">
        <f t="array" ref="R147">LOOKUP(2,1/($G$46:$G$50&lt;=$V147)/($H$46:$H$50&gt;=$V147),$F$46:$F$50)</f>
        <v>0</v>
      </c>
      <c r="S147" s="5" cm="1">
        <f t="array" ref="S147">LOOKUP(2,1/($G$53:$G$56&lt;=$V147)/($H$53:$H$56&gt;=$V147),$F$53:$F$56)</f>
        <v>0</v>
      </c>
      <c r="T147" s="5" t="e">
        <f>IFERROR(IF($R147&gt;0,$R147&amp;"-"&amp;COUNTIF($R$5:$R147,$R147),NA()),NA())</f>
        <v>#N/A</v>
      </c>
      <c r="U147" s="5" t="e">
        <f>IFERROR(IF($S147&gt;0,$S147&amp;"-"&amp;COUNTIF($S$5:$S147,$S147),NA()),NA())</f>
        <v>#N/A</v>
      </c>
      <c r="V147" s="10">
        <v>43734</v>
      </c>
      <c r="W147" s="9">
        <v>15306639.767312331</v>
      </c>
      <c r="X147" s="9">
        <v>18403172.992239617</v>
      </c>
      <c r="Y147" s="8">
        <v>3000000</v>
      </c>
      <c r="BP147" s="18">
        <f t="shared" si="367"/>
        <v>22</v>
      </c>
      <c r="BQ147" s="12">
        <f t="shared" si="368"/>
        <v>45253</v>
      </c>
      <c r="BR147" s="11">
        <f t="shared" si="369"/>
        <v>37.695077694235586</v>
      </c>
      <c r="BS147" s="11">
        <f t="shared" si="370"/>
        <v>20</v>
      </c>
      <c r="IT147" s="12"/>
      <c r="IU147" s="12"/>
      <c r="IV147" s="11"/>
      <c r="IW147" s="11"/>
      <c r="JP147" s="12"/>
      <c r="JQ147" s="48"/>
      <c r="JR147" s="11"/>
      <c r="JS147" s="11"/>
      <c r="OB147" s="1"/>
    </row>
    <row r="148" spans="13:392" x14ac:dyDescent="0.2">
      <c r="M148" s="5" t="str" cm="1">
        <f t="array" ref="M148">LOOKUP(2,1/($G$19:$G$35&lt;=$V148)/($H$19:$H$35&gt;=$V148),$F$19:$F$35)</f>
        <v>1H20</v>
      </c>
      <c r="N148" s="5" t="str" cm="1">
        <f t="array" ref="N148">LOOKUP(2,1/($G$8:$G$16&lt;=$V148)/($H$8:$H$16&gt;=$V148),$F$8:$F$16)</f>
        <v>FY20</v>
      </c>
      <c r="O148" s="5" t="str">
        <f>IFERROR(N148&amp;"-"&amp;COUNTIF($N$5:N148,N148),NA())</f>
        <v>FY20-14</v>
      </c>
      <c r="P148" s="5">
        <f>COUNTIF(V$5:V148,"&gt;="&amp;MAX($V:$V)-183)</f>
        <v>0</v>
      </c>
      <c r="Q148" s="5">
        <f>COUNTIF(V$5:V148,"&gt;="&amp;MAX($V:$V)-365)</f>
        <v>0</v>
      </c>
      <c r="R148" s="5" cm="1">
        <f t="array" ref="R148">LOOKUP(2,1/($G$46:$G$50&lt;=$V148)/($H$46:$H$50&gt;=$V148),$F$46:$F$50)</f>
        <v>0</v>
      </c>
      <c r="S148" s="5" cm="1">
        <f t="array" ref="S148">LOOKUP(2,1/($G$53:$G$56&lt;=$V148)/($H$53:$H$56&gt;=$V148),$F$53:$F$56)</f>
        <v>0</v>
      </c>
      <c r="T148" s="5" t="e">
        <f>IFERROR(IF($R148&gt;0,$R148&amp;"-"&amp;COUNTIF($R$5:$R148,$R148),NA()),NA())</f>
        <v>#N/A</v>
      </c>
      <c r="U148" s="5" t="e">
        <f>IFERROR(IF($S148&gt;0,$S148&amp;"-"&amp;COUNTIF($S$5:$S148,$S148),NA()),NA())</f>
        <v>#N/A</v>
      </c>
      <c r="V148" s="10">
        <v>43741</v>
      </c>
      <c r="W148" s="9">
        <v>18203091.032860946</v>
      </c>
      <c r="X148" s="9">
        <v>22085810.350170188</v>
      </c>
      <c r="Y148" s="8">
        <v>8000000</v>
      </c>
      <c r="BP148" s="18">
        <f t="shared" si="367"/>
        <v>23</v>
      </c>
      <c r="BQ148" s="12">
        <f t="shared" si="368"/>
        <v>45260</v>
      </c>
      <c r="BR148" s="11">
        <f t="shared" si="369"/>
        <v>23.402584504740112</v>
      </c>
      <c r="BS148" s="11">
        <f t="shared" si="370"/>
        <v>8</v>
      </c>
      <c r="IT148" s="12"/>
      <c r="IU148" s="12"/>
      <c r="IV148" s="11"/>
      <c r="IW148" s="11"/>
      <c r="JP148" s="12"/>
      <c r="JQ148" s="48"/>
      <c r="JR148" s="11"/>
      <c r="JS148" s="11"/>
      <c r="OB148" s="1"/>
    </row>
    <row r="149" spans="13:392" x14ac:dyDescent="0.2">
      <c r="M149" s="5" t="str" cm="1">
        <f t="array" ref="M149">LOOKUP(2,1/($G$19:$G$35&lt;=$V149)/($H$19:$H$35&gt;=$V149),$F$19:$F$35)</f>
        <v>1H20</v>
      </c>
      <c r="N149" s="5" t="str" cm="1">
        <f t="array" ref="N149">LOOKUP(2,1/($G$8:$G$16&lt;=$V149)/($H$8:$H$16&gt;=$V149),$F$8:$F$16)</f>
        <v>FY20</v>
      </c>
      <c r="O149" s="5" t="str">
        <f>IFERROR(N149&amp;"-"&amp;COUNTIF($N$5:N149,N149),NA())</f>
        <v>FY20-15</v>
      </c>
      <c r="P149" s="5">
        <f>COUNTIF(V$5:V149,"&gt;="&amp;MAX($V:$V)-183)</f>
        <v>0</v>
      </c>
      <c r="Q149" s="5">
        <f>COUNTIF(V$5:V149,"&gt;="&amp;MAX($V:$V)-365)</f>
        <v>0</v>
      </c>
      <c r="R149" s="5" cm="1">
        <f t="array" ref="R149">LOOKUP(2,1/($G$46:$G$50&lt;=$V149)/($H$46:$H$50&gt;=$V149),$F$46:$F$50)</f>
        <v>0</v>
      </c>
      <c r="S149" s="5" cm="1">
        <f t="array" ref="S149">LOOKUP(2,1/($G$53:$G$56&lt;=$V149)/($H$53:$H$56&gt;=$V149),$F$53:$F$56)</f>
        <v>0</v>
      </c>
      <c r="T149" s="5" t="e">
        <f>IFERROR(IF($R149&gt;0,$R149&amp;"-"&amp;COUNTIF($R$5:$R149,$R149),NA()),NA())</f>
        <v>#N/A</v>
      </c>
      <c r="U149" s="5" t="e">
        <f>IFERROR(IF($S149&gt;0,$S149&amp;"-"&amp;COUNTIF($S$5:$S149,$S149),NA()),NA())</f>
        <v>#N/A</v>
      </c>
      <c r="V149" s="10">
        <v>43748</v>
      </c>
      <c r="W149" s="9">
        <v>21627957.918188009</v>
      </c>
      <c r="X149" s="9">
        <v>26241201.342137512</v>
      </c>
      <c r="Y149" s="8">
        <v>12000000</v>
      </c>
      <c r="BP149" s="18">
        <f t="shared" si="367"/>
        <v>24</v>
      </c>
      <c r="BQ149" s="12">
        <f t="shared" si="368"/>
        <v>45267</v>
      </c>
      <c r="BR149" s="11">
        <f t="shared" si="369"/>
        <v>34.302016781083154</v>
      </c>
      <c r="BS149" s="11">
        <f t="shared" si="370"/>
        <v>20</v>
      </c>
      <c r="IT149" s="12"/>
      <c r="IU149" s="12"/>
      <c r="IV149" s="11"/>
      <c r="IW149" s="11"/>
      <c r="JP149" s="12"/>
      <c r="JQ149" s="48"/>
      <c r="JR149" s="11"/>
      <c r="JS149" s="11"/>
      <c r="OB149" s="1"/>
    </row>
    <row r="150" spans="13:392" x14ac:dyDescent="0.2">
      <c r="M150" s="5" t="str" cm="1">
        <f t="array" ref="M150">LOOKUP(2,1/($G$19:$G$35&lt;=$V150)/($H$19:$H$35&gt;=$V150),$F$19:$F$35)</f>
        <v>1H20</v>
      </c>
      <c r="N150" s="5" t="str" cm="1">
        <f t="array" ref="N150">LOOKUP(2,1/($G$8:$G$16&lt;=$V150)/($H$8:$H$16&gt;=$V150),$F$8:$F$16)</f>
        <v>FY20</v>
      </c>
      <c r="O150" s="5" t="str">
        <f>IFERROR(N150&amp;"-"&amp;COUNTIF($N$5:N150,N150),NA())</f>
        <v>FY20-16</v>
      </c>
      <c r="P150" s="5">
        <f>COUNTIF(V$5:V150,"&gt;="&amp;MAX($V:$V)-183)</f>
        <v>0</v>
      </c>
      <c r="Q150" s="5">
        <f>COUNTIF(V$5:V150,"&gt;="&amp;MAX($V:$V)-365)</f>
        <v>0</v>
      </c>
      <c r="R150" s="5" cm="1">
        <f t="array" ref="R150">LOOKUP(2,1/($G$46:$G$50&lt;=$V150)/($H$46:$H$50&gt;=$V150),$F$46:$F$50)</f>
        <v>0</v>
      </c>
      <c r="S150" s="5" cm="1">
        <f t="array" ref="S150">LOOKUP(2,1/($G$53:$G$56&lt;=$V150)/($H$53:$H$56&gt;=$V150),$F$53:$F$56)</f>
        <v>0</v>
      </c>
      <c r="T150" s="5" t="e">
        <f>IFERROR(IF($R150&gt;0,$R150&amp;"-"&amp;COUNTIF($R$5:$R150,$R150),NA()),NA())</f>
        <v>#N/A</v>
      </c>
      <c r="U150" s="5" t="e">
        <f>IFERROR(IF($S150&gt;0,$S150&amp;"-"&amp;COUNTIF($S$5:$S150,$S150),NA()),NA())</f>
        <v>#N/A</v>
      </c>
      <c r="V150" s="10">
        <v>43755</v>
      </c>
      <c r="W150" s="9">
        <v>14675381.397363698</v>
      </c>
      <c r="X150" s="9">
        <v>17805640.249421377</v>
      </c>
      <c r="Y150" s="8">
        <v>3000000</v>
      </c>
      <c r="BP150" s="18">
        <f t="shared" si="367"/>
        <v>25</v>
      </c>
      <c r="BQ150" s="12">
        <f t="shared" si="368"/>
        <v>45274</v>
      </c>
      <c r="BR150" s="11">
        <f t="shared" si="369"/>
        <v>41.358095020159098</v>
      </c>
      <c r="BS150" s="11">
        <f t="shared" si="370"/>
        <v>30</v>
      </c>
      <c r="IT150" s="12"/>
      <c r="IU150" s="12"/>
      <c r="IV150" s="11"/>
      <c r="IW150" s="11"/>
      <c r="JP150" s="12"/>
      <c r="JQ150" s="48"/>
      <c r="JR150" s="11"/>
      <c r="JS150" s="11"/>
      <c r="OB150" s="1"/>
    </row>
    <row r="151" spans="13:392" x14ac:dyDescent="0.2">
      <c r="M151" s="5" t="str" cm="1">
        <f t="array" ref="M151">LOOKUP(2,1/($G$19:$G$35&lt;=$V151)/($H$19:$H$35&gt;=$V151),$F$19:$F$35)</f>
        <v>1H20</v>
      </c>
      <c r="N151" s="5" t="str" cm="1">
        <f t="array" ref="N151">LOOKUP(2,1/($G$8:$G$16&lt;=$V151)/($H$8:$H$16&gt;=$V151),$F$8:$F$16)</f>
        <v>FY20</v>
      </c>
      <c r="O151" s="5" t="str">
        <f>IFERROR(N151&amp;"-"&amp;COUNTIF($N$5:N151,N151),NA())</f>
        <v>FY20-17</v>
      </c>
      <c r="P151" s="5">
        <f>COUNTIF(V$5:V151,"&gt;="&amp;MAX($V:$V)-183)</f>
        <v>0</v>
      </c>
      <c r="Q151" s="5">
        <f>COUNTIF(V$5:V151,"&gt;="&amp;MAX($V:$V)-365)</f>
        <v>0</v>
      </c>
      <c r="R151" s="5" cm="1">
        <f t="array" ref="R151">LOOKUP(2,1/($G$46:$G$50&lt;=$V151)/($H$46:$H$50&gt;=$V151),$F$46:$F$50)</f>
        <v>0</v>
      </c>
      <c r="S151" s="5" cm="1">
        <f t="array" ref="S151">LOOKUP(2,1/($G$53:$G$56&lt;=$V151)/($H$53:$H$56&gt;=$V151),$F$53:$F$56)</f>
        <v>0</v>
      </c>
      <c r="T151" s="5" t="e">
        <f>IFERROR(IF($R151&gt;0,$R151&amp;"-"&amp;COUNTIF($R$5:$R151,$R151),NA()),NA())</f>
        <v>#N/A</v>
      </c>
      <c r="U151" s="5" t="e">
        <f>IFERROR(IF($S151&gt;0,$S151&amp;"-"&amp;COUNTIF($S$5:$S151,$S151),NA()),NA())</f>
        <v>#N/A</v>
      </c>
      <c r="V151" s="10">
        <v>43762</v>
      </c>
      <c r="W151" s="9">
        <v>19900891.144253977</v>
      </c>
      <c r="X151" s="9">
        <v>24145751.225323349</v>
      </c>
      <c r="Y151" s="8">
        <v>8000000</v>
      </c>
      <c r="BP151" s="18">
        <f t="shared" si="367"/>
        <v>26</v>
      </c>
      <c r="BQ151" s="12">
        <f t="shared" si="368"/>
        <v>45281</v>
      </c>
      <c r="BR151" s="11">
        <f t="shared" si="369"/>
        <v>23.530717990628748</v>
      </c>
      <c r="BS151" s="11">
        <f t="shared" si="370"/>
        <v>8</v>
      </c>
      <c r="IT151" s="12"/>
      <c r="IU151" s="12"/>
      <c r="IV151" s="11"/>
      <c r="IW151" s="11"/>
      <c r="JP151" s="12"/>
      <c r="JQ151" s="48"/>
      <c r="JR151" s="11"/>
      <c r="JS151" s="11"/>
      <c r="OB151" s="1"/>
    </row>
    <row r="152" spans="13:392" x14ac:dyDescent="0.2">
      <c r="M152" s="5" t="str" cm="1">
        <f t="array" ref="M152">LOOKUP(2,1/($G$19:$G$35&lt;=$V152)/($H$19:$H$35&gt;=$V152),$F$19:$F$35)</f>
        <v>1H20</v>
      </c>
      <c r="N152" s="5" t="str" cm="1">
        <f t="array" ref="N152">LOOKUP(2,1/($G$8:$G$16&lt;=$V152)/($H$8:$H$16&gt;=$V152),$F$8:$F$16)</f>
        <v>FY20</v>
      </c>
      <c r="O152" s="5" t="str">
        <f>IFERROR(N152&amp;"-"&amp;COUNTIF($N$5:N152,N152),NA())</f>
        <v>FY20-18</v>
      </c>
      <c r="P152" s="5">
        <f>COUNTIF(V$5:V152,"&gt;="&amp;MAX($V:$V)-183)</f>
        <v>0</v>
      </c>
      <c r="Q152" s="5">
        <f>COUNTIF(V$5:V152,"&gt;="&amp;MAX($V:$V)-365)</f>
        <v>0</v>
      </c>
      <c r="R152" s="5" cm="1">
        <f t="array" ref="R152">LOOKUP(2,1/($G$46:$G$50&lt;=$V152)/($H$46:$H$50&gt;=$V152),$F$46:$F$50)</f>
        <v>0</v>
      </c>
      <c r="S152" s="5" cm="1">
        <f t="array" ref="S152">LOOKUP(2,1/($G$53:$G$56&lt;=$V152)/($H$53:$H$56&gt;=$V152),$F$53:$F$56)</f>
        <v>0</v>
      </c>
      <c r="T152" s="5" t="e">
        <f>IFERROR(IF($R152&gt;0,$R152&amp;"-"&amp;COUNTIF($R$5:$R152,$R152),NA()),NA())</f>
        <v>#N/A</v>
      </c>
      <c r="U152" s="5" t="e">
        <f>IFERROR(IF($S152&gt;0,$S152&amp;"-"&amp;COUNTIF($S$5:$S152,$S152),NA()),NA())</f>
        <v>#N/A</v>
      </c>
      <c r="V152" s="10">
        <v>43769</v>
      </c>
      <c r="W152" s="9">
        <v>22777251.067516554</v>
      </c>
      <c r="X152" s="9">
        <v>27635638.720217835</v>
      </c>
      <c r="Y152" s="8">
        <v>12000000</v>
      </c>
      <c r="BP152" s="18">
        <f t="shared" si="367"/>
        <v>27</v>
      </c>
      <c r="BQ152" s="12">
        <f t="shared" si="368"/>
        <v>45288</v>
      </c>
      <c r="BR152" s="11">
        <f t="shared" si="369"/>
        <v>34.197531001416586</v>
      </c>
      <c r="BS152" s="11">
        <f t="shared" si="370"/>
        <v>20</v>
      </c>
      <c r="IT152" s="12"/>
      <c r="IU152" s="12"/>
      <c r="IV152" s="11"/>
      <c r="IW152" s="11"/>
      <c r="JP152" s="12"/>
      <c r="JQ152" s="48"/>
      <c r="JR152" s="11"/>
      <c r="JS152" s="11"/>
      <c r="OB152" s="1"/>
    </row>
    <row r="153" spans="13:392" x14ac:dyDescent="0.2">
      <c r="M153" s="5" t="str" cm="1">
        <f t="array" ref="M153">LOOKUP(2,1/($G$19:$G$35&lt;=$V153)/($H$19:$H$35&gt;=$V153),$F$19:$F$35)</f>
        <v>1H20</v>
      </c>
      <c r="N153" s="5" t="str" cm="1">
        <f t="array" ref="N153">LOOKUP(2,1/($G$8:$G$16&lt;=$V153)/($H$8:$H$16&gt;=$V153),$F$8:$F$16)</f>
        <v>FY20</v>
      </c>
      <c r="O153" s="5" t="str">
        <f>IFERROR(N153&amp;"-"&amp;COUNTIF($N$5:N153,N153),NA())</f>
        <v>FY20-19</v>
      </c>
      <c r="P153" s="5">
        <f>COUNTIF(V$5:V153,"&gt;="&amp;MAX($V:$V)-183)</f>
        <v>0</v>
      </c>
      <c r="Q153" s="5">
        <f>COUNTIF(V$5:V153,"&gt;="&amp;MAX($V:$V)-365)</f>
        <v>0</v>
      </c>
      <c r="R153" s="5" cm="1">
        <f t="array" ref="R153">LOOKUP(2,1/($G$46:$G$50&lt;=$V153)/($H$46:$H$50&gt;=$V153),$F$46:$F$50)</f>
        <v>0</v>
      </c>
      <c r="S153" s="5" cm="1">
        <f t="array" ref="S153">LOOKUP(2,1/($G$53:$G$56&lt;=$V153)/($H$53:$H$56&gt;=$V153),$F$53:$F$56)</f>
        <v>0</v>
      </c>
      <c r="T153" s="5" t="e">
        <f>IFERROR(IF($R153&gt;0,$R153&amp;"-"&amp;COUNTIF($R$5:$R153,$R153),NA()),NA())</f>
        <v>#N/A</v>
      </c>
      <c r="U153" s="5" t="e">
        <f>IFERROR(IF($S153&gt;0,$S153&amp;"-"&amp;COUNTIF($S$5:$S153,$S153),NA()),NA())</f>
        <v>#N/A</v>
      </c>
      <c r="V153" s="10">
        <v>43776</v>
      </c>
      <c r="W153" s="9">
        <v>30483818.305588219</v>
      </c>
      <c r="X153" s="9">
        <v>36986016.750170186</v>
      </c>
      <c r="Y153" s="8">
        <v>20000000</v>
      </c>
      <c r="BP153" s="18">
        <f t="shared" si="367"/>
        <v>28</v>
      </c>
      <c r="BQ153" s="12">
        <f t="shared" si="368"/>
        <v>45295</v>
      </c>
      <c r="BR153" s="11">
        <f t="shared" si="369"/>
        <v>45.025587337910004</v>
      </c>
      <c r="BS153" s="11">
        <f t="shared" si="370"/>
        <v>30</v>
      </c>
      <c r="IT153" s="12"/>
      <c r="IU153" s="12"/>
      <c r="IV153" s="11"/>
      <c r="IW153" s="11"/>
      <c r="JP153" s="12"/>
      <c r="JQ153" s="48"/>
      <c r="JR153" s="11"/>
      <c r="JS153" s="11"/>
      <c r="OB153" s="1"/>
    </row>
    <row r="154" spans="13:392" x14ac:dyDescent="0.2">
      <c r="M154" s="5" t="str" cm="1">
        <f t="array" ref="M154">LOOKUP(2,1/($G$19:$G$35&lt;=$V154)/($H$19:$H$35&gt;=$V154),$F$19:$F$35)</f>
        <v>1H20</v>
      </c>
      <c r="N154" s="5" t="str" cm="1">
        <f t="array" ref="N154">LOOKUP(2,1/($G$8:$G$16&lt;=$V154)/($H$8:$H$16&gt;=$V154),$F$8:$F$16)</f>
        <v>FY20</v>
      </c>
      <c r="O154" s="5" t="str">
        <f>IFERROR(N154&amp;"-"&amp;COUNTIF($N$5:N154,N154),NA())</f>
        <v>FY20-20</v>
      </c>
      <c r="P154" s="5">
        <f>COUNTIF(V$5:V154,"&gt;="&amp;MAX($V:$V)-183)</f>
        <v>0</v>
      </c>
      <c r="Q154" s="5">
        <f>COUNTIF(V$5:V154,"&gt;="&amp;MAX($V:$V)-365)</f>
        <v>0</v>
      </c>
      <c r="R154" s="5" cm="1">
        <f t="array" ref="R154">LOOKUP(2,1/($G$46:$G$50&lt;=$V154)/($H$46:$H$50&gt;=$V154),$F$46:$F$50)</f>
        <v>0</v>
      </c>
      <c r="S154" s="5" cm="1">
        <f t="array" ref="S154">LOOKUP(2,1/($G$53:$G$56&lt;=$V154)/($H$53:$H$56&gt;=$V154),$F$53:$F$56)</f>
        <v>0</v>
      </c>
      <c r="T154" s="5" t="e">
        <f>IFERROR(IF($R154&gt;0,$R154&amp;"-"&amp;COUNTIF($R$5:$R154,$R154),NA()),NA())</f>
        <v>#N/A</v>
      </c>
      <c r="U154" s="5" t="e">
        <f>IFERROR(IF($S154&gt;0,$S154&amp;"-"&amp;COUNTIF($S$5:$S154,$S154),NA()),NA())</f>
        <v>#N/A</v>
      </c>
      <c r="V154" s="10">
        <v>43783</v>
      </c>
      <c r="W154" s="9">
        <v>40529243.888854511</v>
      </c>
      <c r="X154" s="9">
        <v>49174131.610347182</v>
      </c>
      <c r="Y154" s="8">
        <v>30000000</v>
      </c>
      <c r="BP154" s="18">
        <f t="shared" si="367"/>
        <v>29</v>
      </c>
      <c r="BQ154" s="12">
        <f t="shared" si="368"/>
        <v>45302</v>
      </c>
      <c r="BR154" s="11">
        <f t="shared" si="369"/>
        <v>67.199002942137952</v>
      </c>
      <c r="BS154" s="11">
        <f t="shared" si="370"/>
        <v>50</v>
      </c>
      <c r="IT154" s="12"/>
      <c r="IU154" s="12"/>
      <c r="IV154" s="11"/>
      <c r="IW154" s="11"/>
      <c r="JP154" s="12"/>
      <c r="JQ154" s="48"/>
      <c r="JR154" s="11"/>
      <c r="JS154" s="11"/>
      <c r="OB154" s="1"/>
    </row>
    <row r="155" spans="13:392" x14ac:dyDescent="0.2">
      <c r="M155" s="5" t="str" cm="1">
        <f t="array" ref="M155">LOOKUP(2,1/($G$19:$G$35&lt;=$V155)/($H$19:$H$35&gt;=$V155),$F$19:$F$35)</f>
        <v>1H20</v>
      </c>
      <c r="N155" s="5" t="str" cm="1">
        <f t="array" ref="N155">LOOKUP(2,1/($G$8:$G$16&lt;=$V155)/($H$8:$H$16&gt;=$V155),$F$8:$F$16)</f>
        <v>FY20</v>
      </c>
      <c r="O155" s="5" t="str">
        <f>IFERROR(N155&amp;"-"&amp;COUNTIF($N$5:N155,N155),NA())</f>
        <v>FY20-21</v>
      </c>
      <c r="P155" s="5">
        <f>COUNTIF(V$5:V155,"&gt;="&amp;MAX($V:$V)-183)</f>
        <v>0</v>
      </c>
      <c r="Q155" s="5">
        <f>COUNTIF(V$5:V155,"&gt;="&amp;MAX($V:$V)-365)</f>
        <v>0</v>
      </c>
      <c r="R155" s="5" cm="1">
        <f t="array" ref="R155">LOOKUP(2,1/($G$46:$G$50&lt;=$V155)/($H$46:$H$50&gt;=$V155),$F$46:$F$50)</f>
        <v>0</v>
      </c>
      <c r="S155" s="5" cm="1">
        <f t="array" ref="S155">LOOKUP(2,1/($G$53:$G$56&lt;=$V155)/($H$53:$H$56&gt;=$V155),$F$53:$F$56)</f>
        <v>0</v>
      </c>
      <c r="T155" s="5" t="e">
        <f>IFERROR(IF($R155&gt;0,$R155&amp;"-"&amp;COUNTIF($R$5:$R155,$R155),NA()),NA())</f>
        <v>#N/A</v>
      </c>
      <c r="U155" s="5" t="e">
        <f>IFERROR(IF($S155&gt;0,$S155&amp;"-"&amp;COUNTIF($S$5:$S155,$S155),NA()),NA())</f>
        <v>#N/A</v>
      </c>
      <c r="V155" s="10">
        <v>43790</v>
      </c>
      <c r="W155" s="9">
        <v>48609266.415000923</v>
      </c>
      <c r="X155" s="9">
        <v>58977622.94132062</v>
      </c>
      <c r="Y155" s="8">
        <v>40000000</v>
      </c>
      <c r="BP155" s="18" t="e">
        <f t="shared" si="367"/>
        <v>#N/A</v>
      </c>
      <c r="BQ155" s="12" t="e">
        <f t="shared" si="368"/>
        <v>#N/A</v>
      </c>
      <c r="BR155" s="11" t="e">
        <f t="shared" si="369"/>
        <v>#N/A</v>
      </c>
      <c r="BS155" s="11" t="e">
        <f t="shared" si="370"/>
        <v>#N/A</v>
      </c>
      <c r="IT155" s="12"/>
      <c r="IU155" s="12"/>
      <c r="IV155" s="11"/>
      <c r="IW155" s="11"/>
      <c r="OB155" s="1"/>
    </row>
    <row r="156" spans="13:392" x14ac:dyDescent="0.2">
      <c r="M156" s="5" t="str" cm="1">
        <f t="array" ref="M156">LOOKUP(2,1/($G$19:$G$35&lt;=$V156)/($H$19:$H$35&gt;=$V156),$F$19:$F$35)</f>
        <v>1H20</v>
      </c>
      <c r="N156" s="5" t="str" cm="1">
        <f t="array" ref="N156">LOOKUP(2,1/($G$8:$G$16&lt;=$V156)/($H$8:$H$16&gt;=$V156),$F$8:$F$16)</f>
        <v>FY20</v>
      </c>
      <c r="O156" s="5" t="str">
        <f>IFERROR(N156&amp;"-"&amp;COUNTIF($N$5:N156,N156),NA())</f>
        <v>FY20-22</v>
      </c>
      <c r="P156" s="5">
        <f>COUNTIF(V$5:V156,"&gt;="&amp;MAX($V:$V)-183)</f>
        <v>0</v>
      </c>
      <c r="Q156" s="5">
        <f>COUNTIF(V$5:V156,"&gt;="&amp;MAX($V:$V)-365)</f>
        <v>0</v>
      </c>
      <c r="R156" s="5" cm="1">
        <f t="array" ref="R156">LOOKUP(2,1/($G$46:$G$50&lt;=$V156)/($H$46:$H$50&gt;=$V156),$F$46:$F$50)</f>
        <v>0</v>
      </c>
      <c r="S156" s="5" cm="1">
        <f t="array" ref="S156">LOOKUP(2,1/($G$53:$G$56&lt;=$V156)/($H$53:$H$56&gt;=$V156),$F$53:$F$56)</f>
        <v>0</v>
      </c>
      <c r="T156" s="5" t="e">
        <f>IFERROR(IF($R156&gt;0,$R156&amp;"-"&amp;COUNTIF($R$5:$R156,$R156),NA()),NA())</f>
        <v>#N/A</v>
      </c>
      <c r="U156" s="5" t="e">
        <f>IFERROR(IF($S156&gt;0,$S156&amp;"-"&amp;COUNTIF($S$5:$S156,$S156),NA()),NA())</f>
        <v>#N/A</v>
      </c>
      <c r="V156" s="10">
        <v>43797</v>
      </c>
      <c r="W156" s="9">
        <v>15126397.920663407</v>
      </c>
      <c r="X156" s="9">
        <v>18352858.597140912</v>
      </c>
      <c r="Y156" s="8">
        <v>3000000</v>
      </c>
      <c r="BP156" s="18" t="e">
        <f t="shared" si="367"/>
        <v>#N/A</v>
      </c>
      <c r="BQ156" s="12" t="e">
        <f t="shared" si="368"/>
        <v>#N/A</v>
      </c>
      <c r="BR156" s="11" t="e">
        <f t="shared" si="369"/>
        <v>#N/A</v>
      </c>
      <c r="BS156" s="11" t="e">
        <f t="shared" si="370"/>
        <v>#N/A</v>
      </c>
      <c r="IT156" s="12"/>
      <c r="IU156" s="12"/>
      <c r="IV156" s="11"/>
      <c r="IW156" s="11"/>
      <c r="OB156" s="1"/>
    </row>
    <row r="157" spans="13:392" x14ac:dyDescent="0.2">
      <c r="M157" s="5" t="str" cm="1">
        <f t="array" ref="M157">LOOKUP(2,1/($G$19:$G$35&lt;=$V157)/($H$19:$H$35&gt;=$V157),$F$19:$F$35)</f>
        <v>1H20</v>
      </c>
      <c r="N157" s="5" t="str" cm="1">
        <f t="array" ref="N157">LOOKUP(2,1/($G$8:$G$16&lt;=$V157)/($H$8:$H$16&gt;=$V157),$F$8:$F$16)</f>
        <v>FY20</v>
      </c>
      <c r="O157" s="5" t="str">
        <f>IFERROR(N157&amp;"-"&amp;COUNTIF($N$5:N157,N157),NA())</f>
        <v>FY20-23</v>
      </c>
      <c r="P157" s="5">
        <f>COUNTIF(V$5:V157,"&gt;="&amp;MAX($V:$V)-183)</f>
        <v>0</v>
      </c>
      <c r="Q157" s="5">
        <f>COUNTIF(V$5:V157,"&gt;="&amp;MAX($V:$V)-365)</f>
        <v>0</v>
      </c>
      <c r="R157" s="5" cm="1">
        <f t="array" ref="R157">LOOKUP(2,1/($G$46:$G$50&lt;=$V157)/($H$46:$H$50&gt;=$V157),$F$46:$F$50)</f>
        <v>0</v>
      </c>
      <c r="S157" s="5" cm="1">
        <f t="array" ref="S157">LOOKUP(2,1/($G$53:$G$56&lt;=$V157)/($H$53:$H$56&gt;=$V157),$F$53:$F$56)</f>
        <v>0</v>
      </c>
      <c r="T157" s="5" t="e">
        <f>IFERROR(IF($R157&gt;0,$R157&amp;"-"&amp;COUNTIF($R$5:$R157,$R157),NA()),NA())</f>
        <v>#N/A</v>
      </c>
      <c r="U157" s="5" t="e">
        <f>IFERROR(IF($S157&gt;0,$S157&amp;"-"&amp;COUNTIF($S$5:$S157,$S157),NA()),NA())</f>
        <v>#N/A</v>
      </c>
      <c r="V157" s="10">
        <v>43804</v>
      </c>
      <c r="W157" s="9">
        <v>20501358.252367102</v>
      </c>
      <c r="X157" s="9">
        <v>24874297.967597004</v>
      </c>
      <c r="Y157" s="8">
        <v>8000000</v>
      </c>
      <c r="BP157" s="18" t="e">
        <f t="shared" si="367"/>
        <v>#N/A</v>
      </c>
      <c r="BQ157" s="12" t="e">
        <f t="shared" si="368"/>
        <v>#N/A</v>
      </c>
      <c r="BR157" s="11" t="e">
        <f t="shared" si="369"/>
        <v>#N/A</v>
      </c>
      <c r="BS157" s="11" t="e">
        <f t="shared" si="370"/>
        <v>#N/A</v>
      </c>
      <c r="IT157" s="12"/>
      <c r="IU157" s="12"/>
      <c r="IV157" s="11"/>
      <c r="IW157" s="11"/>
      <c r="OB157" s="1"/>
    </row>
    <row r="158" spans="13:392" x14ac:dyDescent="0.2">
      <c r="M158" s="5" t="str" cm="1">
        <f t="array" ref="M158">LOOKUP(2,1/($G$19:$G$35&lt;=$V158)/($H$19:$H$35&gt;=$V158),$F$19:$F$35)</f>
        <v>1H20</v>
      </c>
      <c r="N158" s="5" t="str" cm="1">
        <f t="array" ref="N158">LOOKUP(2,1/($G$8:$G$16&lt;=$V158)/($H$8:$H$16&gt;=$V158),$F$8:$F$16)</f>
        <v>FY20</v>
      </c>
      <c r="O158" s="5" t="str">
        <f>IFERROR(N158&amp;"-"&amp;COUNTIF($N$5:N158,N158),NA())</f>
        <v>FY20-24</v>
      </c>
      <c r="P158" s="5">
        <f>COUNTIF(V$5:V158,"&gt;="&amp;MAX($V:$V)-183)</f>
        <v>0</v>
      </c>
      <c r="Q158" s="5">
        <f>COUNTIF(V$5:V158,"&gt;="&amp;MAX($V:$V)-365)</f>
        <v>0</v>
      </c>
      <c r="R158" s="5" cm="1">
        <f t="array" ref="R158">LOOKUP(2,1/($G$46:$G$50&lt;=$V158)/($H$46:$H$50&gt;=$V158),$F$46:$F$50)</f>
        <v>0</v>
      </c>
      <c r="S158" s="5" cm="1">
        <f t="array" ref="S158">LOOKUP(2,1/($G$53:$G$56&lt;=$V158)/($H$53:$H$56&gt;=$V158),$F$53:$F$56)</f>
        <v>0</v>
      </c>
      <c r="T158" s="5" t="e">
        <f>IFERROR(IF($R158&gt;0,$R158&amp;"-"&amp;COUNTIF($R$5:$R158,$R158),NA()),NA())</f>
        <v>#N/A</v>
      </c>
      <c r="U158" s="5" t="e">
        <f>IFERROR(IF($S158&gt;0,$S158&amp;"-"&amp;COUNTIF($S$5:$S158,$S158),NA()),NA())</f>
        <v>#N/A</v>
      </c>
      <c r="V158" s="10">
        <v>43811</v>
      </c>
      <c r="W158" s="9">
        <v>25306949.43994059</v>
      </c>
      <c r="X158" s="9">
        <v>30704921.755479921</v>
      </c>
      <c r="Y158" s="8">
        <v>12000000</v>
      </c>
      <c r="BP158" s="18">
        <f t="shared" ref="BP158:BP178" si="371">IF(OR(ISBLANK(AW37),$AZ37&gt;=$BQ$123),NA(),AW37)</f>
        <v>33</v>
      </c>
      <c r="BQ158" s="12">
        <f t="shared" ref="BQ158:BQ178" si="372">IF(OR(ISBLANK(AX37),$AZ37&gt;=$BQ$123),NA(),AX37)</f>
        <v>45330</v>
      </c>
      <c r="BR158" s="11">
        <f t="shared" ref="BR158:BR178" si="373">IF(OR(ISBLANK(AY37),$AZ37&gt;=$BQ$123),NA(),AY37/1000000)</f>
        <v>22.03278903781192</v>
      </c>
      <c r="BS158" s="11">
        <f t="shared" ref="BS158:BS178" si="374">IF(OR(ISBLANK(AZ37),$AZ37&gt;=$BQ$123),NA(),AZ37/1000000)</f>
        <v>4</v>
      </c>
      <c r="IT158" s="12"/>
      <c r="IU158" s="12"/>
      <c r="IV158" s="11"/>
      <c r="IW158" s="11"/>
      <c r="OB158" s="1"/>
    </row>
    <row r="159" spans="13:392" x14ac:dyDescent="0.2">
      <c r="M159" s="5" t="str" cm="1">
        <f t="array" ref="M159">LOOKUP(2,1/($G$19:$G$35&lt;=$V159)/($H$19:$H$35&gt;=$V159),$F$19:$F$35)</f>
        <v>1H20</v>
      </c>
      <c r="N159" s="5" t="str" cm="1">
        <f t="array" ref="N159">LOOKUP(2,1/($G$8:$G$16&lt;=$V159)/($H$8:$H$16&gt;=$V159),$F$8:$F$16)</f>
        <v>FY20</v>
      </c>
      <c r="O159" s="5" t="str">
        <f>IFERROR(N159&amp;"-"&amp;COUNTIF($N$5:N159,N159),NA())</f>
        <v>FY20-25</v>
      </c>
      <c r="P159" s="5">
        <f>COUNTIF(V$5:V159,"&gt;="&amp;MAX($V:$V)-183)</f>
        <v>0</v>
      </c>
      <c r="Q159" s="5">
        <f>COUNTIF(V$5:V159,"&gt;="&amp;MAX($V:$V)-365)</f>
        <v>0</v>
      </c>
      <c r="R159" s="5" cm="1">
        <f t="array" ref="R159">LOOKUP(2,1/($G$46:$G$50&lt;=$V159)/($H$46:$H$50&gt;=$V159),$F$46:$F$50)</f>
        <v>0</v>
      </c>
      <c r="S159" s="5" cm="1">
        <f t="array" ref="S159">LOOKUP(2,1/($G$53:$G$56&lt;=$V159)/($H$53:$H$56&gt;=$V159),$F$53:$F$56)</f>
        <v>0</v>
      </c>
      <c r="T159" s="5" t="e">
        <f>IFERROR(IF($R159&gt;0,$R159&amp;"-"&amp;COUNTIF($R$5:$R159,$R159),NA()),NA())</f>
        <v>#N/A</v>
      </c>
      <c r="U159" s="5" t="e">
        <f>IFERROR(IF($S159&gt;0,$S159&amp;"-"&amp;COUNTIF($S$5:$S159,$S159),NA()),NA())</f>
        <v>#N/A</v>
      </c>
      <c r="V159" s="10">
        <v>43818</v>
      </c>
      <c r="W159" s="9">
        <v>25742781.855312832</v>
      </c>
      <c r="X159" s="9">
        <v>31233717.22505106</v>
      </c>
      <c r="Y159" s="8">
        <v>15000000</v>
      </c>
      <c r="BP159" s="18">
        <f t="shared" si="371"/>
        <v>34</v>
      </c>
      <c r="BQ159" s="12">
        <f t="shared" si="372"/>
        <v>45337</v>
      </c>
      <c r="BR159" s="11">
        <f t="shared" si="373"/>
        <v>21.26904805491991</v>
      </c>
      <c r="BS159" s="11">
        <f t="shared" si="374"/>
        <v>4</v>
      </c>
      <c r="OB159" s="1"/>
    </row>
    <row r="160" spans="13:392" x14ac:dyDescent="0.2">
      <c r="M160" s="5" t="str" cm="1">
        <f t="array" ref="M160">LOOKUP(2,1/($G$19:$G$35&lt;=$V160)/($H$19:$H$35&gt;=$V160),$F$19:$F$35)</f>
        <v>1H20</v>
      </c>
      <c r="N160" s="5" t="str" cm="1">
        <f t="array" ref="N160">LOOKUP(2,1/($G$8:$G$16&lt;=$V160)/($H$8:$H$16&gt;=$V160),$F$8:$F$16)</f>
        <v>FY20</v>
      </c>
      <c r="O160" s="5" t="str">
        <f>IFERROR(N160&amp;"-"&amp;COUNTIF($N$5:N160,N160),NA())</f>
        <v>FY20-26</v>
      </c>
      <c r="P160" s="5">
        <f>COUNTIF(V$5:V160,"&gt;="&amp;MAX($V:$V)-183)</f>
        <v>0</v>
      </c>
      <c r="Q160" s="5">
        <f>COUNTIF(V$5:V160,"&gt;="&amp;MAX($V:$V)-365)</f>
        <v>0</v>
      </c>
      <c r="R160" s="5" cm="1">
        <f t="array" ref="R160">LOOKUP(2,1/($G$46:$G$50&lt;=$V160)/($H$46:$H$50&gt;=$V160),$F$46:$F$50)</f>
        <v>0</v>
      </c>
      <c r="S160" s="5" cm="1">
        <f t="array" ref="S160">LOOKUP(2,1/($G$53:$G$56&lt;=$V160)/($H$53:$H$56&gt;=$V160),$F$53:$F$56)</f>
        <v>0</v>
      </c>
      <c r="T160" s="5" t="e">
        <f>IFERROR(IF($R160&gt;0,$R160&amp;"-"&amp;COUNTIF($R$5:$R160,$R160),NA()),NA())</f>
        <v>#N/A</v>
      </c>
      <c r="U160" s="5" t="e">
        <f>IFERROR(IF($S160&gt;0,$S160&amp;"-"&amp;COUNTIF($S$5:$S160,$S160),NA()),NA())</f>
        <v>#N/A</v>
      </c>
      <c r="V160" s="10">
        <v>43825</v>
      </c>
      <c r="W160" s="9">
        <v>25073378.303112816</v>
      </c>
      <c r="X160" s="9">
        <v>30421529.895166781</v>
      </c>
      <c r="Y160" s="8">
        <v>20000000</v>
      </c>
      <c r="BP160" s="18">
        <f t="shared" si="371"/>
        <v>35</v>
      </c>
      <c r="BQ160" s="12">
        <f t="shared" si="372"/>
        <v>45344</v>
      </c>
      <c r="BR160" s="11">
        <f t="shared" si="373"/>
        <v>20.955573934837091</v>
      </c>
      <c r="BS160" s="11">
        <f t="shared" si="374"/>
        <v>4</v>
      </c>
      <c r="OB160" s="1"/>
    </row>
    <row r="161" spans="13:392" x14ac:dyDescent="0.2">
      <c r="M161" s="5" t="str" cm="1">
        <f t="array" ref="M161">LOOKUP(2,1/($G$19:$G$35&lt;=$V161)/($H$19:$H$35&gt;=$V161),$F$19:$F$35)</f>
        <v>2H20</v>
      </c>
      <c r="N161" s="5" t="str" cm="1">
        <f t="array" ref="N161">LOOKUP(2,1/($G$8:$G$16&lt;=$V161)/($H$8:$H$16&gt;=$V161),$F$8:$F$16)</f>
        <v>FY20</v>
      </c>
      <c r="O161" s="5" t="str">
        <f>IFERROR(N161&amp;"-"&amp;COUNTIF($N$5:N161,N161),NA())</f>
        <v>FY20-27</v>
      </c>
      <c r="P161" s="5">
        <f>COUNTIF(V$5:V161,"&gt;="&amp;MAX($V:$V)-183)</f>
        <v>0</v>
      </c>
      <c r="Q161" s="5">
        <f>COUNTIF(V$5:V161,"&gt;="&amp;MAX($V:$V)-365)</f>
        <v>0</v>
      </c>
      <c r="R161" s="5" cm="1">
        <f t="array" ref="R161">LOOKUP(2,1/($G$46:$G$50&lt;=$V161)/($H$46:$H$50&gt;=$V161),$F$46:$F$50)</f>
        <v>0</v>
      </c>
      <c r="S161" s="5" cm="1">
        <f t="array" ref="S161">LOOKUP(2,1/($G$53:$G$56&lt;=$V161)/($H$53:$H$56&gt;=$V161),$F$53:$F$56)</f>
        <v>0</v>
      </c>
      <c r="T161" s="5" t="e">
        <f>IFERROR(IF($R161&gt;0,$R161&amp;"-"&amp;COUNTIF($R$5:$R161,$R161),NA()),NA())</f>
        <v>#N/A</v>
      </c>
      <c r="U161" s="5" t="e">
        <f>IFERROR(IF($S161&gt;0,$S161&amp;"-"&amp;COUNTIF($S$5:$S161,$S161),NA()),NA())</f>
        <v>#N/A</v>
      </c>
      <c r="V161" s="10">
        <v>43832</v>
      </c>
      <c r="W161" s="9">
        <v>14302579.986385295</v>
      </c>
      <c r="X161" s="9">
        <v>17353320.29748128</v>
      </c>
      <c r="Y161" s="8">
        <v>3000000</v>
      </c>
      <c r="BP161" s="18">
        <f t="shared" si="371"/>
        <v>36</v>
      </c>
      <c r="BQ161" s="12">
        <f t="shared" si="372"/>
        <v>45351</v>
      </c>
      <c r="BR161" s="11">
        <f t="shared" si="373"/>
        <v>33.186050670153648</v>
      </c>
      <c r="BS161" s="11">
        <f t="shared" si="374"/>
        <v>12</v>
      </c>
      <c r="OB161" s="1"/>
    </row>
    <row r="162" spans="13:392" x14ac:dyDescent="0.2">
      <c r="M162" s="5" t="str" cm="1">
        <f t="array" ref="M162">LOOKUP(2,1/($G$19:$G$35&lt;=$V162)/($H$19:$H$35&gt;=$V162),$F$19:$F$35)</f>
        <v>2H20</v>
      </c>
      <c r="N162" s="5" t="str" cm="1">
        <f t="array" ref="N162">LOOKUP(2,1/($G$8:$G$16&lt;=$V162)/($H$8:$H$16&gt;=$V162),$F$8:$F$16)</f>
        <v>FY20</v>
      </c>
      <c r="O162" s="5" t="str">
        <f>IFERROR(N162&amp;"-"&amp;COUNTIF($N$5:N162,N162),NA())</f>
        <v>FY20-28</v>
      </c>
      <c r="P162" s="5">
        <f>COUNTIF(V$5:V162,"&gt;="&amp;MAX($V:$V)-183)</f>
        <v>0</v>
      </c>
      <c r="Q162" s="5">
        <f>COUNTIF(V$5:V162,"&gt;="&amp;MAX($V:$V)-365)</f>
        <v>0</v>
      </c>
      <c r="R162" s="5" cm="1">
        <f t="array" ref="R162">LOOKUP(2,1/($G$46:$G$50&lt;=$V162)/($H$46:$H$50&gt;=$V162),$F$46:$F$50)</f>
        <v>0</v>
      </c>
      <c r="S162" s="5" cm="1">
        <f t="array" ref="S162">LOOKUP(2,1/($G$53:$G$56&lt;=$V162)/($H$53:$H$56&gt;=$V162),$F$53:$F$56)</f>
        <v>0</v>
      </c>
      <c r="T162" s="5" t="e">
        <f>IFERROR(IF($R162&gt;0,$R162&amp;"-"&amp;COUNTIF($R$5:$R162,$R162),NA()),NA())</f>
        <v>#N/A</v>
      </c>
      <c r="U162" s="5" t="e">
        <f>IFERROR(IF($S162&gt;0,$S162&amp;"-"&amp;COUNTIF($S$5:$S162,$S162),NA()),NA())</f>
        <v>#N/A</v>
      </c>
      <c r="V162" s="10">
        <v>43839</v>
      </c>
      <c r="W162" s="9">
        <v>20379060.090352122</v>
      </c>
      <c r="X162" s="9">
        <v>24725913.607624229</v>
      </c>
      <c r="Y162" s="8">
        <v>8000000</v>
      </c>
      <c r="BP162" s="18">
        <f t="shared" si="371"/>
        <v>37</v>
      </c>
      <c r="BQ162" s="12">
        <f t="shared" si="372"/>
        <v>45358</v>
      </c>
      <c r="BR162" s="11">
        <f t="shared" si="373"/>
        <v>40.790859104282447</v>
      </c>
      <c r="BS162" s="11">
        <f t="shared" si="374"/>
        <v>20</v>
      </c>
      <c r="OB162" s="1"/>
    </row>
    <row r="163" spans="13:392" x14ac:dyDescent="0.2">
      <c r="M163" s="5" t="str" cm="1">
        <f t="array" ref="M163">LOOKUP(2,1/($G$19:$G$35&lt;=$V163)/($H$19:$H$35&gt;=$V163),$F$19:$F$35)</f>
        <v>2H20</v>
      </c>
      <c r="N163" s="5" t="str" cm="1">
        <f t="array" ref="N163">LOOKUP(2,1/($G$8:$G$16&lt;=$V163)/($H$8:$H$16&gt;=$V163),$F$8:$F$16)</f>
        <v>FY20</v>
      </c>
      <c r="O163" s="5" t="str">
        <f>IFERROR(N163&amp;"-"&amp;COUNTIF($N$5:N163,N163),NA())</f>
        <v>FY20-29</v>
      </c>
      <c r="P163" s="5">
        <f>COUNTIF(V$5:V163,"&gt;="&amp;MAX($V:$V)-183)</f>
        <v>0</v>
      </c>
      <c r="Q163" s="5">
        <f>COUNTIF(V$5:V163,"&gt;="&amp;MAX($V:$V)-365)</f>
        <v>0</v>
      </c>
      <c r="R163" s="5" cm="1">
        <f t="array" ref="R163">LOOKUP(2,1/($G$46:$G$50&lt;=$V163)/($H$46:$H$50&gt;=$V163),$F$46:$F$50)</f>
        <v>0</v>
      </c>
      <c r="S163" s="5" cm="1">
        <f t="array" ref="S163">LOOKUP(2,1/($G$53:$G$56&lt;=$V163)/($H$53:$H$56&gt;=$V163),$F$53:$F$56)</f>
        <v>0</v>
      </c>
      <c r="T163" s="5" t="e">
        <f>IFERROR(IF($R163&gt;0,$R163&amp;"-"&amp;COUNTIF($R$5:$R163,$R163),NA()),NA())</f>
        <v>#N/A</v>
      </c>
      <c r="U163" s="5" t="e">
        <f>IFERROR(IF($S163&gt;0,$S163&amp;"-"&amp;COUNTIF($S$5:$S163,$S163),NA()),NA())</f>
        <v>#N/A</v>
      </c>
      <c r="V163" s="10">
        <v>43846</v>
      </c>
      <c r="W163" s="9">
        <v>25817218.392227244</v>
      </c>
      <c r="X163" s="9">
        <v>31324031.075289316</v>
      </c>
      <c r="Y163" s="8">
        <v>12000000</v>
      </c>
      <c r="BP163" s="18">
        <f t="shared" si="371"/>
        <v>38</v>
      </c>
      <c r="BQ163" s="12">
        <f t="shared" si="372"/>
        <v>45365</v>
      </c>
      <c r="BR163" s="11">
        <f t="shared" si="373"/>
        <v>52.908046965239187</v>
      </c>
      <c r="BS163" s="11">
        <f t="shared" si="374"/>
        <v>40</v>
      </c>
      <c r="OB163" s="1"/>
    </row>
    <row r="164" spans="13:392" x14ac:dyDescent="0.2">
      <c r="M164" s="5" t="str" cm="1">
        <f t="array" ref="M164">LOOKUP(2,1/($G$19:$G$35&lt;=$V164)/($H$19:$H$35&gt;=$V164),$F$19:$F$35)</f>
        <v>2H20</v>
      </c>
      <c r="N164" s="5" t="str" cm="1">
        <f t="array" ref="N164">LOOKUP(2,1/($G$8:$G$16&lt;=$V164)/($H$8:$H$16&gt;=$V164),$F$8:$F$16)</f>
        <v>FY20</v>
      </c>
      <c r="O164" s="5" t="str">
        <f>IFERROR(N164&amp;"-"&amp;COUNTIF($N$5:N164,N164),NA())</f>
        <v>FY20-30</v>
      </c>
      <c r="P164" s="5">
        <f>COUNTIF(V$5:V164,"&gt;="&amp;MAX($V:$V)-183)</f>
        <v>0</v>
      </c>
      <c r="Q164" s="5">
        <f>COUNTIF(V$5:V164,"&gt;="&amp;MAX($V:$V)-365)</f>
        <v>0</v>
      </c>
      <c r="R164" s="5" cm="1">
        <f t="array" ref="R164">LOOKUP(2,1/($G$46:$G$50&lt;=$V164)/($H$46:$H$50&gt;=$V164),$F$46:$F$50)</f>
        <v>0</v>
      </c>
      <c r="S164" s="5" cm="1">
        <f t="array" ref="S164">LOOKUP(2,1/($G$53:$G$56&lt;=$V164)/($H$53:$H$56&gt;=$V164),$F$53:$F$56)</f>
        <v>0</v>
      </c>
      <c r="T164" s="5" t="e">
        <f>IFERROR(IF($R164&gt;0,$R164&amp;"-"&amp;COUNTIF($R$5:$R164,$R164),NA()),NA())</f>
        <v>#N/A</v>
      </c>
      <c r="U164" s="5" t="e">
        <f>IFERROR(IF($S164&gt;0,$S164&amp;"-"&amp;COUNTIF($S$5:$S164,$S164),NA()),NA())</f>
        <v>#N/A</v>
      </c>
      <c r="V164" s="10">
        <v>43853</v>
      </c>
      <c r="W164" s="9">
        <v>34282351.135590076</v>
      </c>
      <c r="X164" s="9">
        <v>41594776.632811442</v>
      </c>
      <c r="Y164" s="8">
        <v>20000000</v>
      </c>
      <c r="BP164" s="18">
        <f t="shared" si="371"/>
        <v>39</v>
      </c>
      <c r="BQ164" s="12">
        <f t="shared" si="372"/>
        <v>45372</v>
      </c>
      <c r="BR164" s="11">
        <f t="shared" si="373"/>
        <v>19.7636487959028</v>
      </c>
      <c r="BS164" s="11">
        <f t="shared" si="374"/>
        <v>4</v>
      </c>
      <c r="OB164" s="1"/>
    </row>
    <row r="165" spans="13:392" x14ac:dyDescent="0.2">
      <c r="M165" s="5" t="str" cm="1">
        <f t="array" ref="M165">LOOKUP(2,1/($G$19:$G$35&lt;=$V165)/($H$19:$H$35&gt;=$V165),$F$19:$F$35)</f>
        <v>2H20</v>
      </c>
      <c r="N165" s="5" t="str" cm="1">
        <f t="array" ref="N165">LOOKUP(2,1/($G$8:$G$16&lt;=$V165)/($H$8:$H$16&gt;=$V165),$F$8:$F$16)</f>
        <v>FY20</v>
      </c>
      <c r="O165" s="5" t="str">
        <f>IFERROR(N165&amp;"-"&amp;COUNTIF($N$5:N165,N165),NA())</f>
        <v>FY20-31</v>
      </c>
      <c r="P165" s="5">
        <f>COUNTIF(V$5:V165,"&gt;="&amp;MAX($V:$V)-183)</f>
        <v>0</v>
      </c>
      <c r="Q165" s="5">
        <f>COUNTIF(V$5:V165,"&gt;="&amp;MAX($V:$V)-365)</f>
        <v>0</v>
      </c>
      <c r="R165" s="5" cm="1">
        <f t="array" ref="R165">LOOKUP(2,1/($G$46:$G$50&lt;=$V165)/($H$46:$H$50&gt;=$V165),$F$46:$F$50)</f>
        <v>0</v>
      </c>
      <c r="S165" s="5" cm="1">
        <f t="array" ref="S165">LOOKUP(2,1/($G$53:$G$56&lt;=$V165)/($H$53:$H$56&gt;=$V165),$F$53:$F$56)</f>
        <v>0</v>
      </c>
      <c r="T165" s="5" t="e">
        <f>IFERROR(IF($R165&gt;0,$R165&amp;"-"&amp;COUNTIF($R$5:$R165,$R165),NA()),NA())</f>
        <v>#N/A</v>
      </c>
      <c r="U165" s="5" t="e">
        <f>IFERROR(IF($S165&gt;0,$S165&amp;"-"&amp;COUNTIF($S$5:$S165,$S165),NA()),NA())</f>
        <v>#N/A</v>
      </c>
      <c r="V165" s="10">
        <v>43860</v>
      </c>
      <c r="W165" s="9">
        <v>45674629.370629363</v>
      </c>
      <c r="X165" s="9">
        <v>55417027.815384611</v>
      </c>
      <c r="Y165" s="8">
        <v>40000000</v>
      </c>
      <c r="BP165" s="18">
        <f t="shared" si="371"/>
        <v>40</v>
      </c>
      <c r="BQ165" s="12">
        <f t="shared" si="372"/>
        <v>45379</v>
      </c>
      <c r="BR165" s="11">
        <f t="shared" si="373"/>
        <v>28.780959790781303</v>
      </c>
      <c r="BS165" s="11">
        <f t="shared" si="374"/>
        <v>12</v>
      </c>
      <c r="OB165" s="1"/>
    </row>
    <row r="166" spans="13:392" x14ac:dyDescent="0.2">
      <c r="M166" s="5" t="str" cm="1">
        <f t="array" ref="M166">LOOKUP(2,1/($G$19:$G$35&lt;=$V166)/($H$19:$H$35&gt;=$V166),$F$19:$F$35)</f>
        <v>2H20</v>
      </c>
      <c r="N166" s="5" t="str" cm="1">
        <f t="array" ref="N166">LOOKUP(2,1/($G$8:$G$16&lt;=$V166)/($H$8:$H$16&gt;=$V166),$F$8:$F$16)</f>
        <v>FY20</v>
      </c>
      <c r="O166" s="5" t="str">
        <f>IFERROR(N166&amp;"-"&amp;COUNTIF($N$5:N166,N166),NA())</f>
        <v>FY20-32</v>
      </c>
      <c r="P166" s="5">
        <f>COUNTIF(V$5:V166,"&gt;="&amp;MAX($V:$V)-183)</f>
        <v>0</v>
      </c>
      <c r="Q166" s="5">
        <f>COUNTIF(V$5:V166,"&gt;="&amp;MAX($V:$V)-365)</f>
        <v>0</v>
      </c>
      <c r="R166" s="5" cm="1">
        <f t="array" ref="R166">LOOKUP(2,1/($G$46:$G$50&lt;=$V166)/($H$46:$H$50&gt;=$V166),$F$46:$F$50)</f>
        <v>0</v>
      </c>
      <c r="S166" s="5" cm="1">
        <f t="array" ref="S166">LOOKUP(2,1/($G$53:$G$56&lt;=$V166)/($H$53:$H$56&gt;=$V166),$F$53:$F$56)</f>
        <v>0</v>
      </c>
      <c r="T166" s="5" t="e">
        <f>IFERROR(IF($R166&gt;0,$R166&amp;"-"&amp;COUNTIF($R$5:$R166,$R166),NA()),NA())</f>
        <v>#N/A</v>
      </c>
      <c r="U166" s="5" t="e">
        <f>IFERROR(IF($S166&gt;0,$S166&amp;"-"&amp;COUNTIF($S$5:$S166,$S166),NA()),NA())</f>
        <v>#N/A</v>
      </c>
      <c r="V166" s="10">
        <v>43867</v>
      </c>
      <c r="W166" s="9">
        <v>67313625.100563154</v>
      </c>
      <c r="X166" s="9">
        <v>81671621.334513277</v>
      </c>
      <c r="Y166" s="8">
        <v>60000000</v>
      </c>
      <c r="BP166" s="18">
        <f t="shared" si="371"/>
        <v>41</v>
      </c>
      <c r="BQ166" s="12">
        <f t="shared" si="372"/>
        <v>45386</v>
      </c>
      <c r="BR166" s="11">
        <f t="shared" si="373"/>
        <v>33.664848752315571</v>
      </c>
      <c r="BS166" s="11">
        <f t="shared" si="374"/>
        <v>20</v>
      </c>
      <c r="OB166" s="1"/>
    </row>
    <row r="167" spans="13:392" x14ac:dyDescent="0.2">
      <c r="M167" s="5" t="str" cm="1">
        <f t="array" ref="M167">LOOKUP(2,1/($G$19:$G$35&lt;=$V167)/($H$19:$H$35&gt;=$V167),$F$19:$F$35)</f>
        <v>2H20</v>
      </c>
      <c r="N167" s="5" t="str" cm="1">
        <f t="array" ref="N167">LOOKUP(2,1/($G$8:$G$16&lt;=$V167)/($H$8:$H$16&gt;=$V167),$F$8:$F$16)</f>
        <v>FY20</v>
      </c>
      <c r="O167" s="5" t="str">
        <f>IFERROR(N167&amp;"-"&amp;COUNTIF($N$5:N167,N167),NA())</f>
        <v>FY20-33</v>
      </c>
      <c r="P167" s="5">
        <f>COUNTIF(V$5:V167,"&gt;="&amp;MAX($V:$V)-183)</f>
        <v>0</v>
      </c>
      <c r="Q167" s="5">
        <f>COUNTIF(V$5:V167,"&gt;="&amp;MAX($V:$V)-365)</f>
        <v>0</v>
      </c>
      <c r="R167" s="5" cm="1">
        <f t="array" ref="R167">LOOKUP(2,1/($G$46:$G$50&lt;=$V167)/($H$46:$H$50&gt;=$V167),$F$46:$F$50)</f>
        <v>0</v>
      </c>
      <c r="S167" s="5" cm="1">
        <f t="array" ref="S167">LOOKUP(2,1/($G$53:$G$56&lt;=$V167)/($H$53:$H$56&gt;=$V167),$F$53:$F$56)</f>
        <v>0</v>
      </c>
      <c r="T167" s="5" t="e">
        <f>IFERROR(IF($R167&gt;0,$R167&amp;"-"&amp;COUNTIF($R$5:$R167,$R167),NA()),NA())</f>
        <v>#N/A</v>
      </c>
      <c r="U167" s="5" t="e">
        <f>IFERROR(IF($S167&gt;0,$S167&amp;"-"&amp;COUNTIF($S$5:$S167,$S167),NA()),NA())</f>
        <v>#N/A</v>
      </c>
      <c r="V167" s="10">
        <v>43874</v>
      </c>
      <c r="W167" s="9">
        <v>14466345.689708522</v>
      </c>
      <c r="X167" s="9">
        <v>17552017.225323349</v>
      </c>
      <c r="Y167" s="8">
        <v>3000000</v>
      </c>
      <c r="BP167" s="18">
        <f t="shared" si="371"/>
        <v>42</v>
      </c>
      <c r="BQ167" s="12">
        <f t="shared" si="372"/>
        <v>45393</v>
      </c>
      <c r="BR167" s="11">
        <f t="shared" si="373"/>
        <v>19.70956619810396</v>
      </c>
      <c r="BS167" s="11">
        <f t="shared" si="374"/>
        <v>4</v>
      </c>
      <c r="OB167" s="1"/>
    </row>
    <row r="168" spans="13:392" x14ac:dyDescent="0.2">
      <c r="M168" s="5" t="str" cm="1">
        <f t="array" ref="M168">LOOKUP(2,1/($G$19:$G$35&lt;=$V168)/($H$19:$H$35&gt;=$V168),$F$19:$F$35)</f>
        <v>2H20</v>
      </c>
      <c r="N168" s="5" t="str" cm="1">
        <f t="array" ref="N168">LOOKUP(2,1/($G$8:$G$16&lt;=$V168)/($H$8:$H$16&gt;=$V168),$F$8:$F$16)</f>
        <v>FY20</v>
      </c>
      <c r="O168" s="5" t="str">
        <f>IFERROR(N168&amp;"-"&amp;COUNTIF($N$5:N168,N168),NA())</f>
        <v>FY20-34</v>
      </c>
      <c r="P168" s="5">
        <f>COUNTIF(V$5:V168,"&gt;="&amp;MAX($V:$V)-183)</f>
        <v>0</v>
      </c>
      <c r="Q168" s="5">
        <f>COUNTIF(V$5:V168,"&gt;="&amp;MAX($V:$V)-365)</f>
        <v>0</v>
      </c>
      <c r="R168" s="5" cm="1">
        <f t="array" ref="R168">LOOKUP(2,1/($G$46:$G$50&lt;=$V168)/($H$46:$H$50&gt;=$V168),$F$46:$F$50)</f>
        <v>0</v>
      </c>
      <c r="S168" s="5" cm="1">
        <f t="array" ref="S168">LOOKUP(2,1/($G$53:$G$56&lt;=$V168)/($H$53:$H$56&gt;=$V168),$F$53:$F$56)</f>
        <v>0</v>
      </c>
      <c r="T168" s="5" t="e">
        <f>IFERROR(IF($R168&gt;0,$R168&amp;"-"&amp;COUNTIF($R$5:$R168,$R168),NA()),NA())</f>
        <v>#N/A</v>
      </c>
      <c r="U168" s="5" t="e">
        <f>IFERROR(IF($S168&gt;0,$S168&amp;"-"&amp;COUNTIF($S$5:$S168,$S168),NA()),NA())</f>
        <v>#N/A</v>
      </c>
      <c r="V168" s="10">
        <v>43881</v>
      </c>
      <c r="W168" s="9">
        <v>21317199.148677409</v>
      </c>
      <c r="X168" s="9">
        <v>25864157.727090299</v>
      </c>
      <c r="Y168" s="8">
        <v>8000000</v>
      </c>
      <c r="BP168" s="18">
        <f t="shared" si="371"/>
        <v>43</v>
      </c>
      <c r="BQ168" s="12">
        <f t="shared" si="372"/>
        <v>45400</v>
      </c>
      <c r="BR168" s="11">
        <f t="shared" si="373"/>
        <v>30.895473575242455</v>
      </c>
      <c r="BS168" s="11">
        <f t="shared" si="374"/>
        <v>12</v>
      </c>
      <c r="OB168" s="1"/>
    </row>
    <row r="169" spans="13:392" x14ac:dyDescent="0.2">
      <c r="M169" s="5" t="str" cm="1">
        <f t="array" ref="M169">LOOKUP(2,1/($G$19:$G$35&lt;=$V169)/($H$19:$H$35&gt;=$V169),$F$19:$F$35)</f>
        <v>2H20</v>
      </c>
      <c r="N169" s="5" t="str" cm="1">
        <f t="array" ref="N169">LOOKUP(2,1/($G$8:$G$16&lt;=$V169)/($H$8:$H$16&gt;=$V169),$F$8:$F$16)</f>
        <v>FY20</v>
      </c>
      <c r="O169" s="5" t="str">
        <f>IFERROR(N169&amp;"-"&amp;COUNTIF($N$5:N169,N169),NA())</f>
        <v>FY20-35</v>
      </c>
      <c r="P169" s="5">
        <f>COUNTIF(V$5:V169,"&gt;="&amp;MAX($V:$V)-183)</f>
        <v>0</v>
      </c>
      <c r="Q169" s="5">
        <f>COUNTIF(V$5:V169,"&gt;="&amp;MAX($V:$V)-365)</f>
        <v>0</v>
      </c>
      <c r="R169" s="5" cm="1">
        <f t="array" ref="R169">LOOKUP(2,1/($G$46:$G$50&lt;=$V169)/($H$46:$H$50&gt;=$V169),$F$46:$F$50)</f>
        <v>0</v>
      </c>
      <c r="S169" s="5" cm="1">
        <f t="array" ref="S169">LOOKUP(2,1/($G$53:$G$56&lt;=$V169)/($H$53:$H$56&gt;=$V169),$F$53:$F$56)</f>
        <v>0</v>
      </c>
      <c r="T169" s="5" t="e">
        <f>IFERROR(IF($R169&gt;0,$R169&amp;"-"&amp;COUNTIF($R$5:$R169,$R169),NA()),NA())</f>
        <v>#N/A</v>
      </c>
      <c r="U169" s="5" t="e">
        <f>IFERROR(IF($S169&gt;0,$S169&amp;"-"&amp;COUNTIF($S$5:$S169,$S169),NA()),NA())</f>
        <v>#N/A</v>
      </c>
      <c r="V169" s="10">
        <v>43888</v>
      </c>
      <c r="W169" s="9">
        <v>28132182.912739433</v>
      </c>
      <c r="X169" s="9">
        <v>34132777.528026752</v>
      </c>
      <c r="Y169" s="8">
        <v>12000000</v>
      </c>
      <c r="BP169" s="18">
        <f t="shared" si="371"/>
        <v>44</v>
      </c>
      <c r="BQ169" s="12">
        <f t="shared" si="372"/>
        <v>45407</v>
      </c>
      <c r="BR169" s="11">
        <f t="shared" si="373"/>
        <v>37.208673640623303</v>
      </c>
      <c r="BS169" s="11">
        <f t="shared" si="374"/>
        <v>20</v>
      </c>
      <c r="OB169" s="1"/>
    </row>
    <row r="170" spans="13:392" x14ac:dyDescent="0.2">
      <c r="M170" s="5" t="str" cm="1">
        <f t="array" ref="M170">LOOKUP(2,1/($G$19:$G$35&lt;=$V170)/($H$19:$H$35&gt;=$V170),$F$19:$F$35)</f>
        <v>2H20</v>
      </c>
      <c r="N170" s="5" t="str" cm="1">
        <f t="array" ref="N170">LOOKUP(2,1/($G$8:$G$16&lt;=$V170)/($H$8:$H$16&gt;=$V170),$F$8:$F$16)</f>
        <v>FY20</v>
      </c>
      <c r="O170" s="5" t="str">
        <f>IFERROR(N170&amp;"-"&amp;COUNTIF($N$5:N170,N170),NA())</f>
        <v>FY20-36</v>
      </c>
      <c r="P170" s="5">
        <f>COUNTIF(V$5:V170,"&gt;="&amp;MAX($V:$V)-183)</f>
        <v>0</v>
      </c>
      <c r="Q170" s="5">
        <f>COUNTIF(V$5:V170,"&gt;="&amp;MAX($V:$V)-365)</f>
        <v>0</v>
      </c>
      <c r="R170" s="5" cm="1">
        <f t="array" ref="R170">LOOKUP(2,1/($G$46:$G$50&lt;=$V170)/($H$46:$H$50&gt;=$V170),$F$46:$F$50)</f>
        <v>0</v>
      </c>
      <c r="S170" s="5" cm="1">
        <f t="array" ref="S170">LOOKUP(2,1/($G$53:$G$56&lt;=$V170)/($H$53:$H$56&gt;=$V170),$F$53:$F$56)</f>
        <v>0</v>
      </c>
      <c r="T170" s="5" t="e">
        <f>IFERROR(IF($R170&gt;0,$R170&amp;"-"&amp;COUNTIF($R$5:$R170,$R170),NA()),NA())</f>
        <v>#N/A</v>
      </c>
      <c r="U170" s="5" t="e">
        <f>IFERROR(IF($S170&gt;0,$S170&amp;"-"&amp;COUNTIF($S$5:$S170,$S170),NA()),NA())</f>
        <v>#N/A</v>
      </c>
      <c r="V170" s="10">
        <v>43895</v>
      </c>
      <c r="W170" s="9">
        <v>36338271.571906358</v>
      </c>
      <c r="X170" s="9">
        <v>44089224.898193985</v>
      </c>
      <c r="Y170" s="8">
        <v>20000000</v>
      </c>
      <c r="BP170" s="18">
        <f t="shared" si="371"/>
        <v>45</v>
      </c>
      <c r="BQ170" s="12">
        <f t="shared" si="372"/>
        <v>45414</v>
      </c>
      <c r="BR170" s="11">
        <f t="shared" si="373"/>
        <v>54.983203443391083</v>
      </c>
      <c r="BS170" s="11">
        <f t="shared" si="374"/>
        <v>40</v>
      </c>
      <c r="OB170" s="1"/>
    </row>
    <row r="171" spans="13:392" x14ac:dyDescent="0.2">
      <c r="M171" s="5" t="str" cm="1">
        <f t="array" ref="M171">LOOKUP(2,1/($G$19:$G$35&lt;=$V171)/($H$19:$H$35&gt;=$V171),$F$19:$F$35)</f>
        <v>2H20</v>
      </c>
      <c r="N171" s="5" t="str" cm="1">
        <f t="array" ref="N171">LOOKUP(2,1/($G$8:$G$16&lt;=$V171)/($H$8:$H$16&gt;=$V171),$F$8:$F$16)</f>
        <v>FY20</v>
      </c>
      <c r="O171" s="5" t="str">
        <f>IFERROR(N171&amp;"-"&amp;COUNTIF($N$5:N171,N171),NA())</f>
        <v>FY20-37</v>
      </c>
      <c r="P171" s="5">
        <f>COUNTIF(V$5:V171,"&gt;="&amp;MAX($V:$V)-183)</f>
        <v>0</v>
      </c>
      <c r="Q171" s="5">
        <f>COUNTIF(V$5:V171,"&gt;="&amp;MAX($V:$V)-365)</f>
        <v>0</v>
      </c>
      <c r="R171" s="5" cm="1">
        <f t="array" ref="R171">LOOKUP(2,1/($G$46:$G$50&lt;=$V171)/($H$46:$H$50&gt;=$V171),$F$46:$F$50)</f>
        <v>0</v>
      </c>
      <c r="S171" s="5" cm="1">
        <f t="array" ref="S171">LOOKUP(2,1/($G$53:$G$56&lt;=$V171)/($H$53:$H$56&gt;=$V171),$F$53:$F$56)</f>
        <v>0</v>
      </c>
      <c r="T171" s="5" t="e">
        <f>IFERROR(IF($R171&gt;0,$R171&amp;"-"&amp;COUNTIF($R$5:$R171,$R171),NA()),NA())</f>
        <v>#N/A</v>
      </c>
      <c r="U171" s="5" t="e">
        <f>IFERROR(IF($S171&gt;0,$S171&amp;"-"&amp;COUNTIF($S$5:$S171,$S171),NA()),NA())</f>
        <v>#N/A</v>
      </c>
      <c r="V171" s="10">
        <v>43902</v>
      </c>
      <c r="W171" s="9">
        <v>47382249.437519006</v>
      </c>
      <c r="X171" s="9">
        <v>57488883.242541812</v>
      </c>
      <c r="Y171" s="8">
        <v>40000000</v>
      </c>
      <c r="BP171" s="18">
        <f t="shared" si="371"/>
        <v>46</v>
      </c>
      <c r="BQ171" s="12">
        <f t="shared" si="372"/>
        <v>45421</v>
      </c>
      <c r="BR171" s="11">
        <f t="shared" si="373"/>
        <v>77.952955649994564</v>
      </c>
      <c r="BS171" s="11">
        <f t="shared" si="374"/>
        <v>60</v>
      </c>
      <c r="OB171" s="1"/>
    </row>
    <row r="172" spans="13:392" x14ac:dyDescent="0.2">
      <c r="M172" s="5" t="str" cm="1">
        <f t="array" ref="M172">LOOKUP(2,1/($G$19:$G$35&lt;=$V172)/($H$19:$H$35&gt;=$V172),$F$19:$F$35)</f>
        <v>2H20</v>
      </c>
      <c r="N172" s="5" t="str" cm="1">
        <f t="array" ref="N172">LOOKUP(2,1/($G$8:$G$16&lt;=$V172)/($H$8:$H$16&gt;=$V172),$F$8:$F$16)</f>
        <v>FY20</v>
      </c>
      <c r="O172" s="5" t="str">
        <f>IFERROR(N172&amp;"-"&amp;COUNTIF($N$5:N172,N172),NA())</f>
        <v>FY20-38</v>
      </c>
      <c r="P172" s="5">
        <f>COUNTIF(V$5:V172,"&gt;="&amp;MAX($V:$V)-183)</f>
        <v>0</v>
      </c>
      <c r="Q172" s="5">
        <f>COUNTIF(V$5:V172,"&gt;="&amp;MAX($V:$V)-365)</f>
        <v>0</v>
      </c>
      <c r="R172" s="5" cm="1">
        <f t="array" ref="R172">LOOKUP(2,1/($G$46:$G$50&lt;=$V172)/($H$46:$H$50&gt;=$V172),$F$46:$F$50)</f>
        <v>0</v>
      </c>
      <c r="S172" s="5" cm="1">
        <f t="array" ref="S172">LOOKUP(2,1/($G$53:$G$56&lt;=$V172)/($H$53:$H$56&gt;=$V172),$F$53:$F$56)</f>
        <v>0</v>
      </c>
      <c r="T172" s="5" t="e">
        <f>IFERROR(IF($R172&gt;0,$R172&amp;"-"&amp;COUNTIF($R$5:$R172,$R172),NA()),NA())</f>
        <v>#N/A</v>
      </c>
      <c r="U172" s="5" t="e">
        <f>IFERROR(IF($S172&gt;0,$S172&amp;"-"&amp;COUNTIF($S$5:$S172,$S172),NA()),NA())</f>
        <v>#N/A</v>
      </c>
      <c r="V172" s="10">
        <v>43909</v>
      </c>
      <c r="W172" s="9">
        <v>63680303.55731225</v>
      </c>
      <c r="X172" s="9">
        <v>77263312.306086957</v>
      </c>
      <c r="Y172" s="8">
        <v>60000000</v>
      </c>
      <c r="BP172" s="18" t="e">
        <f t="shared" si="371"/>
        <v>#N/A</v>
      </c>
      <c r="BQ172" s="12" t="e">
        <f t="shared" si="372"/>
        <v>#N/A</v>
      </c>
      <c r="BR172" s="11" t="e">
        <f t="shared" si="373"/>
        <v>#N/A</v>
      </c>
      <c r="BS172" s="11" t="e">
        <f t="shared" si="374"/>
        <v>#N/A</v>
      </c>
      <c r="OB172" s="1"/>
    </row>
    <row r="173" spans="13:392" x14ac:dyDescent="0.2">
      <c r="M173" s="5" t="str" cm="1">
        <f t="array" ref="M173">LOOKUP(2,1/($G$19:$G$35&lt;=$V173)/($H$19:$H$35&gt;=$V173),$F$19:$F$35)</f>
        <v>2H20</v>
      </c>
      <c r="N173" s="5" t="str" cm="1">
        <f t="array" ref="N173">LOOKUP(2,1/($G$8:$G$16&lt;=$V173)/($H$8:$H$16&gt;=$V173),$F$8:$F$16)</f>
        <v>FY20</v>
      </c>
      <c r="O173" s="5" t="str">
        <f>IFERROR(N173&amp;"-"&amp;COUNTIF($N$5:N173,N173),NA())</f>
        <v>FY20-39</v>
      </c>
      <c r="P173" s="5">
        <f>COUNTIF(V$5:V173,"&gt;="&amp;MAX($V:$V)-183)</f>
        <v>0</v>
      </c>
      <c r="Q173" s="5">
        <f>COUNTIF(V$5:V173,"&gt;="&amp;MAX($V:$V)-365)</f>
        <v>0</v>
      </c>
      <c r="R173" s="5" cm="1">
        <f t="array" ref="R173">LOOKUP(2,1/($G$46:$G$50&lt;=$V173)/($H$46:$H$50&gt;=$V173),$F$46:$F$50)</f>
        <v>0</v>
      </c>
      <c r="S173" s="5" cm="1">
        <f t="array" ref="S173">LOOKUP(2,1/($G$53:$G$56&lt;=$V173)/($H$53:$H$56&gt;=$V173),$F$53:$F$56)</f>
        <v>0</v>
      </c>
      <c r="T173" s="5" t="e">
        <f>IFERROR(IF($R173&gt;0,$R173&amp;"-"&amp;COUNTIF($R$5:$R173,$R173),NA()),NA())</f>
        <v>#N/A</v>
      </c>
      <c r="U173" s="5" t="e">
        <f>IFERROR(IF($S173&gt;0,$S173&amp;"-"&amp;COUNTIF($S$5:$S173,$S173),NA()),NA())</f>
        <v>#N/A</v>
      </c>
      <c r="V173" s="10">
        <v>43916</v>
      </c>
      <c r="W173" s="9">
        <v>82611427.667984188</v>
      </c>
      <c r="X173" s="9">
        <v>100232445.18956521</v>
      </c>
      <c r="Y173" s="8">
        <v>80000000</v>
      </c>
      <c r="BP173" s="18" t="e">
        <f t="shared" si="371"/>
        <v>#N/A</v>
      </c>
      <c r="BQ173" s="12" t="e">
        <f t="shared" si="372"/>
        <v>#N/A</v>
      </c>
      <c r="BR173" s="11" t="e">
        <f t="shared" si="373"/>
        <v>#N/A</v>
      </c>
      <c r="BS173" s="11" t="e">
        <f t="shared" si="374"/>
        <v>#N/A</v>
      </c>
      <c r="OB173" s="1"/>
    </row>
    <row r="174" spans="13:392" x14ac:dyDescent="0.2">
      <c r="M174" s="5" t="str" cm="1">
        <f t="array" ref="M174">LOOKUP(2,1/($G$19:$G$35&lt;=$V174)/($H$19:$H$35&gt;=$V174),$F$19:$F$35)</f>
        <v>2H20</v>
      </c>
      <c r="N174" s="5" t="str" cm="1">
        <f t="array" ref="N174">LOOKUP(2,1/($G$8:$G$16&lt;=$V174)/($H$8:$H$16&gt;=$V174),$F$8:$F$16)</f>
        <v>FY20</v>
      </c>
      <c r="O174" s="5" t="str">
        <f>IFERROR(N174&amp;"-"&amp;COUNTIF($N$5:N174,N174),NA())</f>
        <v>FY20-40</v>
      </c>
      <c r="P174" s="5">
        <f>COUNTIF(V$5:V174,"&gt;="&amp;MAX($V:$V)-183)</f>
        <v>0</v>
      </c>
      <c r="Q174" s="5">
        <f>COUNTIF(V$5:V174,"&gt;="&amp;MAX($V:$V)-365)</f>
        <v>0</v>
      </c>
      <c r="R174" s="5" cm="1">
        <f t="array" ref="R174">LOOKUP(2,1/($G$46:$G$50&lt;=$V174)/($H$46:$H$50&gt;=$V174),$F$46:$F$50)</f>
        <v>0</v>
      </c>
      <c r="S174" s="5" cm="1">
        <f t="array" ref="S174">LOOKUP(2,1/($G$53:$G$56&lt;=$V174)/($H$53:$H$56&gt;=$V174),$F$53:$F$56)</f>
        <v>0</v>
      </c>
      <c r="T174" s="5" t="e">
        <f>IFERROR(IF($R174&gt;0,$R174&amp;"-"&amp;COUNTIF($R$5:$R174,$R174),NA()),NA())</f>
        <v>#N/A</v>
      </c>
      <c r="U174" s="5" t="e">
        <f>IFERROR(IF($S174&gt;0,$S174&amp;"-"&amp;COUNTIF($S$5:$S174,$S174),NA()),NA())</f>
        <v>#N/A</v>
      </c>
      <c r="V174" s="10">
        <v>43923</v>
      </c>
      <c r="W174" s="9">
        <v>15454267.436910914</v>
      </c>
      <c r="X174" s="9">
        <v>18750662.681204014</v>
      </c>
      <c r="Y174" s="8">
        <v>3000000</v>
      </c>
      <c r="BP174" s="18">
        <f t="shared" si="371"/>
        <v>49</v>
      </c>
      <c r="BQ174" s="12">
        <f t="shared" si="372"/>
        <v>45442</v>
      </c>
      <c r="BR174" s="11">
        <f t="shared" si="373"/>
        <v>21.15536057535142</v>
      </c>
      <c r="BS174" s="11">
        <f t="shared" si="374"/>
        <v>4</v>
      </c>
      <c r="OB174" s="1"/>
    </row>
    <row r="175" spans="13:392" x14ac:dyDescent="0.2">
      <c r="M175" s="5" t="str" cm="1">
        <f t="array" ref="M175">LOOKUP(2,1/($G$19:$G$35&lt;=$V175)/($H$19:$H$35&gt;=$V175),$F$19:$F$35)</f>
        <v>2H20</v>
      </c>
      <c r="N175" s="5" t="str" cm="1">
        <f t="array" ref="N175">LOOKUP(2,1/($G$8:$G$16&lt;=$V175)/($H$8:$H$16&gt;=$V175),$F$8:$F$16)</f>
        <v>FY20</v>
      </c>
      <c r="O175" s="5" t="str">
        <f>IFERROR(N175&amp;"-"&amp;COUNTIF($N$5:N175,N175),NA())</f>
        <v>FY20-41</v>
      </c>
      <c r="P175" s="5">
        <f>COUNTIF(V$5:V175,"&gt;="&amp;MAX($V:$V)-183)</f>
        <v>0</v>
      </c>
      <c r="Q175" s="5">
        <f>COUNTIF(V$5:V175,"&gt;="&amp;MAX($V:$V)-365)</f>
        <v>0</v>
      </c>
      <c r="R175" s="5" cm="1">
        <f t="array" ref="R175">LOOKUP(2,1/($G$46:$G$50&lt;=$V175)/($H$46:$H$50&gt;=$V175),$F$46:$F$50)</f>
        <v>0</v>
      </c>
      <c r="S175" s="5" cm="1">
        <f t="array" ref="S175">LOOKUP(2,1/($G$53:$G$56&lt;=$V175)/($H$53:$H$56&gt;=$V175),$F$53:$F$56)</f>
        <v>0</v>
      </c>
      <c r="T175" s="5" t="e">
        <f>IFERROR(IF($R175&gt;0,$R175&amp;"-"&amp;COUNTIF($R$5:$R175,$R175),NA()),NA())</f>
        <v>#N/A</v>
      </c>
      <c r="U175" s="5" t="e">
        <f>IFERROR(IF($S175&gt;0,$S175&amp;"-"&amp;COUNTIF($S$5:$S175,$S175),NA()),NA())</f>
        <v>#N/A</v>
      </c>
      <c r="V175" s="10">
        <v>43930</v>
      </c>
      <c r="W175" s="9">
        <v>21964242.505320761</v>
      </c>
      <c r="X175" s="9">
        <v>26649215.43170568</v>
      </c>
      <c r="Y175" s="8">
        <v>8000000</v>
      </c>
      <c r="BP175" s="18">
        <f t="shared" si="371"/>
        <v>50</v>
      </c>
      <c r="BQ175" s="12">
        <f t="shared" si="372"/>
        <v>45449</v>
      </c>
      <c r="BR175" s="11">
        <f t="shared" si="373"/>
        <v>32.64936362645745</v>
      </c>
      <c r="BS175" s="11">
        <f t="shared" si="374"/>
        <v>12</v>
      </c>
      <c r="OB175" s="1"/>
    </row>
    <row r="176" spans="13:392" x14ac:dyDescent="0.2">
      <c r="M176" s="5" t="str" cm="1">
        <f t="array" ref="M176">LOOKUP(2,1/($G$19:$G$35&lt;=$V176)/($H$19:$H$35&gt;=$V176),$F$19:$F$35)</f>
        <v>2H20</v>
      </c>
      <c r="N176" s="5" t="str" cm="1">
        <f t="array" ref="N176">LOOKUP(2,1/($G$8:$G$16&lt;=$V176)/($H$8:$H$16&gt;=$V176),$F$8:$F$16)</f>
        <v>FY20</v>
      </c>
      <c r="O176" s="5" t="str">
        <f>IFERROR(N176&amp;"-"&amp;COUNTIF($N$5:N176,N176),NA())</f>
        <v>FY20-42</v>
      </c>
      <c r="P176" s="5">
        <f>COUNTIF(V$5:V176,"&gt;="&amp;MAX($V:$V)-183)</f>
        <v>0</v>
      </c>
      <c r="Q176" s="5">
        <f>COUNTIF(V$5:V176,"&gt;="&amp;MAX($V:$V)-365)</f>
        <v>0</v>
      </c>
      <c r="R176" s="5" cm="1">
        <f t="array" ref="R176">LOOKUP(2,1/($G$46:$G$50&lt;=$V176)/($H$46:$H$50&gt;=$V176),$F$46:$F$50)</f>
        <v>0</v>
      </c>
      <c r="S176" s="5" cm="1">
        <f t="array" ref="S176">LOOKUP(2,1/($G$53:$G$56&lt;=$V176)/($H$53:$H$56&gt;=$V176),$F$53:$F$56)</f>
        <v>0</v>
      </c>
      <c r="T176" s="5" t="e">
        <f>IFERROR(IF($R176&gt;0,$R176&amp;"-"&amp;COUNTIF($R$5:$R176,$R176),NA()),NA())</f>
        <v>#N/A</v>
      </c>
      <c r="U176" s="5" t="e">
        <f>IFERROR(IF($S176&gt;0,$S176&amp;"-"&amp;COUNTIF($S$5:$S176,$S176),NA()),NA())</f>
        <v>#N/A</v>
      </c>
      <c r="V176" s="10">
        <v>43937</v>
      </c>
      <c r="W176" s="9">
        <v>28686509.212526601</v>
      </c>
      <c r="X176" s="9">
        <v>34805341.627558529</v>
      </c>
      <c r="Y176" s="8">
        <v>12000000</v>
      </c>
      <c r="BP176" s="18">
        <f t="shared" si="371"/>
        <v>51</v>
      </c>
      <c r="BQ176" s="12">
        <f t="shared" si="372"/>
        <v>45456</v>
      </c>
      <c r="BR176" s="11">
        <f t="shared" si="373"/>
        <v>41.109275798191128</v>
      </c>
      <c r="BS176" s="11">
        <f t="shared" si="374"/>
        <v>20</v>
      </c>
      <c r="OB176" s="1"/>
    </row>
    <row r="177" spans="13:392" x14ac:dyDescent="0.2">
      <c r="M177" s="5" t="str" cm="1">
        <f t="array" ref="M177">LOOKUP(2,1/($G$19:$G$35&lt;=$V177)/($H$19:$H$35&gt;=$V177),$F$19:$F$35)</f>
        <v>2H20</v>
      </c>
      <c r="N177" s="5" t="str" cm="1">
        <f t="array" ref="N177">LOOKUP(2,1/($G$8:$G$16&lt;=$V177)/($H$8:$H$16&gt;=$V177),$F$8:$F$16)</f>
        <v>FY20</v>
      </c>
      <c r="O177" s="5" t="str">
        <f>IFERROR(N177&amp;"-"&amp;COUNTIF($N$5:N177,N177),NA())</f>
        <v>FY20-43</v>
      </c>
      <c r="P177" s="5">
        <f>COUNTIF(V$5:V177,"&gt;="&amp;MAX($V:$V)-183)</f>
        <v>0</v>
      </c>
      <c r="Q177" s="5">
        <f>COUNTIF(V$5:V177,"&gt;="&amp;MAX($V:$V)-365)</f>
        <v>0</v>
      </c>
      <c r="R177" s="5" cm="1">
        <f t="array" ref="R177">LOOKUP(2,1/($G$46:$G$50&lt;=$V177)/($H$46:$H$50&gt;=$V177),$F$46:$F$50)</f>
        <v>0</v>
      </c>
      <c r="S177" s="5" cm="1">
        <f t="array" ref="S177">LOOKUP(2,1/($G$53:$G$56&lt;=$V177)/($H$53:$H$56&gt;=$V177),$F$53:$F$56)</f>
        <v>0</v>
      </c>
      <c r="T177" s="5" t="e">
        <f>IFERROR(IF($R177&gt;0,$R177&amp;"-"&amp;COUNTIF($R$5:$R177,$R177),NA()),NA())</f>
        <v>#N/A</v>
      </c>
      <c r="U177" s="5" t="e">
        <f>IFERROR(IF($S177&gt;0,$S177&amp;"-"&amp;COUNTIF($S$5:$S177,$S177),NA()),NA())</f>
        <v>#N/A</v>
      </c>
      <c r="V177" s="10">
        <v>43944</v>
      </c>
      <c r="W177" s="9">
        <v>40886779.446640313</v>
      </c>
      <c r="X177" s="9">
        <v>49607929.502608694</v>
      </c>
      <c r="Y177" s="8">
        <v>20000000</v>
      </c>
      <c r="BP177" s="18">
        <f t="shared" si="371"/>
        <v>52</v>
      </c>
      <c r="BQ177" s="12">
        <f t="shared" si="372"/>
        <v>45463</v>
      </c>
      <c r="BR177" s="11">
        <f t="shared" si="373"/>
        <v>55.0771206276561</v>
      </c>
      <c r="BS177" s="11">
        <f t="shared" si="374"/>
        <v>40</v>
      </c>
      <c r="OB177" s="1"/>
    </row>
    <row r="178" spans="13:392" x14ac:dyDescent="0.2">
      <c r="M178" s="5" t="str" cm="1">
        <f t="array" ref="M178">LOOKUP(2,1/($G$19:$G$35&lt;=$V178)/($H$19:$H$35&gt;=$V178),$F$19:$F$35)</f>
        <v>2H20</v>
      </c>
      <c r="N178" s="5" t="str" cm="1">
        <f t="array" ref="N178">LOOKUP(2,1/($G$8:$G$16&lt;=$V178)/($H$8:$H$16&gt;=$V178),$F$8:$F$16)</f>
        <v>FY20</v>
      </c>
      <c r="O178" s="5" t="str">
        <f>IFERROR(N178&amp;"-"&amp;COUNTIF($N$5:N178,N178),NA())</f>
        <v>FY20-44</v>
      </c>
      <c r="P178" s="5">
        <f>COUNTIF(V$5:V178,"&gt;="&amp;MAX($V:$V)-183)</f>
        <v>0</v>
      </c>
      <c r="Q178" s="5">
        <f>COUNTIF(V$5:V178,"&gt;="&amp;MAX($V:$V)-365)</f>
        <v>0</v>
      </c>
      <c r="R178" s="5" cm="1">
        <f t="array" ref="R178">LOOKUP(2,1/($G$46:$G$50&lt;=$V178)/($H$46:$H$50&gt;=$V178),$F$46:$F$50)</f>
        <v>0</v>
      </c>
      <c r="S178" s="5" cm="1">
        <f t="array" ref="S178">LOOKUP(2,1/($G$53:$G$56&lt;=$V178)/($H$53:$H$56&gt;=$V178),$F$53:$F$56)</f>
        <v>0</v>
      </c>
      <c r="T178" s="5" t="e">
        <f>IFERROR(IF($R178&gt;0,$R178&amp;"-"&amp;COUNTIF($R$5:$R178,$R178),NA()),NA())</f>
        <v>#N/A</v>
      </c>
      <c r="U178" s="5" t="e">
        <f>IFERROR(IF($S178&gt;0,$S178&amp;"-"&amp;COUNTIF($S$5:$S178,$S178),NA()),NA())</f>
        <v>#N/A</v>
      </c>
      <c r="V178" s="10">
        <v>43951</v>
      </c>
      <c r="W178" s="9">
        <v>17546634.478564911</v>
      </c>
      <c r="X178" s="9">
        <v>21289331.612842806</v>
      </c>
      <c r="Y178" s="8">
        <v>3000000</v>
      </c>
      <c r="BP178" s="18">
        <f t="shared" si="371"/>
        <v>53</v>
      </c>
      <c r="BQ178" s="12">
        <f t="shared" si="372"/>
        <v>45470</v>
      </c>
      <c r="BR178" s="11">
        <f t="shared" si="373"/>
        <v>19.509070393374742</v>
      </c>
      <c r="BS178" s="11">
        <f t="shared" si="374"/>
        <v>4</v>
      </c>
      <c r="OB178" s="1"/>
    </row>
    <row r="179" spans="13:392" x14ac:dyDescent="0.2">
      <c r="M179" s="5" t="str" cm="1">
        <f t="array" ref="M179">LOOKUP(2,1/($G$19:$G$35&lt;=$V179)/($H$19:$H$35&gt;=$V179),$F$19:$F$35)</f>
        <v>2H20</v>
      </c>
      <c r="N179" s="5" t="str" cm="1">
        <f t="array" ref="N179">LOOKUP(2,1/($G$8:$G$16&lt;=$V179)/($H$8:$H$16&gt;=$V179),$F$8:$F$16)</f>
        <v>FY20</v>
      </c>
      <c r="O179" s="5" t="str">
        <f>IFERROR(N179&amp;"-"&amp;COUNTIF($N$5:N179,N179),NA())</f>
        <v>FY20-45</v>
      </c>
      <c r="P179" s="5">
        <f>COUNTIF(V$5:V179,"&gt;="&amp;MAX($V:$V)-183)</f>
        <v>0</v>
      </c>
      <c r="Q179" s="5">
        <f>COUNTIF(V$5:V179,"&gt;="&amp;MAX($V:$V)-365)</f>
        <v>0</v>
      </c>
      <c r="R179" s="5" cm="1">
        <f t="array" ref="R179">LOOKUP(2,1/($G$46:$G$50&lt;=$V179)/($H$46:$H$50&gt;=$V179),$F$46:$F$50)</f>
        <v>0</v>
      </c>
      <c r="S179" s="5" cm="1">
        <f t="array" ref="S179">LOOKUP(2,1/($G$53:$G$56&lt;=$V179)/($H$53:$H$56&gt;=$V179),$F$53:$F$56)</f>
        <v>0</v>
      </c>
      <c r="T179" s="5" t="e">
        <f>IFERROR(IF($R179&gt;0,$R179&amp;"-"&amp;COUNTIF($R$5:$R179,$R179),NA()),NA())</f>
        <v>#N/A</v>
      </c>
      <c r="U179" s="5" t="e">
        <f>IFERROR(IF($S179&gt;0,$S179&amp;"-"&amp;COUNTIF($S$5:$S179,$S179),NA()),NA())</f>
        <v>#N/A</v>
      </c>
      <c r="V179" s="10">
        <v>43958</v>
      </c>
      <c r="W179" s="9">
        <v>22952706.354515053</v>
      </c>
      <c r="X179" s="9">
        <v>27848518.619933113</v>
      </c>
      <c r="Y179" s="8">
        <v>8000000</v>
      </c>
      <c r="BP179" s="12"/>
      <c r="BQ179" s="12"/>
      <c r="BR179" s="11"/>
      <c r="BS179" s="11"/>
      <c r="OB179" s="1"/>
    </row>
    <row r="180" spans="13:392" x14ac:dyDescent="0.2">
      <c r="M180" s="5" t="str" cm="1">
        <f t="array" ref="M180">LOOKUP(2,1/($G$19:$G$35&lt;=$V180)/($H$19:$H$35&gt;=$V180),$F$19:$F$35)</f>
        <v>2H20</v>
      </c>
      <c r="N180" s="5" t="str" cm="1">
        <f t="array" ref="N180">LOOKUP(2,1/($G$8:$G$16&lt;=$V180)/($H$8:$H$16&gt;=$V180),$F$8:$F$16)</f>
        <v>FY20</v>
      </c>
      <c r="O180" s="5" t="str">
        <f>IFERROR(N180&amp;"-"&amp;COUNTIF($N$5:N180,N180),NA())</f>
        <v>FY20-46</v>
      </c>
      <c r="P180" s="5">
        <f>COUNTIF(V$5:V180,"&gt;="&amp;MAX($V:$V)-183)</f>
        <v>0</v>
      </c>
      <c r="Q180" s="5">
        <f>COUNTIF(V$5:V180,"&gt;="&amp;MAX($V:$V)-365)</f>
        <v>0</v>
      </c>
      <c r="R180" s="5" cm="1">
        <f t="array" ref="R180">LOOKUP(2,1/($G$46:$G$50&lt;=$V180)/($H$46:$H$50&gt;=$V180),$F$46:$F$50)</f>
        <v>0</v>
      </c>
      <c r="S180" s="5" cm="1">
        <f t="array" ref="S180">LOOKUP(2,1/($G$53:$G$56&lt;=$V180)/($H$53:$H$56&gt;=$V180),$F$53:$F$56)</f>
        <v>0</v>
      </c>
      <c r="T180" s="5" t="e">
        <f>IFERROR(IF($R180&gt;0,$R180&amp;"-"&amp;COUNTIF($R$5:$R180,$R180),NA()),NA())</f>
        <v>#N/A</v>
      </c>
      <c r="U180" s="5" t="e">
        <f>IFERROR(IF($S180&gt;0,$S180&amp;"-"&amp;COUNTIF($S$5:$S180,$S180),NA()),NA())</f>
        <v>#N/A</v>
      </c>
      <c r="V180" s="10">
        <v>43965</v>
      </c>
      <c r="W180" s="9">
        <v>17170624.749163877</v>
      </c>
      <c r="X180" s="9">
        <v>20833119.008160532</v>
      </c>
      <c r="Y180" s="8">
        <v>3000000</v>
      </c>
      <c r="BP180" s="12"/>
      <c r="BQ180" s="12"/>
      <c r="BR180" s="11"/>
      <c r="BS180" s="11"/>
      <c r="OB180" s="1"/>
    </row>
    <row r="181" spans="13:392" x14ac:dyDescent="0.2">
      <c r="M181" s="5" t="str" cm="1">
        <f t="array" ref="M181">LOOKUP(2,1/($G$19:$G$35&lt;=$V181)/($H$19:$H$35&gt;=$V181),$F$19:$F$35)</f>
        <v>2H20</v>
      </c>
      <c r="N181" s="5" t="str" cm="1">
        <f t="array" ref="N181">LOOKUP(2,1/($G$8:$G$16&lt;=$V181)/($H$8:$H$16&gt;=$V181),$F$8:$F$16)</f>
        <v>FY20</v>
      </c>
      <c r="O181" s="5" t="str">
        <f>IFERROR(N181&amp;"-"&amp;COUNTIF($N$5:N181,N181),NA())</f>
        <v>FY20-47</v>
      </c>
      <c r="P181" s="5">
        <f>COUNTIF(V$5:V181,"&gt;="&amp;MAX($V:$V)-183)</f>
        <v>0</v>
      </c>
      <c r="Q181" s="5">
        <f>COUNTIF(V$5:V181,"&gt;="&amp;MAX($V:$V)-365)</f>
        <v>0</v>
      </c>
      <c r="R181" s="5" cm="1">
        <f t="array" ref="R181">LOOKUP(2,1/($G$46:$G$50&lt;=$V181)/($H$46:$H$50&gt;=$V181),$F$46:$F$50)</f>
        <v>0</v>
      </c>
      <c r="S181" s="5" cm="1">
        <f t="array" ref="S181">LOOKUP(2,1/($G$53:$G$56&lt;=$V181)/($H$53:$H$56&gt;=$V181),$F$53:$F$56)</f>
        <v>0</v>
      </c>
      <c r="T181" s="5" t="e">
        <f>IFERROR(IF($R181&gt;0,$R181&amp;"-"&amp;COUNTIF($R$5:$R181,$R181),NA()),NA())</f>
        <v>#N/A</v>
      </c>
      <c r="U181" s="5" t="e">
        <f>IFERROR(IF($S181&gt;0,$S181&amp;"-"&amp;COUNTIF($S$5:$S181,$S181),NA()),NA())</f>
        <v>#N/A</v>
      </c>
      <c r="V181" s="10">
        <v>43972</v>
      </c>
      <c r="W181" s="9">
        <v>24236348.555792037</v>
      </c>
      <c r="X181" s="9">
        <v>29405961.70274248</v>
      </c>
      <c r="Y181" s="8">
        <v>8000000</v>
      </c>
      <c r="BP181" s="12"/>
      <c r="BQ181" s="12"/>
      <c r="BR181" s="11"/>
      <c r="BS181" s="11"/>
      <c r="OB181" s="1"/>
    </row>
    <row r="182" spans="13:392" x14ac:dyDescent="0.2">
      <c r="M182" s="5" t="str" cm="1">
        <f t="array" ref="M182">LOOKUP(2,1/($G$19:$G$35&lt;=$V182)/($H$19:$H$35&gt;=$V182),$F$19:$F$35)</f>
        <v>2H20</v>
      </c>
      <c r="N182" s="5" t="str" cm="1">
        <f t="array" ref="N182">LOOKUP(2,1/($G$8:$G$16&lt;=$V182)/($H$8:$H$16&gt;=$V182),$F$8:$F$16)</f>
        <v>FY20</v>
      </c>
      <c r="O182" s="5" t="str">
        <f>IFERROR(N182&amp;"-"&amp;COUNTIF($N$5:N182,N182),NA())</f>
        <v>FY20-48</v>
      </c>
      <c r="P182" s="5">
        <f>COUNTIF(V$5:V182,"&gt;="&amp;MAX($V:$V)-183)</f>
        <v>0</v>
      </c>
      <c r="Q182" s="5">
        <f>COUNTIF(V$5:V182,"&gt;="&amp;MAX($V:$V)-365)</f>
        <v>0</v>
      </c>
      <c r="R182" s="5" cm="1">
        <f t="array" ref="R182">LOOKUP(2,1/($G$46:$G$50&lt;=$V182)/($H$46:$H$50&gt;=$V182),$F$46:$F$50)</f>
        <v>0</v>
      </c>
      <c r="S182" s="5" cm="1">
        <f t="array" ref="S182">LOOKUP(2,1/($G$53:$G$56&lt;=$V182)/($H$53:$H$56&gt;=$V182),$F$53:$F$56)</f>
        <v>0</v>
      </c>
      <c r="T182" s="5" t="e">
        <f>IFERROR(IF($R182&gt;0,$R182&amp;"-"&amp;COUNTIF($R$5:$R182,$R182),NA()),NA())</f>
        <v>#N/A</v>
      </c>
      <c r="U182" s="5" t="e">
        <f>IFERROR(IF($S182&gt;0,$S182&amp;"-"&amp;COUNTIF($S$5:$S182,$S182),NA()),NA())</f>
        <v>#N/A</v>
      </c>
      <c r="V182" s="10">
        <v>43979</v>
      </c>
      <c r="W182" s="9">
        <v>37016112.131346919</v>
      </c>
      <c r="X182" s="9">
        <v>44911648.848963216</v>
      </c>
      <c r="Y182" s="8">
        <v>15000000</v>
      </c>
      <c r="BP182" s="12"/>
      <c r="BQ182" s="12"/>
      <c r="BR182" s="11"/>
      <c r="BS182" s="11"/>
      <c r="OB182" s="1"/>
    </row>
    <row r="183" spans="13:392" x14ac:dyDescent="0.2">
      <c r="M183" s="5" t="str" cm="1">
        <f t="array" ref="M183">LOOKUP(2,1/($G$19:$G$35&lt;=$V183)/($H$19:$H$35&gt;=$V183),$F$19:$F$35)</f>
        <v>2H20</v>
      </c>
      <c r="N183" s="5" t="str" cm="1">
        <f t="array" ref="N183">LOOKUP(2,1/($G$8:$G$16&lt;=$V183)/($H$8:$H$16&gt;=$V183),$F$8:$F$16)</f>
        <v>FY20</v>
      </c>
      <c r="O183" s="5" t="str">
        <f>IFERROR(N183&amp;"-"&amp;COUNTIF($N$5:N183,N183),NA())</f>
        <v>FY20-49</v>
      </c>
      <c r="P183" s="5">
        <f>COUNTIF(V$5:V183,"&gt;="&amp;MAX($V:$V)-183)</f>
        <v>0</v>
      </c>
      <c r="Q183" s="5">
        <f>COUNTIF(V$5:V183,"&gt;="&amp;MAX($V:$V)-365)</f>
        <v>0</v>
      </c>
      <c r="R183" s="5" cm="1">
        <f t="array" ref="R183">LOOKUP(2,1/($G$46:$G$50&lt;=$V183)/($H$46:$H$50&gt;=$V183),$F$46:$F$50)</f>
        <v>0</v>
      </c>
      <c r="S183" s="5" cm="1">
        <f t="array" ref="S183">LOOKUP(2,1/($G$53:$G$56&lt;=$V183)/($H$53:$H$56&gt;=$V183),$F$53:$F$56)</f>
        <v>0</v>
      </c>
      <c r="T183" s="5" t="e">
        <f>IFERROR(IF($R183&gt;0,$R183&amp;"-"&amp;COUNTIF($R$5:$R183,$R183),NA()),NA())</f>
        <v>#N/A</v>
      </c>
      <c r="U183" s="5" t="e">
        <f>IFERROR(IF($S183&gt;0,$S183&amp;"-"&amp;COUNTIF($S$5:$S183,$S183),NA()),NA())</f>
        <v>#N/A</v>
      </c>
      <c r="V183" s="10">
        <v>43986</v>
      </c>
      <c r="W183" s="9">
        <v>18066079.416235939</v>
      </c>
      <c r="X183" s="9">
        <v>21919574.155719064</v>
      </c>
      <c r="Y183" s="8">
        <v>3000000</v>
      </c>
      <c r="BP183" s="12"/>
      <c r="BQ183" s="12"/>
      <c r="BR183" s="11"/>
      <c r="BS183" s="11"/>
      <c r="OB183" s="1"/>
    </row>
    <row r="184" spans="13:392" x14ac:dyDescent="0.2">
      <c r="M184" s="5" t="str" cm="1">
        <f t="array" ref="M184">LOOKUP(2,1/($G$19:$G$35&lt;=$V184)/($H$19:$H$35&gt;=$V184),$F$19:$F$35)</f>
        <v>2H20</v>
      </c>
      <c r="N184" s="5" t="str" cm="1">
        <f t="array" ref="N184">LOOKUP(2,1/($G$8:$G$16&lt;=$V184)/($H$8:$H$16&gt;=$V184),$F$8:$F$16)</f>
        <v>FY20</v>
      </c>
      <c r="O184" s="5" t="str">
        <f>IFERROR(N184&amp;"-"&amp;COUNTIF($N$5:N184,N184),NA())</f>
        <v>FY20-50</v>
      </c>
      <c r="P184" s="5">
        <f>COUNTIF(V$5:V184,"&gt;="&amp;MAX($V:$V)-183)</f>
        <v>0</v>
      </c>
      <c r="Q184" s="5">
        <f>COUNTIF(V$5:V184,"&gt;="&amp;MAX($V:$V)-365)</f>
        <v>0</v>
      </c>
      <c r="R184" s="5" cm="1">
        <f t="array" ref="R184">LOOKUP(2,1/($G$46:$G$50&lt;=$V184)/($H$46:$H$50&gt;=$V184),$F$46:$F$50)</f>
        <v>0</v>
      </c>
      <c r="S184" s="5" cm="1">
        <f t="array" ref="S184">LOOKUP(2,1/($G$53:$G$56&lt;=$V184)/($H$53:$H$56&gt;=$V184),$F$53:$F$56)</f>
        <v>0</v>
      </c>
      <c r="T184" s="5" t="e">
        <f>IFERROR(IF($R184&gt;0,$R184&amp;"-"&amp;COUNTIF($R$5:$R184,$R184),NA()),NA())</f>
        <v>#N/A</v>
      </c>
      <c r="U184" s="5" t="e">
        <f>IFERROR(IF($S184&gt;0,$S184&amp;"-"&amp;COUNTIF($S$5:$S184,$S184),NA()),NA())</f>
        <v>#N/A</v>
      </c>
      <c r="V184" s="10">
        <v>43993</v>
      </c>
      <c r="W184" s="9">
        <v>24991572.879294623</v>
      </c>
      <c r="X184" s="9">
        <v>30322275.374448165</v>
      </c>
      <c r="Y184" s="8">
        <v>8000000</v>
      </c>
      <c r="BP184" s="12"/>
      <c r="BQ184" s="12"/>
      <c r="BR184" s="11"/>
      <c r="BS184" s="11"/>
      <c r="OB184" s="1"/>
    </row>
    <row r="185" spans="13:392" x14ac:dyDescent="0.2">
      <c r="M185" s="5" t="str" cm="1">
        <f t="array" ref="M185">LOOKUP(2,1/($G$19:$G$35&lt;=$V185)/($H$19:$H$35&gt;=$V185),$F$19:$F$35)</f>
        <v>2H20</v>
      </c>
      <c r="N185" s="5" t="str" cm="1">
        <f t="array" ref="N185">LOOKUP(2,1/($G$8:$G$16&lt;=$V185)/($H$8:$H$16&gt;=$V185),$F$8:$F$16)</f>
        <v>FY20</v>
      </c>
      <c r="O185" s="5" t="str">
        <f>IFERROR(N185&amp;"-"&amp;COUNTIF($N$5:N185,N185),NA())</f>
        <v>FY20-51</v>
      </c>
      <c r="P185" s="5">
        <f>COUNTIF(V$5:V185,"&gt;="&amp;MAX($V:$V)-183)</f>
        <v>0</v>
      </c>
      <c r="Q185" s="5">
        <f>COUNTIF(V$5:V185,"&gt;="&amp;MAX($V:$V)-365)</f>
        <v>0</v>
      </c>
      <c r="R185" s="5" cm="1">
        <f t="array" ref="R185">LOOKUP(2,1/($G$46:$G$50&lt;=$V185)/($H$46:$H$50&gt;=$V185),$F$46:$F$50)</f>
        <v>0</v>
      </c>
      <c r="S185" s="5" cm="1">
        <f t="array" ref="S185">LOOKUP(2,1/($G$53:$G$56&lt;=$V185)/($H$53:$H$56&gt;=$V185),$F$53:$F$56)</f>
        <v>0</v>
      </c>
      <c r="T185" s="5" t="e">
        <f>IFERROR(IF($R185&gt;0,$R185&amp;"-"&amp;COUNTIF($R$5:$R185,$R185),NA()),NA())</f>
        <v>#N/A</v>
      </c>
      <c r="U185" s="5" t="e">
        <f>IFERROR(IF($S185&gt;0,$S185&amp;"-"&amp;COUNTIF($S$5:$S185,$S185),NA()),NA())</f>
        <v>#N/A</v>
      </c>
      <c r="V185" s="10">
        <v>44000</v>
      </c>
      <c r="W185" s="9">
        <v>31885473.031316504</v>
      </c>
      <c r="X185" s="9">
        <v>38686644.428896315</v>
      </c>
      <c r="Y185" s="8">
        <v>15000000</v>
      </c>
      <c r="BP185" s="12"/>
      <c r="BQ185" s="12"/>
      <c r="BR185" s="11"/>
      <c r="BS185" s="11"/>
      <c r="OB185" s="1"/>
    </row>
    <row r="186" spans="13:392" x14ac:dyDescent="0.2">
      <c r="M186" s="5" t="str" cm="1">
        <f t="array" ref="M186">LOOKUP(2,1/($G$19:$G$35&lt;=$V186)/($H$19:$H$35&gt;=$V186),$F$19:$F$35)</f>
        <v>2H20</v>
      </c>
      <c r="N186" s="5" t="str" cm="1">
        <f t="array" ref="N186">LOOKUP(2,1/($G$8:$G$16&lt;=$V186)/($H$8:$H$16&gt;=$V186),$F$8:$F$16)</f>
        <v>FY20</v>
      </c>
      <c r="O186" s="5" t="str">
        <f>IFERROR(N186&amp;"-"&amp;COUNTIF($N$5:N186,N186),NA())</f>
        <v>FY20-52</v>
      </c>
      <c r="P186" s="5">
        <f>COUNTIF(V$5:V186,"&gt;="&amp;MAX($V:$V)-183)</f>
        <v>0</v>
      </c>
      <c r="Q186" s="5">
        <f>COUNTIF(V$5:V186,"&gt;="&amp;MAX($V:$V)-365)</f>
        <v>0</v>
      </c>
      <c r="R186" s="5" cm="1">
        <f t="array" ref="R186">LOOKUP(2,1/($G$46:$G$50&lt;=$V186)/($H$46:$H$50&gt;=$V186),$F$46:$F$50)</f>
        <v>0</v>
      </c>
      <c r="S186" s="5" cm="1">
        <f t="array" ref="S186">LOOKUP(2,1/($G$53:$G$56&lt;=$V186)/($H$53:$H$56&gt;=$V186),$F$53:$F$56)</f>
        <v>0</v>
      </c>
      <c r="T186" s="5" t="e">
        <f>IFERROR(IF($R186&gt;0,$R186&amp;"-"&amp;COUNTIF($R$5:$R186,$R186),NA()),NA())</f>
        <v>#N/A</v>
      </c>
      <c r="U186" s="5" t="e">
        <f>IFERROR(IF($S186&gt;0,$S186&amp;"-"&amp;COUNTIF($S$5:$S186,$S186),NA()),NA())</f>
        <v>#N/A</v>
      </c>
      <c r="V186" s="10">
        <v>44007</v>
      </c>
      <c r="W186" s="9">
        <v>48173921.070234112</v>
      </c>
      <c r="X186" s="9">
        <v>58449418.434515052</v>
      </c>
      <c r="Y186" s="8">
        <v>30000000</v>
      </c>
      <c r="BP186" s="12"/>
      <c r="BQ186" s="12"/>
      <c r="BR186" s="11"/>
      <c r="BS186" s="11"/>
      <c r="OB186" s="1"/>
    </row>
    <row r="187" spans="13:392" x14ac:dyDescent="0.2">
      <c r="M187" s="5" t="str" cm="1">
        <f t="array" ref="M187">LOOKUP(2,1/($G$19:$G$35&lt;=$V187)/($H$19:$H$35&gt;=$V187),$F$19:$F$35)</f>
        <v>1H21</v>
      </c>
      <c r="N187" s="5" t="str" cm="1">
        <f t="array" ref="N187">LOOKUP(2,1/($G$8:$G$16&lt;=$V187)/($H$8:$H$16&gt;=$V187),$F$8:$F$16)</f>
        <v>FY21</v>
      </c>
      <c r="O187" s="5" t="str">
        <f>IFERROR(N187&amp;"-"&amp;COUNTIF($N$5:N187,N187),NA())</f>
        <v>FY21-1</v>
      </c>
      <c r="P187" s="5">
        <f>COUNTIF(V$5:V187,"&gt;="&amp;MAX($V:$V)-183)</f>
        <v>0</v>
      </c>
      <c r="Q187" s="5">
        <f>COUNTIF(V$5:V187,"&gt;="&amp;MAX($V:$V)-365)</f>
        <v>0</v>
      </c>
      <c r="R187" s="5" cm="1">
        <f t="array" ref="R187">LOOKUP(2,1/($G$46:$G$50&lt;=$V187)/($H$46:$H$50&gt;=$V187),$F$46:$F$50)</f>
        <v>0</v>
      </c>
      <c r="S187" s="5" cm="1">
        <f t="array" ref="S187">LOOKUP(2,1/($G$53:$G$56&lt;=$V187)/($H$53:$H$56&gt;=$V187),$F$53:$F$56)</f>
        <v>0</v>
      </c>
      <c r="T187" s="5" t="e">
        <f>IFERROR(IF($R187&gt;0,$R187&amp;"-"&amp;COUNTIF($R$5:$R187,$R187),NA()),NA())</f>
        <v>#N/A</v>
      </c>
      <c r="U187" s="5" t="e">
        <f>IFERROR(IF($S187&gt;0,$S187&amp;"-"&amp;COUNTIF($S$5:$S187,$S187),NA()),NA())</f>
        <v>#N/A</v>
      </c>
      <c r="V187" s="10">
        <v>44014</v>
      </c>
      <c r="W187" s="9">
        <v>69318618.911523253</v>
      </c>
      <c r="X187" s="9">
        <v>84104280.325351164</v>
      </c>
      <c r="Y187" s="8">
        <v>50000000</v>
      </c>
      <c r="BP187" s="12"/>
      <c r="BQ187" s="12"/>
      <c r="BR187" s="11"/>
      <c r="BS187" s="11"/>
      <c r="OB187" s="1"/>
    </row>
    <row r="188" spans="13:392" x14ac:dyDescent="0.2">
      <c r="M188" s="5" t="str" cm="1">
        <f t="array" ref="M188">LOOKUP(2,1/($G$19:$G$35&lt;=$V188)/($H$19:$H$35&gt;=$V188),$F$19:$F$35)</f>
        <v>1H21</v>
      </c>
      <c r="N188" s="5" t="str" cm="1">
        <f t="array" ref="N188">LOOKUP(2,1/($G$8:$G$16&lt;=$V188)/($H$8:$H$16&gt;=$V188),$F$8:$F$16)</f>
        <v>FY21</v>
      </c>
      <c r="O188" s="5" t="str">
        <f>IFERROR(N188&amp;"-"&amp;COUNTIF($N$5:N188,N188),NA())</f>
        <v>FY21-2</v>
      </c>
      <c r="P188" s="5">
        <f>COUNTIF(V$5:V188,"&gt;="&amp;MAX($V:$V)-183)</f>
        <v>0</v>
      </c>
      <c r="Q188" s="5">
        <f>COUNTIF(V$5:V188,"&gt;="&amp;MAX($V:$V)-365)</f>
        <v>0</v>
      </c>
      <c r="R188" s="5" cm="1">
        <f t="array" ref="R188">LOOKUP(2,1/($G$46:$G$50&lt;=$V188)/($H$46:$H$50&gt;=$V188),$F$46:$F$50)</f>
        <v>0</v>
      </c>
      <c r="S188" s="5" cm="1">
        <f t="array" ref="S188">LOOKUP(2,1/($G$53:$G$56&lt;=$V188)/($H$53:$H$56&gt;=$V188),$F$53:$F$56)</f>
        <v>0</v>
      </c>
      <c r="T188" s="5" t="e">
        <f>IFERROR(IF($R188&gt;0,$R188&amp;"-"&amp;COUNTIF($R$5:$R188,$R188),NA()),NA())</f>
        <v>#N/A</v>
      </c>
      <c r="U188" s="5" t="e">
        <f>IFERROR(IF($S188&gt;0,$S188&amp;"-"&amp;COUNTIF($S$5:$S188,$S188),NA()),NA())</f>
        <v>#N/A</v>
      </c>
      <c r="V188" s="10">
        <v>44021</v>
      </c>
      <c r="W188" s="9">
        <v>107889410.27667983</v>
      </c>
      <c r="X188" s="9">
        <v>130902221.48869564</v>
      </c>
      <c r="Y188" s="8">
        <v>80000000</v>
      </c>
      <c r="BP188" s="12"/>
      <c r="BQ188" s="12"/>
      <c r="BR188" s="11"/>
      <c r="BS188" s="11"/>
      <c r="OB188" s="1"/>
    </row>
    <row r="189" spans="13:392" x14ac:dyDescent="0.2">
      <c r="M189" s="5" t="str" cm="1">
        <f t="array" ref="M189">LOOKUP(2,1/($G$19:$G$35&lt;=$V189)/($H$19:$H$35&gt;=$V189),$F$19:$F$35)</f>
        <v>1H21</v>
      </c>
      <c r="N189" s="5" t="str" cm="1">
        <f t="array" ref="N189">LOOKUP(2,1/($G$8:$G$16&lt;=$V189)/($H$8:$H$16&gt;=$V189),$F$8:$F$16)</f>
        <v>FY21</v>
      </c>
      <c r="O189" s="5" t="str">
        <f>IFERROR(N189&amp;"-"&amp;COUNTIF($N$5:N189,N189),NA())</f>
        <v>FY21-3</v>
      </c>
      <c r="P189" s="5">
        <f>COUNTIF(V$5:V189,"&gt;="&amp;MAX($V:$V)-183)</f>
        <v>0</v>
      </c>
      <c r="Q189" s="5">
        <f>COUNTIF(V$5:V189,"&gt;="&amp;MAX($V:$V)-365)</f>
        <v>0</v>
      </c>
      <c r="R189" s="5" cm="1">
        <f t="array" ref="R189">LOOKUP(2,1/($G$46:$G$50&lt;=$V189)/($H$46:$H$50&gt;=$V189),$F$46:$F$50)</f>
        <v>0</v>
      </c>
      <c r="S189" s="5" cm="1">
        <f t="array" ref="S189">LOOKUP(2,1/($G$53:$G$56&lt;=$V189)/($H$53:$H$56&gt;=$V189),$F$53:$F$56)</f>
        <v>0</v>
      </c>
      <c r="T189" s="5" t="e">
        <f>IFERROR(IF($R189&gt;0,$R189&amp;"-"&amp;COUNTIF($R$5:$R189,$R189),NA()),NA())</f>
        <v>#N/A</v>
      </c>
      <c r="U189" s="5" t="e">
        <f>IFERROR(IF($S189&gt;0,$S189&amp;"-"&amp;COUNTIF($S$5:$S189,$S189),NA()),NA())</f>
        <v>#N/A</v>
      </c>
      <c r="V189" s="10">
        <v>44028</v>
      </c>
      <c r="W189" s="9">
        <v>20009448.707813922</v>
      </c>
      <c r="X189" s="9">
        <v>24277464.117190633</v>
      </c>
      <c r="Y189" s="8">
        <v>3000000</v>
      </c>
      <c r="BP189" s="12"/>
      <c r="BQ189" s="12"/>
      <c r="BR189" s="11"/>
      <c r="BS189" s="11"/>
      <c r="OB189" s="1"/>
    </row>
    <row r="190" spans="13:392" x14ac:dyDescent="0.2">
      <c r="M190" s="5" t="str" cm="1">
        <f t="array" ref="M190">LOOKUP(2,1/($G$19:$G$35&lt;=$V190)/($H$19:$H$35&gt;=$V190),$F$19:$F$35)</f>
        <v>1H21</v>
      </c>
      <c r="N190" s="5" t="str" cm="1">
        <f t="array" ref="N190">LOOKUP(2,1/($G$8:$G$16&lt;=$V190)/($H$8:$H$16&gt;=$V190),$F$8:$F$16)</f>
        <v>FY21</v>
      </c>
      <c r="O190" s="5" t="str">
        <f>IFERROR(N190&amp;"-"&amp;COUNTIF($N$5:N190,N190),NA())</f>
        <v>FY21-4</v>
      </c>
      <c r="P190" s="5">
        <f>COUNTIF(V$5:V190,"&gt;="&amp;MAX($V:$V)-183)</f>
        <v>0</v>
      </c>
      <c r="Q190" s="5">
        <f>COUNTIF(V$5:V190,"&gt;="&amp;MAX($V:$V)-365)</f>
        <v>0</v>
      </c>
      <c r="R190" s="5" cm="1">
        <f t="array" ref="R190">LOOKUP(2,1/($G$46:$G$50&lt;=$V190)/($H$46:$H$50&gt;=$V190),$F$46:$F$50)</f>
        <v>0</v>
      </c>
      <c r="S190" s="5" cm="1">
        <f t="array" ref="S190">LOOKUP(2,1/($G$53:$G$56&lt;=$V190)/($H$53:$H$56&gt;=$V190),$F$53:$F$56)</f>
        <v>0</v>
      </c>
      <c r="T190" s="5" t="e">
        <f>IFERROR(IF($R190&gt;0,$R190&amp;"-"&amp;COUNTIF($R$5:$R190,$R190),NA()),NA())</f>
        <v>#N/A</v>
      </c>
      <c r="U190" s="5" t="e">
        <f>IFERROR(IF($S190&gt;0,$S190&amp;"-"&amp;COUNTIF($S$5:$S190,$S190),NA()),NA())</f>
        <v>#N/A</v>
      </c>
      <c r="V190" s="10">
        <v>44035</v>
      </c>
      <c r="W190" s="9">
        <v>25611906.840985101</v>
      </c>
      <c r="X190" s="9">
        <v>31074926.570167225</v>
      </c>
      <c r="Y190" s="8">
        <v>8000000</v>
      </c>
      <c r="BP190" s="12"/>
      <c r="BQ190" s="12"/>
      <c r="BR190" s="11"/>
      <c r="BS190" s="11"/>
      <c r="OB190" s="1"/>
    </row>
    <row r="191" spans="13:392" x14ac:dyDescent="0.2">
      <c r="M191" s="5" t="str" cm="1">
        <f t="array" ref="M191">LOOKUP(2,1/($G$19:$G$35&lt;=$V191)/($H$19:$H$35&gt;=$V191),$F$19:$F$35)</f>
        <v>1H21</v>
      </c>
      <c r="N191" s="5" t="str" cm="1">
        <f t="array" ref="N191">LOOKUP(2,1/($G$8:$G$16&lt;=$V191)/($H$8:$H$16&gt;=$V191),$F$8:$F$16)</f>
        <v>FY21</v>
      </c>
      <c r="O191" s="5" t="str">
        <f>IFERROR(N191&amp;"-"&amp;COUNTIF($N$5:N191,N191),NA())</f>
        <v>FY21-5</v>
      </c>
      <c r="P191" s="5">
        <f>COUNTIF(V$5:V191,"&gt;="&amp;MAX($V:$V)-183)</f>
        <v>0</v>
      </c>
      <c r="Q191" s="5">
        <f>COUNTIF(V$5:V191,"&gt;="&amp;MAX($V:$V)-365)</f>
        <v>0</v>
      </c>
      <c r="R191" s="5" cm="1">
        <f t="array" ref="R191">LOOKUP(2,1/($G$46:$G$50&lt;=$V191)/($H$46:$H$50&gt;=$V191),$F$46:$F$50)</f>
        <v>0</v>
      </c>
      <c r="S191" s="5" cm="1">
        <f t="array" ref="S191">LOOKUP(2,1/($G$53:$G$56&lt;=$V191)/($H$53:$H$56&gt;=$V191),$F$53:$F$56)</f>
        <v>0</v>
      </c>
      <c r="T191" s="5" t="e">
        <f>IFERROR(IF($R191&gt;0,$R191&amp;"-"&amp;COUNTIF($R$5:$R191,$R191),NA()),NA())</f>
        <v>#N/A</v>
      </c>
      <c r="U191" s="5" t="e">
        <f>IFERROR(IF($S191&gt;0,$S191&amp;"-"&amp;COUNTIF($S$5:$S191,$S191),NA()),NA())</f>
        <v>#N/A</v>
      </c>
      <c r="V191" s="10">
        <v>44042</v>
      </c>
      <c r="W191" s="9">
        <v>44346019.337184548</v>
      </c>
      <c r="X191" s="9">
        <v>53805025.261806011</v>
      </c>
      <c r="Y191" s="8">
        <v>20000000</v>
      </c>
      <c r="BP191" s="12"/>
      <c r="BQ191" s="12"/>
      <c r="BR191" s="11"/>
      <c r="BS191" s="11"/>
      <c r="OB191" s="1"/>
    </row>
    <row r="192" spans="13:392" x14ac:dyDescent="0.2">
      <c r="M192" s="5" t="str" cm="1">
        <f t="array" ref="M192">LOOKUP(2,1/($G$19:$G$35&lt;=$V192)/($H$19:$H$35&gt;=$V192),$F$19:$F$35)</f>
        <v>1H21</v>
      </c>
      <c r="N192" s="5" t="str" cm="1">
        <f t="array" ref="N192">LOOKUP(2,1/($G$8:$G$16&lt;=$V192)/($H$8:$H$16&gt;=$V192),$F$8:$F$16)</f>
        <v>FY21</v>
      </c>
      <c r="O192" s="5" t="str">
        <f>IFERROR(N192&amp;"-"&amp;COUNTIF($N$5:N192,N192),NA())</f>
        <v>FY21-6</v>
      </c>
      <c r="P192" s="5">
        <f>COUNTIF(V$5:V192,"&gt;="&amp;MAX($V:$V)-183)</f>
        <v>0</v>
      </c>
      <c r="Q192" s="5">
        <f>COUNTIF(V$5:V192,"&gt;="&amp;MAX($V:$V)-365)</f>
        <v>0</v>
      </c>
      <c r="R192" s="5" cm="1">
        <f t="array" ref="R192">LOOKUP(2,1/($G$46:$G$50&lt;=$V192)/($H$46:$H$50&gt;=$V192),$F$46:$F$50)</f>
        <v>0</v>
      </c>
      <c r="S192" s="5" cm="1">
        <f t="array" ref="S192">LOOKUP(2,1/($G$53:$G$56&lt;=$V192)/($H$53:$H$56&gt;=$V192),$F$53:$F$56)</f>
        <v>0</v>
      </c>
      <c r="T192" s="5" t="e">
        <f>IFERROR(IF($R192&gt;0,$R192&amp;"-"&amp;COUNTIF($R$5:$R192,$R192),NA()),NA())</f>
        <v>#N/A</v>
      </c>
      <c r="U192" s="5" t="e">
        <f>IFERROR(IF($S192&gt;0,$S192&amp;"-"&amp;COUNTIF($S$5:$S192,$S192),NA()),NA())</f>
        <v>#N/A</v>
      </c>
      <c r="V192" s="10">
        <v>44049</v>
      </c>
      <c r="W192" s="9">
        <v>19730848.28215263</v>
      </c>
      <c r="X192" s="9">
        <v>23939438.220735788</v>
      </c>
      <c r="Y192" s="8">
        <v>3000000</v>
      </c>
      <c r="BP192" s="12"/>
      <c r="BQ192" s="12"/>
      <c r="BR192" s="11"/>
      <c r="BS192" s="11"/>
      <c r="OB192" s="1"/>
    </row>
    <row r="193" spans="13:392" x14ac:dyDescent="0.2">
      <c r="M193" s="5" t="str" cm="1">
        <f t="array" ref="M193">LOOKUP(2,1/($G$19:$G$35&lt;=$V193)/($H$19:$H$35&gt;=$V193),$F$19:$F$35)</f>
        <v>1H21</v>
      </c>
      <c r="N193" s="5" t="str" cm="1">
        <f t="array" ref="N193">LOOKUP(2,1/($G$8:$G$16&lt;=$V193)/($H$8:$H$16&gt;=$V193),$F$8:$F$16)</f>
        <v>FY21</v>
      </c>
      <c r="O193" s="5" t="str">
        <f>IFERROR(N193&amp;"-"&amp;COUNTIF($N$5:N193,N193),NA())</f>
        <v>FY21-7</v>
      </c>
      <c r="P193" s="5">
        <f>COUNTIF(V$5:V193,"&gt;="&amp;MAX($V:$V)-183)</f>
        <v>0</v>
      </c>
      <c r="Q193" s="5">
        <f>COUNTIF(V$5:V193,"&gt;="&amp;MAX($V:$V)-365)</f>
        <v>0</v>
      </c>
      <c r="R193" s="5" cm="1">
        <f t="array" ref="R193">LOOKUP(2,1/($G$46:$G$50&lt;=$V193)/($H$46:$H$50&gt;=$V193),$F$46:$F$50)</f>
        <v>0</v>
      </c>
      <c r="S193" s="5" cm="1">
        <f t="array" ref="S193">LOOKUP(2,1/($G$53:$G$56&lt;=$V193)/($H$53:$H$56&gt;=$V193),$F$53:$F$56)</f>
        <v>0</v>
      </c>
      <c r="T193" s="5" t="e">
        <f>IFERROR(IF($R193&gt;0,$R193&amp;"-"&amp;COUNTIF($R$5:$R193,$R193),NA()),NA())</f>
        <v>#N/A</v>
      </c>
      <c r="U193" s="5" t="e">
        <f>IFERROR(IF($S193&gt;0,$S193&amp;"-"&amp;COUNTIF($S$5:$S193,$S193),NA()),NA())</f>
        <v>#N/A</v>
      </c>
      <c r="V193" s="10">
        <v>44056</v>
      </c>
      <c r="W193" s="9">
        <v>26811783.764062021</v>
      </c>
      <c r="X193" s="9">
        <v>32530737.240936451</v>
      </c>
      <c r="Y193" s="8">
        <v>8000000</v>
      </c>
      <c r="BP193" s="12"/>
      <c r="BQ193" s="12"/>
      <c r="BR193" s="11"/>
      <c r="BS193" s="11"/>
      <c r="OB193" s="1"/>
    </row>
    <row r="194" spans="13:392" x14ac:dyDescent="0.2">
      <c r="M194" s="5" t="str" cm="1">
        <f t="array" ref="M194">LOOKUP(2,1/($G$19:$G$35&lt;=$V194)/($H$19:$H$35&gt;=$V194),$F$19:$F$35)</f>
        <v>1H21</v>
      </c>
      <c r="N194" s="5" t="str" cm="1">
        <f t="array" ref="N194">LOOKUP(2,1/($G$8:$G$16&lt;=$V194)/($H$8:$H$16&gt;=$V194),$F$8:$F$16)</f>
        <v>FY21</v>
      </c>
      <c r="O194" s="5" t="str">
        <f>IFERROR(N194&amp;"-"&amp;COUNTIF($N$5:N194,N194),NA())</f>
        <v>FY21-8</v>
      </c>
      <c r="P194" s="5">
        <f>COUNTIF(V$5:V194,"&gt;="&amp;MAX($V:$V)-183)</f>
        <v>0</v>
      </c>
      <c r="Q194" s="5">
        <f>COUNTIF(V$5:V194,"&gt;="&amp;MAX($V:$V)-365)</f>
        <v>0</v>
      </c>
      <c r="R194" s="5" cm="1">
        <f t="array" ref="R194">LOOKUP(2,1/($G$46:$G$50&lt;=$V194)/($H$46:$H$50&gt;=$V194),$F$46:$F$50)</f>
        <v>0</v>
      </c>
      <c r="S194" s="5" cm="1">
        <f t="array" ref="S194">LOOKUP(2,1/($G$53:$G$56&lt;=$V194)/($H$53:$H$56&gt;=$V194),$F$53:$F$56)</f>
        <v>0</v>
      </c>
      <c r="T194" s="5" t="e">
        <f>IFERROR(IF($R194&gt;0,$R194&amp;"-"&amp;COUNTIF($R$5:$R194,$R194),NA()),NA())</f>
        <v>#N/A</v>
      </c>
      <c r="U194" s="5" t="e">
        <f>IFERROR(IF($S194&gt;0,$S194&amp;"-"&amp;COUNTIF($S$5:$S194,$S194),NA()),NA())</f>
        <v>#N/A</v>
      </c>
      <c r="V194" s="10">
        <v>44063</v>
      </c>
      <c r="W194" s="9">
        <v>18946345.758589238</v>
      </c>
      <c r="X194" s="9">
        <v>22987601.308896322</v>
      </c>
      <c r="Y194" s="8">
        <v>3000000</v>
      </c>
      <c r="BP194" s="12"/>
      <c r="BQ194" s="12"/>
      <c r="BR194" s="11"/>
      <c r="BS194" s="11"/>
      <c r="OB194" s="1"/>
    </row>
    <row r="195" spans="13:392" x14ac:dyDescent="0.2">
      <c r="M195" s="5" t="str" cm="1">
        <f t="array" ref="M195">LOOKUP(2,1/($G$19:$G$35&lt;=$V195)/($H$19:$H$35&gt;=$V195),$F$19:$F$35)</f>
        <v>1H21</v>
      </c>
      <c r="N195" s="5" t="str" cm="1">
        <f t="array" ref="N195">LOOKUP(2,1/($G$8:$G$16&lt;=$V195)/($H$8:$H$16&gt;=$V195),$F$8:$F$16)</f>
        <v>FY21</v>
      </c>
      <c r="O195" s="5" t="str">
        <f>IFERROR(N195&amp;"-"&amp;COUNTIF($N$5:N195,N195),NA())</f>
        <v>FY21-9</v>
      </c>
      <c r="P195" s="5">
        <f>COUNTIF(V$5:V195,"&gt;="&amp;MAX($V:$V)-183)</f>
        <v>0</v>
      </c>
      <c r="Q195" s="5">
        <f>COUNTIF(V$5:V195,"&gt;="&amp;MAX($V:$V)-365)</f>
        <v>0</v>
      </c>
      <c r="R195" s="5" cm="1">
        <f t="array" ref="R195">LOOKUP(2,1/($G$46:$G$50&lt;=$V195)/($H$46:$H$50&gt;=$V195),$F$46:$F$50)</f>
        <v>0</v>
      </c>
      <c r="S195" s="5" cm="1">
        <f t="array" ref="S195">LOOKUP(2,1/($G$53:$G$56&lt;=$V195)/($H$53:$H$56&gt;=$V195),$F$53:$F$56)</f>
        <v>0</v>
      </c>
      <c r="T195" s="5" t="e">
        <f>IFERROR(IF($R195&gt;0,$R195&amp;"-"&amp;COUNTIF($R$5:$R195,$R195),NA()),NA())</f>
        <v>#N/A</v>
      </c>
      <c r="U195" s="5" t="e">
        <f>IFERROR(IF($S195&gt;0,$S195&amp;"-"&amp;COUNTIF($S$5:$S195,$S195),NA()),NA())</f>
        <v>#N/A</v>
      </c>
      <c r="V195" s="10">
        <v>44070</v>
      </c>
      <c r="W195" s="9">
        <v>26767640.01216175</v>
      </c>
      <c r="X195" s="9">
        <v>32477177.626755852</v>
      </c>
      <c r="Y195" s="8">
        <v>8000000</v>
      </c>
      <c r="BP195" s="12"/>
      <c r="BQ195" s="12"/>
      <c r="BR195" s="11"/>
      <c r="BS195" s="11"/>
      <c r="OB195" s="1"/>
    </row>
    <row r="196" spans="13:392" x14ac:dyDescent="0.2">
      <c r="M196" s="5" t="str" cm="1">
        <f t="array" ref="M196">LOOKUP(2,1/($G$19:$G$35&lt;=$V196)/($H$19:$H$35&gt;=$V196),$F$19:$F$35)</f>
        <v>1H21</v>
      </c>
      <c r="N196" s="5" t="str" cm="1">
        <f t="array" ref="N196">LOOKUP(2,1/($G$8:$G$16&lt;=$V196)/($H$8:$H$16&gt;=$V196),$F$8:$F$16)</f>
        <v>FY21</v>
      </c>
      <c r="O196" s="5" t="str">
        <f>IFERROR(N196&amp;"-"&amp;COUNTIF($N$5:N196,N196),NA())</f>
        <v>FY21-10</v>
      </c>
      <c r="P196" s="5">
        <f>COUNTIF(V$5:V196,"&gt;="&amp;MAX($V:$V)-183)</f>
        <v>0</v>
      </c>
      <c r="Q196" s="5">
        <f>COUNTIF(V$5:V196,"&gt;="&amp;MAX($V:$V)-365)</f>
        <v>0</v>
      </c>
      <c r="R196" s="5" cm="1">
        <f t="array" ref="R196">LOOKUP(2,1/($G$46:$G$50&lt;=$V196)/($H$46:$H$50&gt;=$V196),$F$46:$F$50)</f>
        <v>0</v>
      </c>
      <c r="S196" s="5" cm="1">
        <f t="array" ref="S196">LOOKUP(2,1/($G$53:$G$56&lt;=$V196)/($H$53:$H$56&gt;=$V196),$F$53:$F$56)</f>
        <v>0</v>
      </c>
      <c r="T196" s="5" t="e">
        <f>IFERROR(IF($R196&gt;0,$R196&amp;"-"&amp;COUNTIF($R$5:$R196,$R196),NA()),NA())</f>
        <v>#N/A</v>
      </c>
      <c r="U196" s="5" t="e">
        <f>IFERROR(IF($S196&gt;0,$S196&amp;"-"&amp;COUNTIF($S$5:$S196,$S196),NA()),NA())</f>
        <v>#N/A</v>
      </c>
      <c r="V196" s="10">
        <v>44077</v>
      </c>
      <c r="W196" s="9">
        <v>40517600.243235022</v>
      </c>
      <c r="X196" s="9">
        <v>49160004.375117056</v>
      </c>
      <c r="Y196" s="8">
        <v>20000000</v>
      </c>
      <c r="OB196" s="1"/>
    </row>
    <row r="197" spans="13:392" x14ac:dyDescent="0.2">
      <c r="M197" s="5" t="str" cm="1">
        <f t="array" ref="M197">LOOKUP(2,1/($G$19:$G$35&lt;=$V197)/($H$19:$H$35&gt;=$V197),$F$19:$F$35)</f>
        <v>1H21</v>
      </c>
      <c r="N197" s="5" t="str" cm="1">
        <f t="array" ref="N197">LOOKUP(2,1/($G$8:$G$16&lt;=$V197)/($H$8:$H$16&gt;=$V197),$F$8:$F$16)</f>
        <v>FY21</v>
      </c>
      <c r="O197" s="5" t="str">
        <f>IFERROR(N197&amp;"-"&amp;COUNTIF($N$5:N197,N197),NA())</f>
        <v>FY21-11</v>
      </c>
      <c r="P197" s="5">
        <f>COUNTIF(V$5:V197,"&gt;="&amp;MAX($V:$V)-183)</f>
        <v>0</v>
      </c>
      <c r="Q197" s="5">
        <f>COUNTIF(V$5:V197,"&gt;="&amp;MAX($V:$V)-365)</f>
        <v>0</v>
      </c>
      <c r="R197" s="5" cm="1">
        <f t="array" ref="R197">LOOKUP(2,1/($G$46:$G$50&lt;=$V197)/($H$46:$H$50&gt;=$V197),$F$46:$F$50)</f>
        <v>0</v>
      </c>
      <c r="S197" s="5" cm="1">
        <f t="array" ref="S197">LOOKUP(2,1/($G$53:$G$56&lt;=$V197)/($H$53:$H$56&gt;=$V197),$F$53:$F$56)</f>
        <v>0</v>
      </c>
      <c r="T197" s="5" t="e">
        <f>IFERROR(IF($R197&gt;0,$R197&amp;"-"&amp;COUNTIF($R$5:$R197,$R197),NA()),NA())</f>
        <v>#N/A</v>
      </c>
      <c r="U197" s="5" t="e">
        <f>IFERROR(IF($S197&gt;0,$S197&amp;"-"&amp;COUNTIF($S$5:$S197,$S197),NA()),NA())</f>
        <v>#N/A</v>
      </c>
      <c r="V197" s="10">
        <v>44084</v>
      </c>
      <c r="W197" s="9">
        <v>59511774.76436606</v>
      </c>
      <c r="X197" s="9">
        <v>72205636.32160534</v>
      </c>
      <c r="Y197" s="8">
        <v>40000000</v>
      </c>
      <c r="OB197" s="1"/>
    </row>
    <row r="198" spans="13:392" x14ac:dyDescent="0.2">
      <c r="M198" s="5" t="str" cm="1">
        <f t="array" ref="M198">LOOKUP(2,1/($G$19:$G$35&lt;=$V198)/($H$19:$H$35&gt;=$V198),$F$19:$F$35)</f>
        <v>1H21</v>
      </c>
      <c r="N198" s="5" t="str" cm="1">
        <f t="array" ref="N198">LOOKUP(2,1/($G$8:$G$16&lt;=$V198)/($H$8:$H$16&gt;=$V198),$F$8:$F$16)</f>
        <v>FY21</v>
      </c>
      <c r="O198" s="5" t="str">
        <f>IFERROR(N198&amp;"-"&amp;COUNTIF($N$5:N198,N198),NA())</f>
        <v>FY21-12</v>
      </c>
      <c r="P198" s="5">
        <f>COUNTIF(V$5:V198,"&gt;="&amp;MAX($V:$V)-183)</f>
        <v>0</v>
      </c>
      <c r="Q198" s="5">
        <f>COUNTIF(V$5:V198,"&gt;="&amp;MAX($V:$V)-365)</f>
        <v>0</v>
      </c>
      <c r="R198" s="5" cm="1">
        <f t="array" ref="R198">LOOKUP(2,1/($G$46:$G$50&lt;=$V198)/($H$46:$H$50&gt;=$V198),$F$46:$F$50)</f>
        <v>0</v>
      </c>
      <c r="S198" s="5" cm="1">
        <f t="array" ref="S198">LOOKUP(2,1/($G$53:$G$56&lt;=$V198)/($H$53:$H$56&gt;=$V198),$F$53:$F$56)</f>
        <v>0</v>
      </c>
      <c r="T198" s="5" t="e">
        <f>IFERROR(IF($R198&gt;0,$R198&amp;"-"&amp;COUNTIF($R$5:$R198,$R198),NA()),NA())</f>
        <v>#N/A</v>
      </c>
      <c r="U198" s="5" t="e">
        <f>IFERROR(IF($S198&gt;0,$S198&amp;"-"&amp;COUNTIF($S$5:$S198,$S198),NA()),NA())</f>
        <v>#N/A</v>
      </c>
      <c r="V198" s="10">
        <v>44091</v>
      </c>
      <c r="W198" s="9">
        <v>82205458.680449992</v>
      </c>
      <c r="X198" s="9">
        <v>99739883.016989976</v>
      </c>
      <c r="Y198" s="8">
        <v>60000000</v>
      </c>
      <c r="OB198" s="1"/>
    </row>
    <row r="199" spans="13:392" x14ac:dyDescent="0.2">
      <c r="M199" s="5" t="str" cm="1">
        <f t="array" ref="M199">LOOKUP(2,1/($G$19:$G$35&lt;=$V199)/($H$19:$H$35&gt;=$V199),$F$19:$F$35)</f>
        <v>1H21</v>
      </c>
      <c r="N199" s="5" t="str" cm="1">
        <f t="array" ref="N199">LOOKUP(2,1/($G$8:$G$16&lt;=$V199)/($H$8:$H$16&gt;=$V199),$F$8:$F$16)</f>
        <v>FY21</v>
      </c>
      <c r="O199" s="5" t="str">
        <f>IFERROR(N199&amp;"-"&amp;COUNTIF($N$5:N199,N199),NA())</f>
        <v>FY21-13</v>
      </c>
      <c r="P199" s="5">
        <f>COUNTIF(V$5:V199,"&gt;="&amp;MAX($V:$V)-183)</f>
        <v>0</v>
      </c>
      <c r="Q199" s="5">
        <f>COUNTIF(V$5:V199,"&gt;="&amp;MAX($V:$V)-365)</f>
        <v>0</v>
      </c>
      <c r="R199" s="5" cm="1">
        <f t="array" ref="R199">LOOKUP(2,1/($G$46:$G$50&lt;=$V199)/($H$46:$H$50&gt;=$V199),$F$46:$F$50)</f>
        <v>0</v>
      </c>
      <c r="S199" s="5" cm="1">
        <f t="array" ref="S199">LOOKUP(2,1/($G$53:$G$56&lt;=$V199)/($H$53:$H$56&gt;=$V199),$F$53:$F$56)</f>
        <v>0</v>
      </c>
      <c r="T199" s="5" t="e">
        <f>IFERROR(IF($R199&gt;0,$R199&amp;"-"&amp;COUNTIF($R$5:$R199,$R199),NA()),NA())</f>
        <v>#N/A</v>
      </c>
      <c r="U199" s="5" t="e">
        <f>IFERROR(IF($S199&gt;0,$S199&amp;"-"&amp;COUNTIF($S$5:$S199,$S199),NA()),NA())</f>
        <v>#N/A</v>
      </c>
      <c r="V199" s="10">
        <v>44098</v>
      </c>
      <c r="W199" s="9">
        <v>19672046.457889937</v>
      </c>
      <c r="X199" s="9">
        <v>23868093.967357863</v>
      </c>
      <c r="Y199" s="8">
        <v>3000000</v>
      </c>
      <c r="OB199" s="1"/>
    </row>
    <row r="200" spans="13:392" x14ac:dyDescent="0.2">
      <c r="M200" s="5" t="str" cm="1">
        <f t="array" ref="M200">LOOKUP(2,1/($G$19:$G$35&lt;=$V200)/($H$19:$H$35&gt;=$V200),$F$19:$F$35)</f>
        <v>1H21</v>
      </c>
      <c r="N200" s="5" t="str" cm="1">
        <f t="array" ref="N200">LOOKUP(2,1/($G$8:$G$16&lt;=$V200)/($H$8:$H$16&gt;=$V200),$F$8:$F$16)</f>
        <v>FY21</v>
      </c>
      <c r="O200" s="5" t="str">
        <f>IFERROR(N200&amp;"-"&amp;COUNTIF($N$5:N200,N200),NA())</f>
        <v>FY21-14</v>
      </c>
      <c r="P200" s="5">
        <f>COUNTIF(V$5:V200,"&gt;="&amp;MAX($V:$V)-183)</f>
        <v>0</v>
      </c>
      <c r="Q200" s="5">
        <f>COUNTIF(V$5:V200,"&gt;="&amp;MAX($V:$V)-365)</f>
        <v>0</v>
      </c>
      <c r="R200" s="5" cm="1">
        <f t="array" ref="R200">LOOKUP(2,1/($G$46:$G$50&lt;=$V200)/($H$46:$H$50&gt;=$V200),$F$46:$F$50)</f>
        <v>0</v>
      </c>
      <c r="S200" s="5" cm="1">
        <f t="array" ref="S200">LOOKUP(2,1/($G$53:$G$56&lt;=$V200)/($H$53:$H$56&gt;=$V200),$F$53:$F$56)</f>
        <v>0</v>
      </c>
      <c r="T200" s="5" t="e">
        <f>IFERROR(IF($R200&gt;0,$R200&amp;"-"&amp;COUNTIF($R$5:$R200,$R200),NA()),NA())</f>
        <v>#N/A</v>
      </c>
      <c r="U200" s="5" t="e">
        <f>IFERROR(IF($S200&gt;0,$S200&amp;"-"&amp;COUNTIF($S$5:$S200,$S200),NA()),NA())</f>
        <v>#N/A</v>
      </c>
      <c r="V200" s="10">
        <v>44105</v>
      </c>
      <c r="W200" s="9">
        <v>27468281.909394953</v>
      </c>
      <c r="X200" s="9">
        <v>33327266.4406689</v>
      </c>
      <c r="Y200" s="8">
        <v>8000000</v>
      </c>
      <c r="OB200" s="1"/>
    </row>
    <row r="201" spans="13:392" x14ac:dyDescent="0.2">
      <c r="M201" s="5" t="str" cm="1">
        <f t="array" ref="M201">LOOKUP(2,1/($G$19:$G$35&lt;=$V201)/($H$19:$H$35&gt;=$V201),$F$19:$F$35)</f>
        <v>1H21</v>
      </c>
      <c r="N201" s="5" t="str" cm="1">
        <f t="array" ref="N201">LOOKUP(2,1/($G$8:$G$16&lt;=$V201)/($H$8:$H$16&gt;=$V201),$F$8:$F$16)</f>
        <v>FY21</v>
      </c>
      <c r="O201" s="5" t="str">
        <f>IFERROR(N201&amp;"-"&amp;COUNTIF($N$5:N201,N201),NA())</f>
        <v>FY21-15</v>
      </c>
      <c r="P201" s="5">
        <f>COUNTIF(V$5:V201,"&gt;="&amp;MAX($V:$V)-183)</f>
        <v>0</v>
      </c>
      <c r="Q201" s="5">
        <f>COUNTIF(V$5:V201,"&gt;="&amp;MAX($V:$V)-365)</f>
        <v>0</v>
      </c>
      <c r="R201" s="5" t="str" cm="1">
        <f t="array" ref="R201">LOOKUP(2,1/($G$46:$G$50&lt;=$V201)/($H$46:$H$50&gt;=$V201),$F$46:$F$50)</f>
        <v>N1</v>
      </c>
      <c r="S201" s="5" cm="1">
        <f t="array" ref="S201">LOOKUP(2,1/($G$53:$G$56&lt;=$V201)/($H$53:$H$56&gt;=$V201),$F$53:$F$56)</f>
        <v>0</v>
      </c>
      <c r="T201" s="5" t="str">
        <f>IFERROR(IF($R201&gt;0,$R201&amp;"-"&amp;COUNTIF($R$5:$R201,$R201),NA()),NA())</f>
        <v>N1-1</v>
      </c>
      <c r="U201" s="5" t="e">
        <f>IFERROR(IF($S201&gt;0,$S201&amp;"-"&amp;COUNTIF($S$5:$S201,$S201),NA()),NA())</f>
        <v>#N/A</v>
      </c>
      <c r="V201" s="10">
        <v>44112</v>
      </c>
      <c r="W201" s="9">
        <v>42908867.619337186</v>
      </c>
      <c r="X201" s="9">
        <v>52061329.082541808</v>
      </c>
      <c r="Y201" s="8">
        <v>20000000</v>
      </c>
      <c r="OB201" s="1"/>
    </row>
    <row r="202" spans="13:392" x14ac:dyDescent="0.2">
      <c r="M202" s="5" t="str" cm="1">
        <f t="array" ref="M202">LOOKUP(2,1/($G$19:$G$35&lt;=$V202)/($H$19:$H$35&gt;=$V202),$F$19:$F$35)</f>
        <v>1H21</v>
      </c>
      <c r="N202" s="5" t="str" cm="1">
        <f t="array" ref="N202">LOOKUP(2,1/($G$8:$G$16&lt;=$V202)/($H$8:$H$16&gt;=$V202),$F$8:$F$16)</f>
        <v>FY21</v>
      </c>
      <c r="O202" s="5" t="str">
        <f>IFERROR(N202&amp;"-"&amp;COUNTIF($N$5:N202,N202),NA())</f>
        <v>FY21-16</v>
      </c>
      <c r="P202" s="5">
        <f>COUNTIF(V$5:V202,"&gt;="&amp;MAX($V:$V)-183)</f>
        <v>0</v>
      </c>
      <c r="Q202" s="5">
        <f>COUNTIF(V$5:V202,"&gt;="&amp;MAX($V:$V)-365)</f>
        <v>0</v>
      </c>
      <c r="R202" s="5" t="str" cm="1">
        <f t="array" ref="R202">LOOKUP(2,1/($G$46:$G$50&lt;=$V202)/($H$46:$H$50&gt;=$V202),$F$46:$F$50)</f>
        <v>N1</v>
      </c>
      <c r="S202" s="5" cm="1">
        <f t="array" ref="S202">LOOKUP(2,1/($G$53:$G$56&lt;=$V202)/($H$53:$H$56&gt;=$V202),$F$53:$F$56)</f>
        <v>0</v>
      </c>
      <c r="T202" s="5" t="str">
        <f>IFERROR(IF($R202&gt;0,$R202&amp;"-"&amp;COUNTIF($R$5:$R202,$R202),NA()),NA())</f>
        <v>N1-2</v>
      </c>
      <c r="U202" s="5" t="e">
        <f>IFERROR(IF($S202&gt;0,$S202&amp;"-"&amp;COUNTIF($S$5:$S202,$S202),NA()),NA())</f>
        <v>#N/A</v>
      </c>
      <c r="V202" s="10">
        <v>44119</v>
      </c>
      <c r="W202" s="9">
        <v>61499423.776223779</v>
      </c>
      <c r="X202" s="9">
        <v>74617250.867692307</v>
      </c>
      <c r="Y202" s="8">
        <v>40000000</v>
      </c>
      <c r="OB202" s="1"/>
    </row>
    <row r="203" spans="13:392" x14ac:dyDescent="0.2">
      <c r="M203" s="5" t="str" cm="1">
        <f t="array" ref="M203">LOOKUP(2,1/($G$19:$G$35&lt;=$V203)/($H$19:$H$35&gt;=$V203),$F$19:$F$35)</f>
        <v>1H21</v>
      </c>
      <c r="N203" s="5" t="str" cm="1">
        <f t="array" ref="N203">LOOKUP(2,1/($G$8:$G$16&lt;=$V203)/($H$8:$H$16&gt;=$V203),$F$8:$F$16)</f>
        <v>FY21</v>
      </c>
      <c r="O203" s="5" t="str">
        <f>IFERROR(N203&amp;"-"&amp;COUNTIF($N$5:N203,N203),NA())</f>
        <v>FY21-17</v>
      </c>
      <c r="P203" s="5">
        <f>COUNTIF(V$5:V203,"&gt;="&amp;MAX($V:$V)-183)</f>
        <v>0</v>
      </c>
      <c r="Q203" s="5">
        <f>COUNTIF(V$5:V203,"&gt;="&amp;MAX($V:$V)-365)</f>
        <v>0</v>
      </c>
      <c r="R203" s="5" t="str" cm="1">
        <f t="array" ref="R203">LOOKUP(2,1/($G$46:$G$50&lt;=$V203)/($H$46:$H$50&gt;=$V203),$F$46:$F$50)</f>
        <v>N1</v>
      </c>
      <c r="S203" s="5" cm="1">
        <f t="array" ref="S203">LOOKUP(2,1/($G$53:$G$56&lt;=$V203)/($H$53:$H$56&gt;=$V203),$F$53:$F$56)</f>
        <v>0</v>
      </c>
      <c r="T203" s="5" t="str">
        <f>IFERROR(IF($R203&gt;0,$R203&amp;"-"&amp;COUNTIF($R$5:$R203,$R203),NA()),NA())</f>
        <v>N1-3</v>
      </c>
      <c r="U203" s="5" t="e">
        <f>IFERROR(IF($S203&gt;0,$S203&amp;"-"&amp;COUNTIF($S$5:$S203,$S203),NA()),NA())</f>
        <v>#N/A</v>
      </c>
      <c r="V203" s="10">
        <v>44126</v>
      </c>
      <c r="W203" s="9">
        <v>19054887.686226815</v>
      </c>
      <c r="X203" s="9">
        <v>23119295.229698997</v>
      </c>
      <c r="Y203" s="8">
        <v>3000000</v>
      </c>
      <c r="OB203" s="1"/>
    </row>
    <row r="204" spans="13:392" x14ac:dyDescent="0.2">
      <c r="M204" s="5" t="str" cm="1">
        <f t="array" ref="M204">LOOKUP(2,1/($G$19:$G$35&lt;=$V204)/($H$19:$H$35&gt;=$V204),$F$19:$F$35)</f>
        <v>1H21</v>
      </c>
      <c r="N204" s="5" t="str" cm="1">
        <f t="array" ref="N204">LOOKUP(2,1/($G$8:$G$16&lt;=$V204)/($H$8:$H$16&gt;=$V204),$F$8:$F$16)</f>
        <v>FY21</v>
      </c>
      <c r="O204" s="5" t="str">
        <f>IFERROR(N204&amp;"-"&amp;COUNTIF($N$5:N204,N204),NA())</f>
        <v>FY21-18</v>
      </c>
      <c r="P204" s="5">
        <f>COUNTIF(V$5:V204,"&gt;="&amp;MAX($V:$V)-183)</f>
        <v>0</v>
      </c>
      <c r="Q204" s="5">
        <f>COUNTIF(V$5:V204,"&gt;="&amp;MAX($V:$V)-365)</f>
        <v>0</v>
      </c>
      <c r="R204" s="5" t="str" cm="1">
        <f t="array" ref="R204">LOOKUP(2,1/($G$46:$G$50&lt;=$V204)/($H$46:$H$50&gt;=$V204),$F$46:$F$50)</f>
        <v>N1</v>
      </c>
      <c r="S204" s="5" cm="1">
        <f t="array" ref="S204">LOOKUP(2,1/($G$53:$G$56&lt;=$V204)/($H$53:$H$56&gt;=$V204),$F$53:$F$56)</f>
        <v>0</v>
      </c>
      <c r="T204" s="5" t="str">
        <f>IFERROR(IF($R204&gt;0,$R204&amp;"-"&amp;COUNTIF($R$5:$R204,$R204),NA()),NA())</f>
        <v>N1-4</v>
      </c>
      <c r="U204" s="5" t="e">
        <f>IFERROR(IF($S204&gt;0,$S204&amp;"-"&amp;COUNTIF($S$5:$S204,$S204),NA()),NA())</f>
        <v>#N/A</v>
      </c>
      <c r="V204" s="10">
        <v>44133</v>
      </c>
      <c r="W204" s="9">
        <v>24929902.341137119</v>
      </c>
      <c r="X204" s="9">
        <v>30247450.510501668</v>
      </c>
      <c r="Y204" s="8">
        <v>8000000</v>
      </c>
      <c r="OB204" s="1"/>
    </row>
    <row r="205" spans="13:392" x14ac:dyDescent="0.2">
      <c r="M205" s="5" t="str" cm="1">
        <f t="array" ref="M205">LOOKUP(2,1/($G$19:$G$35&lt;=$V205)/($H$19:$H$35&gt;=$V205),$F$19:$F$35)</f>
        <v>1H21</v>
      </c>
      <c r="N205" s="5" t="str" cm="1">
        <f t="array" ref="N205">LOOKUP(2,1/($G$8:$G$16&lt;=$V205)/($H$8:$H$16&gt;=$V205),$F$8:$F$16)</f>
        <v>FY21</v>
      </c>
      <c r="O205" s="5" t="str">
        <f>IFERROR(N205&amp;"-"&amp;COUNTIF($N$5:N205,N205),NA())</f>
        <v>FY21-19</v>
      </c>
      <c r="P205" s="5">
        <f>COUNTIF(V$5:V205,"&gt;="&amp;MAX($V:$V)-183)</f>
        <v>0</v>
      </c>
      <c r="Q205" s="5">
        <f>COUNTIF(V$5:V205,"&gt;="&amp;MAX($V:$V)-365)</f>
        <v>0</v>
      </c>
      <c r="R205" s="5" t="str" cm="1">
        <f t="array" ref="R205">LOOKUP(2,1/($G$46:$G$50&lt;=$V205)/($H$46:$H$50&gt;=$V205),$F$46:$F$50)</f>
        <v>N1</v>
      </c>
      <c r="S205" s="5" cm="1">
        <f t="array" ref="S205">LOOKUP(2,1/($G$53:$G$56&lt;=$V205)/($H$53:$H$56&gt;=$V205),$F$53:$F$56)</f>
        <v>0</v>
      </c>
      <c r="T205" s="5" t="str">
        <f>IFERROR(IF($R205&gt;0,$R205&amp;"-"&amp;COUNTIF($R$5:$R205,$R205),NA()),NA())</f>
        <v>N1-5</v>
      </c>
      <c r="U205" s="5" t="e">
        <f>IFERROR(IF($S205&gt;0,$S205&amp;"-"&amp;COUNTIF($S$5:$S205,$S205),NA()),NA())</f>
        <v>#N/A</v>
      </c>
      <c r="V205" s="10">
        <v>44140</v>
      </c>
      <c r="W205" s="9">
        <v>39323627.363940403</v>
      </c>
      <c r="X205" s="9">
        <v>47711357.080668889</v>
      </c>
      <c r="Y205" s="8">
        <v>20000000</v>
      </c>
      <c r="OB205" s="1"/>
    </row>
    <row r="206" spans="13:392" x14ac:dyDescent="0.2">
      <c r="M206" s="5" t="str" cm="1">
        <f t="array" ref="M206">LOOKUP(2,1/($G$19:$G$35&lt;=$V206)/($H$19:$H$35&gt;=$V206),$F$19:$F$35)</f>
        <v>1H21</v>
      </c>
      <c r="N206" s="5" t="str" cm="1">
        <f t="array" ref="N206">LOOKUP(2,1/($G$8:$G$16&lt;=$V206)/($H$8:$H$16&gt;=$V206),$F$8:$F$16)</f>
        <v>FY21</v>
      </c>
      <c r="O206" s="5" t="str">
        <f>IFERROR(N206&amp;"-"&amp;COUNTIF($N$5:N206,N206),NA())</f>
        <v>FY21-20</v>
      </c>
      <c r="P206" s="5">
        <f>COUNTIF(V$5:V206,"&gt;="&amp;MAX($V:$V)-183)</f>
        <v>0</v>
      </c>
      <c r="Q206" s="5">
        <f>COUNTIF(V$5:V206,"&gt;="&amp;MAX($V:$V)-365)</f>
        <v>0</v>
      </c>
      <c r="R206" s="5" t="str" cm="1">
        <f t="array" ref="R206">LOOKUP(2,1/($G$46:$G$50&lt;=$V206)/($H$46:$H$50&gt;=$V206),$F$46:$F$50)</f>
        <v>N1</v>
      </c>
      <c r="S206" s="5" cm="1">
        <f t="array" ref="S206">LOOKUP(2,1/($G$53:$G$56&lt;=$V206)/($H$53:$H$56&gt;=$V206),$F$53:$F$56)</f>
        <v>0</v>
      </c>
      <c r="T206" s="5" t="str">
        <f>IFERROR(IF($R206&gt;0,$R206&amp;"-"&amp;COUNTIF($R$5:$R206,$R206),NA()),NA())</f>
        <v>N1-6</v>
      </c>
      <c r="U206" s="5" t="e">
        <f>IFERROR(IF($S206&gt;0,$S206&amp;"-"&amp;COUNTIF($S$5:$S206,$S206),NA()),NA())</f>
        <v>#N/A</v>
      </c>
      <c r="V206" s="10">
        <v>44147</v>
      </c>
      <c r="W206" s="9">
        <v>17490034.417756159</v>
      </c>
      <c r="X206" s="9">
        <v>21220658.759063549</v>
      </c>
      <c r="Y206" s="8">
        <v>3000000</v>
      </c>
      <c r="OB206" s="1"/>
    </row>
    <row r="207" spans="13:392" x14ac:dyDescent="0.2">
      <c r="M207" s="5" t="str" cm="1">
        <f t="array" ref="M207">LOOKUP(2,1/($G$19:$G$35&lt;=$V207)/($H$19:$H$35&gt;=$V207),$F$19:$F$35)</f>
        <v>1H21</v>
      </c>
      <c r="N207" s="5" t="str" cm="1">
        <f t="array" ref="N207">LOOKUP(2,1/($G$8:$G$16&lt;=$V207)/($H$8:$H$16&gt;=$V207),$F$8:$F$16)</f>
        <v>FY21</v>
      </c>
      <c r="O207" s="5" t="str">
        <f>IFERROR(N207&amp;"-"&amp;COUNTIF($N$5:N207,N207),NA())</f>
        <v>FY21-21</v>
      </c>
      <c r="P207" s="5">
        <f>COUNTIF(V$5:V207,"&gt;="&amp;MAX($V:$V)-183)</f>
        <v>0</v>
      </c>
      <c r="Q207" s="5">
        <f>COUNTIF(V$5:V207,"&gt;="&amp;MAX($V:$V)-365)</f>
        <v>0</v>
      </c>
      <c r="R207" s="5" t="str" cm="1">
        <f t="array" ref="R207">LOOKUP(2,1/($G$46:$G$50&lt;=$V207)/($H$46:$H$50&gt;=$V207),$F$46:$F$50)</f>
        <v>N1</v>
      </c>
      <c r="S207" s="5" cm="1">
        <f t="array" ref="S207">LOOKUP(2,1/($G$53:$G$56&lt;=$V207)/($H$53:$H$56&gt;=$V207),$F$53:$F$56)</f>
        <v>0</v>
      </c>
      <c r="T207" s="5" t="str">
        <f>IFERROR(IF($R207&gt;0,$R207&amp;"-"&amp;COUNTIF($R$5:$R207,$R207),NA()),NA())</f>
        <v>N1-7</v>
      </c>
      <c r="U207" s="5" t="e">
        <f>IFERROR(IF($S207&gt;0,$S207&amp;"-"&amp;COUNTIF($S$5:$S207,$S207),NA()),NA())</f>
        <v>#N/A</v>
      </c>
      <c r="V207" s="10">
        <v>44154</v>
      </c>
      <c r="W207" s="9">
        <v>23485624.323502589</v>
      </c>
      <c r="X207" s="9">
        <v>28495107.991705693</v>
      </c>
      <c r="Y207" s="8">
        <v>8000000</v>
      </c>
      <c r="OB207" s="1"/>
    </row>
    <row r="208" spans="13:392" x14ac:dyDescent="0.2">
      <c r="M208" s="5" t="str" cm="1">
        <f t="array" ref="M208">LOOKUP(2,1/($G$19:$G$35&lt;=$V208)/($H$19:$H$35&gt;=$V208),$F$19:$F$35)</f>
        <v>1H21</v>
      </c>
      <c r="N208" s="5" t="str" cm="1">
        <f t="array" ref="N208">LOOKUP(2,1/($G$8:$G$16&lt;=$V208)/($H$8:$H$16&gt;=$V208),$F$8:$F$16)</f>
        <v>FY21</v>
      </c>
      <c r="O208" s="5" t="str">
        <f>IFERROR(N208&amp;"-"&amp;COUNTIF($N$5:N208,N208),NA())</f>
        <v>FY21-22</v>
      </c>
      <c r="P208" s="5">
        <f>COUNTIF(V$5:V208,"&gt;="&amp;MAX($V:$V)-183)</f>
        <v>0</v>
      </c>
      <c r="Q208" s="5">
        <f>COUNTIF(V$5:V208,"&gt;="&amp;MAX($V:$V)-365)</f>
        <v>0</v>
      </c>
      <c r="R208" s="5" t="str" cm="1">
        <f t="array" ref="R208">LOOKUP(2,1/($G$46:$G$50&lt;=$V208)/($H$46:$H$50&gt;=$V208),$F$46:$F$50)</f>
        <v>N1</v>
      </c>
      <c r="S208" s="5" cm="1">
        <f t="array" ref="S208">LOOKUP(2,1/($G$53:$G$56&lt;=$V208)/($H$53:$H$56&gt;=$V208),$F$53:$F$56)</f>
        <v>0</v>
      </c>
      <c r="T208" s="5" t="str">
        <f>IFERROR(IF($R208&gt;0,$R208&amp;"-"&amp;COUNTIF($R$5:$R208,$R208),NA()),NA())</f>
        <v>N1-8</v>
      </c>
      <c r="U208" s="5" t="e">
        <f>IFERROR(IF($S208&gt;0,$S208&amp;"-"&amp;COUNTIF($S$5:$S208,$S208),NA()),NA())</f>
        <v>#N/A</v>
      </c>
      <c r="V208" s="10">
        <v>44161</v>
      </c>
      <c r="W208" s="9">
        <v>40190379.81149286</v>
      </c>
      <c r="X208" s="9">
        <v>48762987.825284287</v>
      </c>
      <c r="Y208" s="8">
        <v>20000000</v>
      </c>
      <c r="OB208" s="1"/>
    </row>
    <row r="209" spans="13:392" x14ac:dyDescent="0.2">
      <c r="M209" s="5" t="str" cm="1">
        <f t="array" ref="M209">LOOKUP(2,1/($G$19:$G$35&lt;=$V209)/($H$19:$H$35&gt;=$V209),$F$19:$F$35)</f>
        <v>1H21</v>
      </c>
      <c r="N209" s="5" t="str" cm="1">
        <f t="array" ref="N209">LOOKUP(2,1/($G$8:$G$16&lt;=$V209)/($H$8:$H$16&gt;=$V209),$F$8:$F$16)</f>
        <v>FY21</v>
      </c>
      <c r="O209" s="5" t="str">
        <f>IFERROR(N209&amp;"-"&amp;COUNTIF($N$5:N209,N209),NA())</f>
        <v>FY21-23</v>
      </c>
      <c r="P209" s="5">
        <f>COUNTIF(V$5:V209,"&gt;="&amp;MAX($V:$V)-183)</f>
        <v>0</v>
      </c>
      <c r="Q209" s="5">
        <f>COUNTIF(V$5:V209,"&gt;="&amp;MAX($V:$V)-365)</f>
        <v>0</v>
      </c>
      <c r="R209" s="5" t="str" cm="1">
        <f t="array" ref="R209">LOOKUP(2,1/($G$46:$G$50&lt;=$V209)/($H$46:$H$50&gt;=$V209),$F$46:$F$50)</f>
        <v>N1</v>
      </c>
      <c r="S209" s="5" cm="1">
        <f t="array" ref="S209">LOOKUP(2,1/($G$53:$G$56&lt;=$V209)/($H$53:$H$56&gt;=$V209),$F$53:$F$56)</f>
        <v>0</v>
      </c>
      <c r="T209" s="5" t="str">
        <f>IFERROR(IF($R209&gt;0,$R209&amp;"-"&amp;COUNTIF($R$5:$R209,$R209),NA()),NA())</f>
        <v>N1-9</v>
      </c>
      <c r="U209" s="5" t="e">
        <f>IFERROR(IF($S209&gt;0,$S209&amp;"-"&amp;COUNTIF($S$5:$S209,$S209),NA()),NA())</f>
        <v>#N/A</v>
      </c>
      <c r="V209" s="10">
        <v>44168</v>
      </c>
      <c r="W209" s="9">
        <v>17815226.512617815</v>
      </c>
      <c r="X209" s="9">
        <v>21615214.327759195</v>
      </c>
      <c r="Y209" s="8">
        <v>3000000</v>
      </c>
      <c r="OB209" s="1"/>
    </row>
    <row r="210" spans="13:392" x14ac:dyDescent="0.2">
      <c r="M210" s="5" t="str" cm="1">
        <f t="array" ref="M210">LOOKUP(2,1/($G$19:$G$35&lt;=$V210)/($H$19:$H$35&gt;=$V210),$F$19:$F$35)</f>
        <v>1H21</v>
      </c>
      <c r="N210" s="5" t="str" cm="1">
        <f t="array" ref="N210">LOOKUP(2,1/($G$8:$G$16&lt;=$V210)/($H$8:$H$16&gt;=$V210),$F$8:$F$16)</f>
        <v>FY21</v>
      </c>
      <c r="O210" s="5" t="str">
        <f>IFERROR(N210&amp;"-"&amp;COUNTIF($N$5:N210,N210),NA())</f>
        <v>FY21-24</v>
      </c>
      <c r="P210" s="5">
        <f>COUNTIF(V$5:V210,"&gt;="&amp;MAX($V:$V)-183)</f>
        <v>0</v>
      </c>
      <c r="Q210" s="5">
        <f>COUNTIF(V$5:V210,"&gt;="&amp;MAX($V:$V)-365)</f>
        <v>0</v>
      </c>
      <c r="R210" s="5" t="str" cm="1">
        <f t="array" ref="R210">LOOKUP(2,1/($G$46:$G$50&lt;=$V210)/($H$46:$H$50&gt;=$V210),$F$46:$F$50)</f>
        <v>N1</v>
      </c>
      <c r="S210" s="5" cm="1">
        <f t="array" ref="S210">LOOKUP(2,1/($G$53:$G$56&lt;=$V210)/($H$53:$H$56&gt;=$V210),$F$53:$F$56)</f>
        <v>0</v>
      </c>
      <c r="T210" s="5" t="str">
        <f>IFERROR(IF($R210&gt;0,$R210&amp;"-"&amp;COUNTIF($R$5:$R210,$R210),NA()),NA())</f>
        <v>N1-10</v>
      </c>
      <c r="U210" s="5" t="e">
        <f>IFERROR(IF($S210&gt;0,$S210&amp;"-"&amp;COUNTIF($S$5:$S210,$S210),NA()),NA())</f>
        <v>#N/A</v>
      </c>
      <c r="V210" s="10">
        <v>44175</v>
      </c>
      <c r="W210" s="9">
        <v>25066381.757373061</v>
      </c>
      <c r="X210" s="9">
        <v>30413040.986220736</v>
      </c>
      <c r="Y210" s="8">
        <v>8000000</v>
      </c>
      <c r="OB210" s="1"/>
    </row>
    <row r="211" spans="13:392" x14ac:dyDescent="0.2">
      <c r="M211" s="5" t="str" cm="1">
        <f t="array" ref="M211">LOOKUP(2,1/($G$19:$G$35&lt;=$V211)/($H$19:$H$35&gt;=$V211),$F$19:$F$35)</f>
        <v>1H21</v>
      </c>
      <c r="N211" s="5" t="str" cm="1">
        <f t="array" ref="N211">LOOKUP(2,1/($G$8:$G$16&lt;=$V211)/($H$8:$H$16&gt;=$V211),$F$8:$F$16)</f>
        <v>FY21</v>
      </c>
      <c r="O211" s="5" t="str">
        <f>IFERROR(N211&amp;"-"&amp;COUNTIF($N$5:N211,N211),NA())</f>
        <v>FY21-25</v>
      </c>
      <c r="P211" s="5">
        <f>COUNTIF(V$5:V211,"&gt;="&amp;MAX($V:$V)-183)</f>
        <v>0</v>
      </c>
      <c r="Q211" s="5">
        <f>COUNTIF(V$5:V211,"&gt;="&amp;MAX($V:$V)-365)</f>
        <v>0</v>
      </c>
      <c r="R211" s="5" t="str" cm="1">
        <f t="array" ref="R211">LOOKUP(2,1/($G$46:$G$50&lt;=$V211)/($H$46:$H$50&gt;=$V211),$F$46:$F$50)</f>
        <v>N1</v>
      </c>
      <c r="S211" s="5" cm="1">
        <f t="array" ref="S211">LOOKUP(2,1/($G$53:$G$56&lt;=$V211)/($H$53:$H$56&gt;=$V211),$F$53:$F$56)</f>
        <v>0</v>
      </c>
      <c r="T211" s="5" t="str">
        <f>IFERROR(IF($R211&gt;0,$R211&amp;"-"&amp;COUNTIF($R$5:$R211,$R211),NA()),NA())</f>
        <v>N1-11</v>
      </c>
      <c r="U211" s="5" t="e">
        <f>IFERROR(IF($S211&gt;0,$S211&amp;"-"&amp;COUNTIF($S$5:$S211,$S211),NA()),NA())</f>
        <v>#N/A</v>
      </c>
      <c r="V211" s="10">
        <v>44182</v>
      </c>
      <c r="W211" s="9">
        <v>40397165.825478874</v>
      </c>
      <c r="X211" s="9">
        <v>49013881.296053521</v>
      </c>
      <c r="Y211" s="8">
        <v>20000000</v>
      </c>
      <c r="OB211" s="1"/>
    </row>
    <row r="212" spans="13:392" x14ac:dyDescent="0.2">
      <c r="M212" s="5" t="str" cm="1">
        <f t="array" ref="M212">LOOKUP(2,1/($G$19:$G$35&lt;=$V212)/($H$19:$H$35&gt;=$V212),$F$19:$F$35)</f>
        <v>1H21</v>
      </c>
      <c r="N212" s="5" t="str" cm="1">
        <f t="array" ref="N212">LOOKUP(2,1/($G$8:$G$16&lt;=$V212)/($H$8:$H$16&gt;=$V212),$F$8:$F$16)</f>
        <v>FY21</v>
      </c>
      <c r="O212" s="5" t="str">
        <f>IFERROR(N212&amp;"-"&amp;COUNTIF($N$5:N212,N212),NA())</f>
        <v>FY21-26</v>
      </c>
      <c r="P212" s="5">
        <f>COUNTIF(V$5:V212,"&gt;="&amp;MAX($V:$V)-183)</f>
        <v>0</v>
      </c>
      <c r="Q212" s="5">
        <f>COUNTIF(V$5:V212,"&gt;="&amp;MAX($V:$V)-365)</f>
        <v>0</v>
      </c>
      <c r="R212" s="5" t="str" cm="1">
        <f t="array" ref="R212">LOOKUP(2,1/($G$46:$G$50&lt;=$V212)/($H$46:$H$50&gt;=$V212),$F$46:$F$50)</f>
        <v>N1</v>
      </c>
      <c r="S212" s="5" cm="1">
        <f t="array" ref="S212">LOOKUP(2,1/($G$53:$G$56&lt;=$V212)/($H$53:$H$56&gt;=$V212),$F$53:$F$56)</f>
        <v>0</v>
      </c>
      <c r="T212" s="5" t="str">
        <f>IFERROR(IF($R212&gt;0,$R212&amp;"-"&amp;COUNTIF($R$5:$R212,$R212),NA()),NA())</f>
        <v>N1-12</v>
      </c>
      <c r="U212" s="5" t="e">
        <f>IFERROR(IF($S212&gt;0,$S212&amp;"-"&amp;COUNTIF($S$5:$S212,$S212),NA()),NA())</f>
        <v>#N/A</v>
      </c>
      <c r="V212" s="10">
        <v>44189</v>
      </c>
      <c r="W212" s="9">
        <v>19022130.495591365</v>
      </c>
      <c r="X212" s="9">
        <v>23079550.930301003</v>
      </c>
      <c r="Y212" s="8">
        <v>3000000</v>
      </c>
      <c r="OB212" s="1"/>
    </row>
    <row r="213" spans="13:392" x14ac:dyDescent="0.2">
      <c r="M213" s="5" t="str" cm="1">
        <f t="array" ref="M213">LOOKUP(2,1/($G$19:$G$35&lt;=$V213)/($H$19:$H$35&gt;=$V213),$F$19:$F$35)</f>
        <v>1H21</v>
      </c>
      <c r="N213" s="5" t="str" cm="1">
        <f t="array" ref="N213">LOOKUP(2,1/($G$8:$G$16&lt;=$V213)/($H$8:$H$16&gt;=$V213),$F$8:$F$16)</f>
        <v>FY21</v>
      </c>
      <c r="O213" s="5" t="str">
        <f>IFERROR(N213&amp;"-"&amp;COUNTIF($N$5:N213,N213),NA())</f>
        <v>FY21-27</v>
      </c>
      <c r="P213" s="5">
        <f>COUNTIF(V$5:V213,"&gt;="&amp;MAX($V:$V)-183)</f>
        <v>0</v>
      </c>
      <c r="Q213" s="5">
        <f>COUNTIF(V$5:V213,"&gt;="&amp;MAX($V:$V)-365)</f>
        <v>0</v>
      </c>
      <c r="R213" s="5" t="str" cm="1">
        <f t="array" ref="R213">LOOKUP(2,1/($G$46:$G$50&lt;=$V213)/($H$46:$H$50&gt;=$V213),$F$46:$F$50)</f>
        <v>N1</v>
      </c>
      <c r="S213" s="5" cm="1">
        <f t="array" ref="S213">LOOKUP(2,1/($G$53:$G$56&lt;=$V213)/($H$53:$H$56&gt;=$V213),$F$53:$F$56)</f>
        <v>0</v>
      </c>
      <c r="T213" s="5" t="str">
        <f>IFERROR(IF($R213&gt;0,$R213&amp;"-"&amp;COUNTIF($R$5:$R213,$R213),NA()),NA())</f>
        <v>N1-13</v>
      </c>
      <c r="U213" s="5" t="e">
        <f>IFERROR(IF($S213&gt;0,$S213&amp;"-"&amp;COUNTIF($S$5:$S213,$S213),NA()),NA())</f>
        <v>#N/A</v>
      </c>
      <c r="V213" s="10">
        <v>44196</v>
      </c>
      <c r="W213" s="9">
        <v>25387217.756156884</v>
      </c>
      <c r="X213" s="9">
        <v>30802311.303545147</v>
      </c>
      <c r="Y213" s="8">
        <v>8000000</v>
      </c>
      <c r="OB213" s="1"/>
    </row>
    <row r="214" spans="13:392" x14ac:dyDescent="0.2">
      <c r="M214" s="5" t="str" cm="1">
        <f t="array" ref="M214">LOOKUP(2,1/($G$19:$G$35&lt;=$V214)/($H$19:$H$35&gt;=$V214),$F$19:$F$35)</f>
        <v>2H21</v>
      </c>
      <c r="N214" s="5" t="str" cm="1">
        <f t="array" ref="N214">LOOKUP(2,1/($G$8:$G$16&lt;=$V214)/($H$8:$H$16&gt;=$V214),$F$8:$F$16)</f>
        <v>FY21</v>
      </c>
      <c r="O214" s="5" t="str">
        <f>IFERROR(N214&amp;"-"&amp;COUNTIF($N$5:N214,N214),NA())</f>
        <v>FY21-28</v>
      </c>
      <c r="P214" s="5">
        <f>COUNTIF(V$5:V214,"&gt;="&amp;MAX($V:$V)-183)</f>
        <v>0</v>
      </c>
      <c r="Q214" s="5">
        <f>COUNTIF(V$5:V214,"&gt;="&amp;MAX($V:$V)-365)</f>
        <v>0</v>
      </c>
      <c r="R214" s="5" t="str" cm="1">
        <f t="array" ref="R214">LOOKUP(2,1/($G$46:$G$50&lt;=$V214)/($H$46:$H$50&gt;=$V214),$F$46:$F$50)</f>
        <v>N1</v>
      </c>
      <c r="S214" s="5" cm="1">
        <f t="array" ref="S214">LOOKUP(2,1/($G$53:$G$56&lt;=$V214)/($H$53:$H$56&gt;=$V214),$F$53:$F$56)</f>
        <v>0</v>
      </c>
      <c r="T214" s="5" t="str">
        <f>IFERROR(IF($R214&gt;0,$R214&amp;"-"&amp;COUNTIF($R$5:$R214,$R214),NA()),NA())</f>
        <v>N1-14</v>
      </c>
      <c r="U214" s="5" t="e">
        <f>IFERROR(IF($S214&gt;0,$S214&amp;"-"&amp;COUNTIF($S$5:$S214,$S214),NA()),NA())</f>
        <v>#N/A</v>
      </c>
      <c r="V214" s="10">
        <v>44203</v>
      </c>
      <c r="W214" s="9">
        <v>17082868.713894803</v>
      </c>
      <c r="X214" s="9">
        <v>20726644.610568564</v>
      </c>
      <c r="Y214" s="8">
        <v>3000000</v>
      </c>
      <c r="OB214" s="1"/>
    </row>
    <row r="215" spans="13:392" x14ac:dyDescent="0.2">
      <c r="M215" s="5" t="str" cm="1">
        <f t="array" ref="M215">LOOKUP(2,1/($G$19:$G$35&lt;=$V215)/($H$19:$H$35&gt;=$V215),$F$19:$F$35)</f>
        <v>2H21</v>
      </c>
      <c r="N215" s="5" t="str" cm="1">
        <f t="array" ref="N215">LOOKUP(2,1/($G$8:$G$16&lt;=$V215)/($H$8:$H$16&gt;=$V215),$F$8:$F$16)</f>
        <v>FY21</v>
      </c>
      <c r="O215" s="5" t="str">
        <f>IFERROR(N215&amp;"-"&amp;COUNTIF($N$5:N215,N215),NA())</f>
        <v>FY21-29</v>
      </c>
      <c r="P215" s="5">
        <f>COUNTIF(V$5:V215,"&gt;="&amp;MAX($V:$V)-183)</f>
        <v>0</v>
      </c>
      <c r="Q215" s="5">
        <f>COUNTIF(V$5:V215,"&gt;="&amp;MAX($V:$V)-365)</f>
        <v>0</v>
      </c>
      <c r="R215" s="5" t="str" cm="1">
        <f t="array" ref="R215">LOOKUP(2,1/($G$46:$G$50&lt;=$V215)/($H$46:$H$50&gt;=$V215),$F$46:$F$50)</f>
        <v>N1</v>
      </c>
      <c r="S215" s="5" cm="1">
        <f t="array" ref="S215">LOOKUP(2,1/($G$53:$G$56&lt;=$V215)/($H$53:$H$56&gt;=$V215),$F$53:$F$56)</f>
        <v>0</v>
      </c>
      <c r="T215" s="5" t="str">
        <f>IFERROR(IF($R215&gt;0,$R215&amp;"-"&amp;COUNTIF($R$5:$R215,$R215),NA()),NA())</f>
        <v>N1-15</v>
      </c>
      <c r="U215" s="5" t="e">
        <f>IFERROR(IF($S215&gt;0,$S215&amp;"-"&amp;COUNTIF($S$5:$S215,$S215),NA()),NA())</f>
        <v>#N/A</v>
      </c>
      <c r="V215" s="10">
        <v>44210</v>
      </c>
      <c r="W215" s="9">
        <v>24054723.502584364</v>
      </c>
      <c r="X215" s="9">
        <v>29185596.025685608</v>
      </c>
      <c r="Y215" s="8">
        <v>8000000</v>
      </c>
      <c r="OB215" s="1"/>
    </row>
    <row r="216" spans="13:392" x14ac:dyDescent="0.2">
      <c r="M216" s="5" t="str" cm="1">
        <f t="array" ref="M216">LOOKUP(2,1/($G$19:$G$35&lt;=$V216)/($H$19:$H$35&gt;=$V216),$F$19:$F$35)</f>
        <v>2H21</v>
      </c>
      <c r="N216" s="5" t="str" cm="1">
        <f t="array" ref="N216">LOOKUP(2,1/($G$8:$G$16&lt;=$V216)/($H$8:$H$16&gt;=$V216),$F$8:$F$16)</f>
        <v>FY21</v>
      </c>
      <c r="O216" s="5" t="str">
        <f>IFERROR(N216&amp;"-"&amp;COUNTIF($N$5:N216,N216),NA())</f>
        <v>FY21-30</v>
      </c>
      <c r="P216" s="5">
        <f>COUNTIF(V$5:V216,"&gt;="&amp;MAX($V:$V)-183)</f>
        <v>0</v>
      </c>
      <c r="Q216" s="5">
        <f>COUNTIF(V$5:V216,"&gt;="&amp;MAX($V:$V)-365)</f>
        <v>0</v>
      </c>
      <c r="R216" s="5" t="str" cm="1">
        <f t="array" ref="R216">LOOKUP(2,1/($G$46:$G$50&lt;=$V216)/($H$46:$H$50&gt;=$V216),$F$46:$F$50)</f>
        <v>N1</v>
      </c>
      <c r="S216" s="5" cm="1">
        <f t="array" ref="S216">LOOKUP(2,1/($G$53:$G$56&lt;=$V216)/($H$53:$H$56&gt;=$V216),$F$53:$F$56)</f>
        <v>0</v>
      </c>
      <c r="T216" s="5" t="str">
        <f>IFERROR(IF($R216&gt;0,$R216&amp;"-"&amp;COUNTIF($R$5:$R216,$R216),NA()),NA())</f>
        <v>N1-16</v>
      </c>
      <c r="U216" s="5" t="e">
        <f>IFERROR(IF($S216&gt;0,$S216&amp;"-"&amp;COUNTIF($S$5:$S216,$S216),NA()),NA())</f>
        <v>#N/A</v>
      </c>
      <c r="V216" s="10">
        <v>44217</v>
      </c>
      <c r="W216" s="9">
        <v>39055239.160839155</v>
      </c>
      <c r="X216" s="9">
        <v>47385721.673846148</v>
      </c>
      <c r="Y216" s="8">
        <v>20000000</v>
      </c>
      <c r="OB216" s="1"/>
    </row>
    <row r="217" spans="13:392" x14ac:dyDescent="0.2">
      <c r="M217" s="5" t="str" cm="1">
        <f t="array" ref="M217">LOOKUP(2,1/($G$19:$G$35&lt;=$V217)/($H$19:$H$35&gt;=$V217),$F$19:$F$35)</f>
        <v>2H21</v>
      </c>
      <c r="N217" s="5" t="str" cm="1">
        <f t="array" ref="N217">LOOKUP(2,1/($G$8:$G$16&lt;=$V217)/($H$8:$H$16&gt;=$V217),$F$8:$F$16)</f>
        <v>FY21</v>
      </c>
      <c r="O217" s="5" t="str">
        <f>IFERROR(N217&amp;"-"&amp;COUNTIF($N$5:N217,N217),NA())</f>
        <v>FY21-31</v>
      </c>
      <c r="P217" s="5">
        <f>COUNTIF(V$5:V217,"&gt;="&amp;MAX($V:$V)-183)</f>
        <v>0</v>
      </c>
      <c r="Q217" s="5">
        <f>COUNTIF(V$5:V217,"&gt;="&amp;MAX($V:$V)-365)</f>
        <v>0</v>
      </c>
      <c r="R217" s="5" t="str" cm="1">
        <f t="array" ref="R217">LOOKUP(2,1/($G$46:$G$50&lt;=$V217)/($H$46:$H$50&gt;=$V217),$F$46:$F$50)</f>
        <v>A1</v>
      </c>
      <c r="S217" s="5" cm="1">
        <f t="array" ref="S217">LOOKUP(2,1/($G$53:$G$56&lt;=$V217)/($H$53:$H$56&gt;=$V217),$F$53:$F$56)</f>
        <v>0</v>
      </c>
      <c r="T217" s="5" t="str">
        <f>IFERROR(IF($R217&gt;0,$R217&amp;"-"&amp;COUNTIF($R$5:$R217,$R217),NA()),NA())</f>
        <v>A1-1</v>
      </c>
      <c r="U217" s="5" t="e">
        <f>IFERROR(IF($S217&gt;0,$S217&amp;"-"&amp;COUNTIF($S$5:$S217,$S217),NA()),NA())</f>
        <v>#N/A</v>
      </c>
      <c r="V217" s="10">
        <v>44224</v>
      </c>
      <c r="W217" s="9">
        <v>22190279.355427179</v>
      </c>
      <c r="X217" s="9">
        <v>26923465.941939797</v>
      </c>
      <c r="Y217" s="8">
        <v>8000000</v>
      </c>
      <c r="OB217" s="1"/>
    </row>
    <row r="218" spans="13:392" x14ac:dyDescent="0.2">
      <c r="M218" s="5" t="str" cm="1">
        <f t="array" ref="M218">LOOKUP(2,1/($G$19:$G$35&lt;=$V218)/($H$19:$H$35&gt;=$V218),$F$19:$F$35)</f>
        <v>2H21</v>
      </c>
      <c r="N218" s="5" t="str" cm="1">
        <f t="array" ref="N218">LOOKUP(2,1/($G$8:$G$16&lt;=$V218)/($H$8:$H$16&gt;=$V218),$F$8:$F$16)</f>
        <v>FY21</v>
      </c>
      <c r="O218" s="5" t="str">
        <f>IFERROR(N218&amp;"-"&amp;COUNTIF($N$5:N218,N218),NA())</f>
        <v>FY21-32</v>
      </c>
      <c r="P218" s="5">
        <f>COUNTIF(V$5:V218,"&gt;="&amp;MAX($V:$V)-183)</f>
        <v>0</v>
      </c>
      <c r="Q218" s="5">
        <f>COUNTIF(V$5:V218,"&gt;="&amp;MAX($V:$V)-365)</f>
        <v>0</v>
      </c>
      <c r="R218" s="5" t="str" cm="1">
        <f t="array" ref="R218">LOOKUP(2,1/($G$46:$G$50&lt;=$V218)/($H$46:$H$50&gt;=$V218),$F$46:$F$50)</f>
        <v>A1</v>
      </c>
      <c r="S218" s="5" cm="1">
        <f t="array" ref="S218">LOOKUP(2,1/($G$53:$G$56&lt;=$V218)/($H$53:$H$56&gt;=$V218),$F$53:$F$56)</f>
        <v>0</v>
      </c>
      <c r="T218" s="5" t="str">
        <f>IFERROR(IF($R218&gt;0,$R218&amp;"-"&amp;COUNTIF($R$5:$R218,$R218),NA()),NA())</f>
        <v>A1-2</v>
      </c>
      <c r="U218" s="5" t="e">
        <f>IFERROR(IF($S218&gt;0,$S218&amp;"-"&amp;COUNTIF($S$5:$S218,$S218),NA()),NA())</f>
        <v>#N/A</v>
      </c>
      <c r="V218" s="10">
        <v>44231</v>
      </c>
      <c r="W218" s="9">
        <v>36953457.707509883</v>
      </c>
      <c r="X218" s="9">
        <v>44835630.236521743</v>
      </c>
      <c r="Y218" s="8">
        <v>20000000</v>
      </c>
      <c r="OB218" s="1"/>
    </row>
    <row r="219" spans="13:392" x14ac:dyDescent="0.2">
      <c r="M219" s="5" t="str" cm="1">
        <f t="array" ref="M219">LOOKUP(2,1/($G$19:$G$35&lt;=$V219)/($H$19:$H$35&gt;=$V219),$F$19:$F$35)</f>
        <v>2H21</v>
      </c>
      <c r="N219" s="5" t="str" cm="1">
        <f t="array" ref="N219">LOOKUP(2,1/($G$8:$G$16&lt;=$V219)/($H$8:$H$16&gt;=$V219),$F$8:$F$16)</f>
        <v>FY21</v>
      </c>
      <c r="O219" s="5" t="str">
        <f>IFERROR(N219&amp;"-"&amp;COUNTIF($N$5:N219,N219),NA())</f>
        <v>FY21-33</v>
      </c>
      <c r="P219" s="5">
        <f>COUNTIF(V$5:V219,"&gt;="&amp;MAX($V:$V)-183)</f>
        <v>0</v>
      </c>
      <c r="Q219" s="5">
        <f>COUNTIF(V$5:V219,"&gt;="&amp;MAX($V:$V)-365)</f>
        <v>0</v>
      </c>
      <c r="R219" s="5" t="str" cm="1">
        <f t="array" ref="R219">LOOKUP(2,1/($G$46:$G$50&lt;=$V219)/($H$46:$H$50&gt;=$V219),$F$46:$F$50)</f>
        <v>A1</v>
      </c>
      <c r="S219" s="5" cm="1">
        <f t="array" ref="S219">LOOKUP(2,1/($G$53:$G$56&lt;=$V219)/($H$53:$H$56&gt;=$V219),$F$53:$F$56)</f>
        <v>0</v>
      </c>
      <c r="T219" s="5" t="str">
        <f>IFERROR(IF($R219&gt;0,$R219&amp;"-"&amp;COUNTIF($R$5:$R219,$R219),NA()),NA())</f>
        <v>A1-3</v>
      </c>
      <c r="U219" s="5" t="e">
        <f>IFERROR(IF($S219&gt;0,$S219&amp;"-"&amp;COUNTIF($S$5:$S219,$S219),NA()),NA())</f>
        <v>#N/A</v>
      </c>
      <c r="V219" s="10">
        <v>44238</v>
      </c>
      <c r="W219" s="9">
        <v>48994890.605047114</v>
      </c>
      <c r="X219" s="9">
        <v>59445500.771103665</v>
      </c>
      <c r="Y219" s="8">
        <v>30000000</v>
      </c>
      <c r="OB219" s="1"/>
    </row>
    <row r="220" spans="13:392" x14ac:dyDescent="0.2">
      <c r="M220" s="5" t="str" cm="1">
        <f t="array" ref="M220">LOOKUP(2,1/($G$19:$G$35&lt;=$V220)/($H$19:$H$35&gt;=$V220),$F$19:$F$35)</f>
        <v>2H21</v>
      </c>
      <c r="N220" s="5" t="str" cm="1">
        <f t="array" ref="N220">LOOKUP(2,1/($G$8:$G$16&lt;=$V220)/($H$8:$H$16&gt;=$V220),$F$8:$F$16)</f>
        <v>FY21</v>
      </c>
      <c r="O220" s="5" t="str">
        <f>IFERROR(N220&amp;"-"&amp;COUNTIF($N$5:N220,N220),NA())</f>
        <v>FY21-34</v>
      </c>
      <c r="P220" s="5">
        <f>COUNTIF(V$5:V220,"&gt;="&amp;MAX($V:$V)-183)</f>
        <v>0</v>
      </c>
      <c r="Q220" s="5">
        <f>COUNTIF(V$5:V220,"&gt;="&amp;MAX($V:$V)-365)</f>
        <v>0</v>
      </c>
      <c r="R220" s="5" t="str" cm="1">
        <f t="array" ref="R220">LOOKUP(2,1/($G$46:$G$50&lt;=$V220)/($H$46:$H$50&gt;=$V220),$F$46:$F$50)</f>
        <v>A1</v>
      </c>
      <c r="S220" s="5" cm="1">
        <f t="array" ref="S220">LOOKUP(2,1/($G$53:$G$56&lt;=$V220)/($H$53:$H$56&gt;=$V220),$F$53:$F$56)</f>
        <v>0</v>
      </c>
      <c r="T220" s="5" t="str">
        <f>IFERROR(IF($R220&gt;0,$R220&amp;"-"&amp;COUNTIF($R$5:$R220,$R220),NA()),NA())</f>
        <v>A1-4</v>
      </c>
      <c r="U220" s="5" t="e">
        <f>IFERROR(IF($S220&gt;0,$S220&amp;"-"&amp;COUNTIF($S$5:$S220,$S220),NA()),NA())</f>
        <v>#N/A</v>
      </c>
      <c r="V220" s="10">
        <v>44245</v>
      </c>
      <c r="W220" s="9">
        <v>78306876.740650654</v>
      </c>
      <c r="X220" s="9">
        <v>95009733.549431443</v>
      </c>
      <c r="Y220" s="8">
        <v>50000000</v>
      </c>
      <c r="OB220" s="1"/>
    </row>
    <row r="221" spans="13:392" x14ac:dyDescent="0.2">
      <c r="M221" s="5" t="str" cm="1">
        <f t="array" ref="M221">LOOKUP(2,1/($G$19:$G$35&lt;=$V221)/($H$19:$H$35&gt;=$V221),$F$19:$F$35)</f>
        <v>2H21</v>
      </c>
      <c r="N221" s="5" t="str" cm="1">
        <f t="array" ref="N221">LOOKUP(2,1/($G$8:$G$16&lt;=$V221)/($H$8:$H$16&gt;=$V221),$F$8:$F$16)</f>
        <v>FY21</v>
      </c>
      <c r="O221" s="5" t="str">
        <f>IFERROR(N221&amp;"-"&amp;COUNTIF($N$5:N221,N221),NA())</f>
        <v>FY21-35</v>
      </c>
      <c r="P221" s="5">
        <f>COUNTIF(V$5:V221,"&gt;="&amp;MAX($V:$V)-183)</f>
        <v>0</v>
      </c>
      <c r="Q221" s="5">
        <f>COUNTIF(V$5:V221,"&gt;="&amp;MAX($V:$V)-365)</f>
        <v>0</v>
      </c>
      <c r="R221" s="5" t="str" cm="1">
        <f t="array" ref="R221">LOOKUP(2,1/($G$46:$G$50&lt;=$V221)/($H$46:$H$50&gt;=$V221),$F$46:$F$50)</f>
        <v>A1</v>
      </c>
      <c r="S221" s="5" cm="1">
        <f t="array" ref="S221">LOOKUP(2,1/($G$53:$G$56&lt;=$V221)/($H$53:$H$56&gt;=$V221),$F$53:$F$56)</f>
        <v>0</v>
      </c>
      <c r="T221" s="5" t="str">
        <f>IFERROR(IF($R221&gt;0,$R221&amp;"-"&amp;COUNTIF($R$5:$R221,$R221),NA()),NA())</f>
        <v>A1-5</v>
      </c>
      <c r="U221" s="5" t="e">
        <f>IFERROR(IF($S221&gt;0,$S221&amp;"-"&amp;COUNTIF($S$5:$S221,$S221),NA()),NA())</f>
        <v>#N/A</v>
      </c>
      <c r="V221" s="10">
        <v>44252</v>
      </c>
      <c r="W221" s="9">
        <v>22972673.761021584</v>
      </c>
      <c r="X221" s="9">
        <v>27872745.074247491</v>
      </c>
      <c r="Y221" s="8">
        <v>8000000</v>
      </c>
      <c r="OB221" s="1"/>
    </row>
    <row r="222" spans="13:392" x14ac:dyDescent="0.2">
      <c r="M222" s="5" t="str" cm="1">
        <f t="array" ref="M222">LOOKUP(2,1/($G$19:$G$35&lt;=$V222)/($H$19:$H$35&gt;=$V222),$F$19:$F$35)</f>
        <v>2H21</v>
      </c>
      <c r="N222" s="5" t="str" cm="1">
        <f t="array" ref="N222">LOOKUP(2,1/($G$8:$G$16&lt;=$V222)/($H$8:$H$16&gt;=$V222),$F$8:$F$16)</f>
        <v>FY21</v>
      </c>
      <c r="O222" s="5" t="str">
        <f>IFERROR(N222&amp;"-"&amp;COUNTIF($N$5:N222,N222),NA())</f>
        <v>FY21-36</v>
      </c>
      <c r="P222" s="5">
        <f>COUNTIF(V$5:V222,"&gt;="&amp;MAX($V:$V)-183)</f>
        <v>0</v>
      </c>
      <c r="Q222" s="5">
        <f>COUNTIF(V$5:V222,"&gt;="&amp;MAX($V:$V)-365)</f>
        <v>0</v>
      </c>
      <c r="R222" s="5" t="str" cm="1">
        <f t="array" ref="R222">LOOKUP(2,1/($G$46:$G$50&lt;=$V222)/($H$46:$H$50&gt;=$V222),$F$46:$F$50)</f>
        <v>A1</v>
      </c>
      <c r="S222" s="5" cm="1">
        <f t="array" ref="S222">LOOKUP(2,1/($G$53:$G$56&lt;=$V222)/($H$53:$H$56&gt;=$V222),$F$53:$F$56)</f>
        <v>0</v>
      </c>
      <c r="T222" s="5" t="str">
        <f>IFERROR(IF($R222&gt;0,$R222&amp;"-"&amp;COUNTIF($R$5:$R222,$R222),NA()),NA())</f>
        <v>A1-6</v>
      </c>
      <c r="U222" s="5" t="e">
        <f>IFERROR(IF($S222&gt;0,$S222&amp;"-"&amp;COUNTIF($S$5:$S222,$S222),NA()),NA())</f>
        <v>#N/A</v>
      </c>
      <c r="V222" s="10">
        <v>44259</v>
      </c>
      <c r="W222" s="9">
        <v>37058402.918820314</v>
      </c>
      <c r="X222" s="9">
        <v>44962960.261404686</v>
      </c>
      <c r="Y222" s="8">
        <v>20000000</v>
      </c>
      <c r="OB222" s="1"/>
    </row>
    <row r="223" spans="13:392" x14ac:dyDescent="0.2">
      <c r="M223" s="5" t="str" cm="1">
        <f t="array" ref="M223">LOOKUP(2,1/($G$19:$G$35&lt;=$V223)/($H$19:$H$35&gt;=$V223),$F$19:$F$35)</f>
        <v>2H21</v>
      </c>
      <c r="N223" s="5" t="str" cm="1">
        <f t="array" ref="N223">LOOKUP(2,1/($G$8:$G$16&lt;=$V223)/($H$8:$H$16&gt;=$V223),$F$8:$F$16)</f>
        <v>FY21</v>
      </c>
      <c r="O223" s="5" t="str">
        <f>IFERROR(N223&amp;"-"&amp;COUNTIF($N$5:N223,N223),NA())</f>
        <v>FY21-37</v>
      </c>
      <c r="P223" s="5">
        <f>COUNTIF(V$5:V223,"&gt;="&amp;MAX($V:$V)-183)</f>
        <v>0</v>
      </c>
      <c r="Q223" s="5">
        <f>COUNTIF(V$5:V223,"&gt;="&amp;MAX($V:$V)-365)</f>
        <v>0</v>
      </c>
      <c r="R223" s="5" t="str" cm="1">
        <f t="array" ref="R223">LOOKUP(2,1/($G$46:$G$50&lt;=$V223)/($H$46:$H$50&gt;=$V223),$F$46:$F$50)</f>
        <v>A1</v>
      </c>
      <c r="S223" s="5" cm="1">
        <f t="array" ref="S223">LOOKUP(2,1/($G$53:$G$56&lt;=$V223)/($H$53:$H$56&gt;=$V223),$F$53:$F$56)</f>
        <v>0</v>
      </c>
      <c r="T223" s="5" t="str">
        <f>IFERROR(IF($R223&gt;0,$R223&amp;"-"&amp;COUNTIF($R$5:$R223,$R223),NA()),NA())</f>
        <v>A1-7</v>
      </c>
      <c r="U223" s="5" t="e">
        <f>IFERROR(IF($S223&gt;0,$S223&amp;"-"&amp;COUNTIF($S$5:$S223,$S223),NA()),NA())</f>
        <v>#N/A</v>
      </c>
      <c r="V223" s="10">
        <v>44266</v>
      </c>
      <c r="W223" s="9">
        <v>45393461.35603527</v>
      </c>
      <c r="X223" s="9">
        <v>55075886.663277596</v>
      </c>
      <c r="Y223" s="8">
        <v>30000000</v>
      </c>
      <c r="OB223" s="1"/>
    </row>
    <row r="224" spans="13:392" x14ac:dyDescent="0.2">
      <c r="M224" s="5" t="str" cm="1">
        <f t="array" ref="M224">LOOKUP(2,1/($G$19:$G$35&lt;=$V224)/($H$19:$H$35&gt;=$V224),$F$19:$F$35)</f>
        <v>2H21</v>
      </c>
      <c r="N224" s="5" t="str" cm="1">
        <f t="array" ref="N224">LOOKUP(2,1/($G$8:$G$16&lt;=$V224)/($H$8:$H$16&gt;=$V224),$F$8:$F$16)</f>
        <v>FY21</v>
      </c>
      <c r="O224" s="5" t="str">
        <f>IFERROR(N224&amp;"-"&amp;COUNTIF($N$5:N224,N224),NA())</f>
        <v>FY21-38</v>
      </c>
      <c r="P224" s="5">
        <f>COUNTIF(V$5:V224,"&gt;="&amp;MAX($V:$V)-183)</f>
        <v>0</v>
      </c>
      <c r="Q224" s="5">
        <f>COUNTIF(V$5:V224,"&gt;="&amp;MAX($V:$V)-365)</f>
        <v>0</v>
      </c>
      <c r="R224" s="5" t="str" cm="1">
        <f t="array" ref="R224">LOOKUP(2,1/($G$46:$G$50&lt;=$V224)/($H$46:$H$50&gt;=$V224),$F$46:$F$50)</f>
        <v>A1</v>
      </c>
      <c r="S224" s="5" cm="1">
        <f t="array" ref="S224">LOOKUP(2,1/($G$53:$G$56&lt;=$V224)/($H$53:$H$56&gt;=$V224),$F$53:$F$56)</f>
        <v>0</v>
      </c>
      <c r="T224" s="5" t="str">
        <f>IFERROR(IF($R224&gt;0,$R224&amp;"-"&amp;COUNTIF($R$5:$R224,$R224),NA()),NA())</f>
        <v>A1-8</v>
      </c>
      <c r="U224" s="5" t="e">
        <f>IFERROR(IF($S224&gt;0,$S224&amp;"-"&amp;COUNTIF($S$5:$S224,$S224),NA()),NA())</f>
        <v>#N/A</v>
      </c>
      <c r="V224" s="10">
        <v>44273</v>
      </c>
      <c r="W224" s="9">
        <v>69997466.46397081</v>
      </c>
      <c r="X224" s="9">
        <v>84927926.060735792</v>
      </c>
      <c r="Y224" s="8">
        <v>50000000</v>
      </c>
      <c r="OB224" s="1"/>
    </row>
    <row r="225" spans="13:392" x14ac:dyDescent="0.2">
      <c r="M225" s="5" t="str" cm="1">
        <f t="array" ref="M225">LOOKUP(2,1/($G$19:$G$35&lt;=$V225)/($H$19:$H$35&gt;=$V225),$F$19:$F$35)</f>
        <v>2H21</v>
      </c>
      <c r="N225" s="5" t="str" cm="1">
        <f t="array" ref="N225">LOOKUP(2,1/($G$8:$G$16&lt;=$V225)/($H$8:$H$16&gt;=$V225),$F$8:$F$16)</f>
        <v>FY21</v>
      </c>
      <c r="O225" s="5" t="str">
        <f>IFERROR(N225&amp;"-"&amp;COUNTIF($N$5:N225,N225),NA())</f>
        <v>FY21-39</v>
      </c>
      <c r="P225" s="5">
        <f>COUNTIF(V$5:V225,"&gt;="&amp;MAX($V:$V)-183)</f>
        <v>0</v>
      </c>
      <c r="Q225" s="5">
        <f>COUNTIF(V$5:V225,"&gt;="&amp;MAX($V:$V)-365)</f>
        <v>0</v>
      </c>
      <c r="R225" s="5" t="str" cm="1">
        <f t="array" ref="R225">LOOKUP(2,1/($G$46:$G$50&lt;=$V225)/($H$46:$H$50&gt;=$V225),$F$46:$F$50)</f>
        <v>A1</v>
      </c>
      <c r="S225" s="5" cm="1">
        <f t="array" ref="S225">LOOKUP(2,1/($G$53:$G$56&lt;=$V225)/($H$53:$H$56&gt;=$V225),$F$53:$F$56)</f>
        <v>0</v>
      </c>
      <c r="T225" s="5" t="str">
        <f>IFERROR(IF($R225&gt;0,$R225&amp;"-"&amp;COUNTIF($R$5:$R225,$R225),NA()),NA())</f>
        <v>A1-9</v>
      </c>
      <c r="U225" s="5" t="e">
        <f>IFERROR(IF($S225&gt;0,$S225&amp;"-"&amp;COUNTIF($S$5:$S225,$S225),NA()),NA())</f>
        <v>#N/A</v>
      </c>
      <c r="V225" s="10">
        <v>44280</v>
      </c>
      <c r="W225" s="9">
        <v>23504738.218303431</v>
      </c>
      <c r="X225" s="9">
        <v>28518298.880267553</v>
      </c>
      <c r="Y225" s="8">
        <v>8000000</v>
      </c>
      <c r="OB225" s="1"/>
    </row>
    <row r="226" spans="13:392" x14ac:dyDescent="0.2">
      <c r="M226" s="5" t="str" cm="1">
        <f t="array" ref="M226">LOOKUP(2,1/($G$19:$G$35&lt;=$V226)/($H$19:$H$35&gt;=$V226),$F$19:$F$35)</f>
        <v>2H21</v>
      </c>
      <c r="N226" s="5" t="str" cm="1">
        <f t="array" ref="N226">LOOKUP(2,1/($G$8:$G$16&lt;=$V226)/($H$8:$H$16&gt;=$V226),$F$8:$F$16)</f>
        <v>FY21</v>
      </c>
      <c r="O226" s="5" t="str">
        <f>IFERROR(N226&amp;"-"&amp;COUNTIF($N$5:N226,N226),NA())</f>
        <v>FY21-40</v>
      </c>
      <c r="P226" s="5">
        <f>COUNTIF(V$5:V226,"&gt;="&amp;MAX($V:$V)-183)</f>
        <v>0</v>
      </c>
      <c r="Q226" s="5">
        <f>COUNTIF(V$5:V226,"&gt;="&amp;MAX($V:$V)-365)</f>
        <v>0</v>
      </c>
      <c r="R226" s="5" t="str" cm="1">
        <f t="array" ref="R226">LOOKUP(2,1/($G$46:$G$50&lt;=$V226)/($H$46:$H$50&gt;=$V226),$F$46:$F$50)</f>
        <v>A1</v>
      </c>
      <c r="S226" s="5" cm="1">
        <f t="array" ref="S226">LOOKUP(2,1/($G$53:$G$56&lt;=$V226)/($H$53:$H$56&gt;=$V226),$F$53:$F$56)</f>
        <v>0</v>
      </c>
      <c r="T226" s="5" t="str">
        <f>IFERROR(IF($R226&gt;0,$R226&amp;"-"&amp;COUNTIF($R$5:$R226,$R226),NA()),NA())</f>
        <v>A1-10</v>
      </c>
      <c r="U226" s="5" t="e">
        <f>IFERROR(IF($S226&gt;0,$S226&amp;"-"&amp;COUNTIF($S$5:$S226,$S226),NA()),NA())</f>
        <v>#N/A</v>
      </c>
      <c r="V226" s="10">
        <v>44287</v>
      </c>
      <c r="W226" s="9">
        <v>37212500.334448159</v>
      </c>
      <c r="X226" s="9">
        <v>45149926.655785955</v>
      </c>
      <c r="Y226" s="8">
        <v>20000000</v>
      </c>
      <c r="OB226" s="1"/>
    </row>
    <row r="227" spans="13:392" x14ac:dyDescent="0.2">
      <c r="M227" s="5" t="str" cm="1">
        <f t="array" ref="M227">LOOKUP(2,1/($G$19:$G$35&lt;=$V227)/($H$19:$H$35&gt;=$V227),$F$19:$F$35)</f>
        <v>2H21</v>
      </c>
      <c r="N227" s="5" t="str" cm="1">
        <f t="array" ref="N227">LOOKUP(2,1/($G$8:$G$16&lt;=$V227)/($H$8:$H$16&gt;=$V227),$F$8:$F$16)</f>
        <v>FY21</v>
      </c>
      <c r="O227" s="5" t="str">
        <f>IFERROR(N227&amp;"-"&amp;COUNTIF($N$5:N227,N227),NA())</f>
        <v>FY21-41</v>
      </c>
      <c r="P227" s="5">
        <f>COUNTIF(V$5:V227,"&gt;="&amp;MAX($V:$V)-183)</f>
        <v>0</v>
      </c>
      <c r="Q227" s="5">
        <f>COUNTIF(V$5:V227,"&gt;="&amp;MAX($V:$V)-365)</f>
        <v>0</v>
      </c>
      <c r="R227" s="5" t="str" cm="1">
        <f t="array" ref="R227">LOOKUP(2,1/($G$46:$G$50&lt;=$V227)/($H$46:$H$50&gt;=$V227),$F$46:$F$50)</f>
        <v>A1</v>
      </c>
      <c r="S227" s="5" cm="1">
        <f t="array" ref="S227">LOOKUP(2,1/($G$53:$G$56&lt;=$V227)/($H$53:$H$56&gt;=$V227),$F$53:$F$56)</f>
        <v>0</v>
      </c>
      <c r="T227" s="5" t="str">
        <f>IFERROR(IF($R227&gt;0,$R227&amp;"-"&amp;COUNTIF($R$5:$R227,$R227),NA()),NA())</f>
        <v>A1-11</v>
      </c>
      <c r="U227" s="5" t="e">
        <f>IFERROR(IF($S227&gt;0,$S227&amp;"-"&amp;COUNTIF($S$5:$S227,$S227),NA()),NA())</f>
        <v>#N/A</v>
      </c>
      <c r="V227" s="10">
        <v>44294</v>
      </c>
      <c r="W227" s="9">
        <v>41866552.508361198</v>
      </c>
      <c r="X227" s="9">
        <v>50796688.158394642</v>
      </c>
      <c r="Y227" s="8">
        <v>30000000</v>
      </c>
      <c r="OB227" s="1"/>
    </row>
    <row r="228" spans="13:392" x14ac:dyDescent="0.2">
      <c r="M228" s="5" t="str" cm="1">
        <f t="array" ref="M228">LOOKUP(2,1/($G$19:$G$35&lt;=$V228)/($H$19:$H$35&gt;=$V228),$F$19:$F$35)</f>
        <v>2H21</v>
      </c>
      <c r="N228" s="5" t="str" cm="1">
        <f t="array" ref="N228">LOOKUP(2,1/($G$8:$G$16&lt;=$V228)/($H$8:$H$16&gt;=$V228),$F$8:$F$16)</f>
        <v>FY21</v>
      </c>
      <c r="O228" s="5" t="str">
        <f>IFERROR(N228&amp;"-"&amp;COUNTIF($N$5:N228,N228),NA())</f>
        <v>FY21-42</v>
      </c>
      <c r="P228" s="5">
        <f>COUNTIF(V$5:V228,"&gt;="&amp;MAX($V:$V)-183)</f>
        <v>0</v>
      </c>
      <c r="Q228" s="5">
        <f>COUNTIF(V$5:V228,"&gt;="&amp;MAX($V:$V)-365)</f>
        <v>0</v>
      </c>
      <c r="R228" s="5" t="str" cm="1">
        <f t="array" ref="R228">LOOKUP(2,1/($G$46:$G$50&lt;=$V228)/($H$46:$H$50&gt;=$V228),$F$46:$F$50)</f>
        <v>A1</v>
      </c>
      <c r="S228" s="5" cm="1">
        <f t="array" ref="S228">LOOKUP(2,1/($G$53:$G$56&lt;=$V228)/($H$53:$H$56&gt;=$V228),$F$53:$F$56)</f>
        <v>0</v>
      </c>
      <c r="T228" s="5" t="str">
        <f>IFERROR(IF($R228&gt;0,$R228&amp;"-"&amp;COUNTIF($R$5:$R228,$R228),NA()),NA())</f>
        <v>A1-12</v>
      </c>
      <c r="U228" s="5" t="e">
        <f>IFERROR(IF($S228&gt;0,$S228&amp;"-"&amp;COUNTIF($S$5:$S228,$S228),NA()),NA())</f>
        <v>#N/A</v>
      </c>
      <c r="V228" s="10">
        <v>44301</v>
      </c>
      <c r="W228" s="9">
        <v>63615309.698996648</v>
      </c>
      <c r="X228" s="9">
        <v>77184455.257792637</v>
      </c>
      <c r="Y228" s="8">
        <v>50000000</v>
      </c>
      <c r="OB228" s="1"/>
    </row>
    <row r="229" spans="13:392" x14ac:dyDescent="0.2">
      <c r="M229" s="5" t="str" cm="1">
        <f t="array" ref="M229">LOOKUP(2,1/($G$19:$G$35&lt;=$V229)/($H$19:$H$35&gt;=$V229),$F$19:$F$35)</f>
        <v>2H21</v>
      </c>
      <c r="N229" s="5" t="str" cm="1">
        <f t="array" ref="N229">LOOKUP(2,1/($G$8:$G$16&lt;=$V229)/($H$8:$H$16&gt;=$V229),$F$8:$F$16)</f>
        <v>FY21</v>
      </c>
      <c r="O229" s="5" t="str">
        <f>IFERROR(N229&amp;"-"&amp;COUNTIF($N$5:N229,N229),NA())</f>
        <v>FY21-43</v>
      </c>
      <c r="P229" s="5">
        <f>COUNTIF(V$5:V229,"&gt;="&amp;MAX($V:$V)-183)</f>
        <v>0</v>
      </c>
      <c r="Q229" s="5">
        <f>COUNTIF(V$5:V229,"&gt;="&amp;MAX($V:$V)-365)</f>
        <v>0</v>
      </c>
      <c r="R229" s="5" t="str" cm="1">
        <f t="array" ref="R229">LOOKUP(2,1/($G$46:$G$50&lt;=$V229)/($H$46:$H$50&gt;=$V229),$F$46:$F$50)</f>
        <v>A1</v>
      </c>
      <c r="S229" s="5" cm="1">
        <f t="array" ref="S229">LOOKUP(2,1/($G$53:$G$56&lt;=$V229)/($H$53:$H$56&gt;=$V229),$F$53:$F$56)</f>
        <v>0</v>
      </c>
      <c r="T229" s="5" t="str">
        <f>IFERROR(IF($R229&gt;0,$R229&amp;"-"&amp;COUNTIF($R$5:$R229,$R229),NA()),NA())</f>
        <v>A1-13</v>
      </c>
      <c r="U229" s="5" t="e">
        <f>IFERROR(IF($S229&gt;0,$S229&amp;"-"&amp;COUNTIF($S$5:$S229,$S229),NA()),NA())</f>
        <v>#N/A</v>
      </c>
      <c r="V229" s="10">
        <v>44308</v>
      </c>
      <c r="W229" s="9">
        <v>118500310.611128</v>
      </c>
      <c r="X229" s="9">
        <v>143776426.8644816</v>
      </c>
      <c r="Y229" s="8">
        <v>80000000</v>
      </c>
      <c r="OB229" s="1"/>
    </row>
    <row r="230" spans="13:392" x14ac:dyDescent="0.2">
      <c r="M230" s="5" t="str" cm="1">
        <f t="array" ref="M230">LOOKUP(2,1/($G$19:$G$35&lt;=$V230)/($H$19:$H$35&gt;=$V230),$F$19:$F$35)</f>
        <v>2H21</v>
      </c>
      <c r="N230" s="5" t="str" cm="1">
        <f t="array" ref="N230">LOOKUP(2,1/($G$8:$G$16&lt;=$V230)/($H$8:$H$16&gt;=$V230),$F$8:$F$16)</f>
        <v>FY21</v>
      </c>
      <c r="O230" s="5" t="str">
        <f>IFERROR(N230&amp;"-"&amp;COUNTIF($N$5:N230,N230),NA())</f>
        <v>FY21-44</v>
      </c>
      <c r="P230" s="5">
        <f>COUNTIF(V$5:V230,"&gt;="&amp;MAX($V:$V)-183)</f>
        <v>0</v>
      </c>
      <c r="Q230" s="5">
        <f>COUNTIF(V$5:V230,"&gt;="&amp;MAX($V:$V)-365)</f>
        <v>0</v>
      </c>
      <c r="R230" s="5" t="str" cm="1">
        <f t="array" ref="R230">LOOKUP(2,1/($G$46:$G$50&lt;=$V230)/($H$46:$H$50&gt;=$V230),$F$46:$F$50)</f>
        <v>A1</v>
      </c>
      <c r="S230" s="5" cm="1">
        <f t="array" ref="S230">LOOKUP(2,1/($G$53:$G$56&lt;=$V230)/($H$53:$H$56&gt;=$V230),$F$53:$F$56)</f>
        <v>0</v>
      </c>
      <c r="T230" s="5" t="str">
        <f>IFERROR(IF($R230&gt;0,$R230&amp;"-"&amp;COUNTIF($R$5:$R230,$R230),NA()),NA())</f>
        <v>A1-14</v>
      </c>
      <c r="U230" s="5" t="e">
        <f>IFERROR(IF($S230&gt;0,$S230&amp;"-"&amp;COUNTIF($S$5:$S230,$S230),NA()),NA())</f>
        <v>#N/A</v>
      </c>
      <c r="V230" s="10">
        <v>44315</v>
      </c>
      <c r="W230" s="9">
        <v>24573953.906962603</v>
      </c>
      <c r="X230" s="9">
        <v>29815578.275317729</v>
      </c>
      <c r="Y230" s="8">
        <v>8000000</v>
      </c>
      <c r="OB230" s="1"/>
    </row>
    <row r="231" spans="13:392" x14ac:dyDescent="0.2">
      <c r="M231" s="5" t="str" cm="1">
        <f t="array" ref="M231">LOOKUP(2,1/($G$19:$G$35&lt;=$V231)/($H$19:$H$35&gt;=$V231),$F$19:$F$35)</f>
        <v>2H21</v>
      </c>
      <c r="N231" s="5" t="str" cm="1">
        <f t="array" ref="N231">LOOKUP(2,1/($G$8:$G$16&lt;=$V231)/($H$8:$H$16&gt;=$V231),$F$8:$F$16)</f>
        <v>FY21</v>
      </c>
      <c r="O231" s="5" t="str">
        <f>IFERROR(N231&amp;"-"&amp;COUNTIF($N$5:N231,N231),NA())</f>
        <v>FY21-45</v>
      </c>
      <c r="P231" s="5">
        <f>COUNTIF(V$5:V231,"&gt;="&amp;MAX($V:$V)-183)</f>
        <v>0</v>
      </c>
      <c r="Q231" s="5">
        <f>COUNTIF(V$5:V231,"&gt;="&amp;MAX($V:$V)-365)</f>
        <v>0</v>
      </c>
      <c r="R231" s="5" t="str" cm="1">
        <f t="array" ref="R231">LOOKUP(2,1/($G$46:$G$50&lt;=$V231)/($H$46:$H$50&gt;=$V231),$F$46:$F$50)</f>
        <v>A1</v>
      </c>
      <c r="S231" s="5" cm="1">
        <f t="array" ref="S231">LOOKUP(2,1/($G$53:$G$56&lt;=$V231)/($H$53:$H$56&gt;=$V231),$F$53:$F$56)</f>
        <v>0</v>
      </c>
      <c r="T231" s="5" t="str">
        <f>IFERROR(IF($R231&gt;0,$R231&amp;"-"&amp;COUNTIF($R$5:$R231,$R231),NA()),NA())</f>
        <v>A1-15</v>
      </c>
      <c r="U231" s="5" t="e">
        <f>IFERROR(IF($S231&gt;0,$S231&amp;"-"&amp;COUNTIF($S$5:$S231,$S231),NA()),NA())</f>
        <v>#N/A</v>
      </c>
      <c r="V231" s="10">
        <v>44322</v>
      </c>
      <c r="W231" s="9">
        <v>37110605.290361807</v>
      </c>
      <c r="X231" s="9">
        <v>45026297.398795985</v>
      </c>
      <c r="Y231" s="8">
        <v>20000000</v>
      </c>
      <c r="OB231" s="1"/>
    </row>
    <row r="232" spans="13:392" x14ac:dyDescent="0.2">
      <c r="M232" s="5" t="str" cm="1">
        <f t="array" ref="M232">LOOKUP(2,1/($G$19:$G$35&lt;=$V232)/($H$19:$H$35&gt;=$V232),$F$19:$F$35)</f>
        <v>2H21</v>
      </c>
      <c r="N232" s="5" t="str" cm="1">
        <f t="array" ref="N232">LOOKUP(2,1/($G$8:$G$16&lt;=$V232)/($H$8:$H$16&gt;=$V232),$F$8:$F$16)</f>
        <v>FY21</v>
      </c>
      <c r="O232" s="5" t="str">
        <f>IFERROR(N232&amp;"-"&amp;COUNTIF($N$5:N232,N232),NA())</f>
        <v>FY21-46</v>
      </c>
      <c r="P232" s="5">
        <f>COUNTIF(V$5:V232,"&gt;="&amp;MAX($V:$V)-183)</f>
        <v>0</v>
      </c>
      <c r="Q232" s="5">
        <f>COUNTIF(V$5:V232,"&gt;="&amp;MAX($V:$V)-365)</f>
        <v>0</v>
      </c>
      <c r="R232" s="5" t="str" cm="1">
        <f t="array" ref="R232">LOOKUP(2,1/($G$46:$G$50&lt;=$V232)/($H$46:$H$50&gt;=$V232),$F$46:$F$50)</f>
        <v>A1</v>
      </c>
      <c r="S232" s="5" cm="1">
        <f t="array" ref="S232">LOOKUP(2,1/($G$53:$G$56&lt;=$V232)/($H$53:$H$56&gt;=$V232),$F$53:$F$56)</f>
        <v>0</v>
      </c>
      <c r="T232" s="5" t="str">
        <f>IFERROR(IF($R232&gt;0,$R232&amp;"-"&amp;COUNTIF($R$5:$R232,$R232),NA()),NA())</f>
        <v>A1-16</v>
      </c>
      <c r="U232" s="5" t="e">
        <f>IFERROR(IF($S232&gt;0,$S232&amp;"-"&amp;COUNTIF($S$5:$S232,$S232),NA()),NA())</f>
        <v>#N/A</v>
      </c>
      <c r="V232" s="10">
        <v>44329</v>
      </c>
      <c r="W232" s="9">
        <v>47890415.81027668</v>
      </c>
      <c r="X232" s="9">
        <v>58105441.502608694</v>
      </c>
      <c r="Y232" s="8">
        <v>30000000</v>
      </c>
      <c r="OB232" s="1"/>
    </row>
    <row r="233" spans="13:392" x14ac:dyDescent="0.2">
      <c r="M233" s="5" t="str" cm="1">
        <f t="array" ref="M233">LOOKUP(2,1/($G$19:$G$35&lt;=$V233)/($H$19:$H$35&gt;=$V233),$F$19:$F$35)</f>
        <v>2H21</v>
      </c>
      <c r="N233" s="5" t="str" cm="1">
        <f t="array" ref="N233">LOOKUP(2,1/($G$8:$G$16&lt;=$V233)/($H$8:$H$16&gt;=$V233),$F$8:$F$16)</f>
        <v>FY21</v>
      </c>
      <c r="O233" s="5" t="str">
        <f>IFERROR(N233&amp;"-"&amp;COUNTIF($N$5:N233,N233),NA())</f>
        <v>FY21-47</v>
      </c>
      <c r="P233" s="5">
        <f>COUNTIF(V$5:V233,"&gt;="&amp;MAX($V:$V)-183)</f>
        <v>0</v>
      </c>
      <c r="Q233" s="5">
        <f>COUNTIF(V$5:V233,"&gt;="&amp;MAX($V:$V)-365)</f>
        <v>0</v>
      </c>
      <c r="R233" s="5" t="str" cm="1">
        <f t="array" ref="R233">LOOKUP(2,1/($G$46:$G$50&lt;=$V233)/($H$46:$H$50&gt;=$V233),$F$46:$F$50)</f>
        <v>F1</v>
      </c>
      <c r="S233" s="5" cm="1">
        <f t="array" ref="S233">LOOKUP(2,1/($G$53:$G$56&lt;=$V233)/($H$53:$H$56&gt;=$V233),$F$53:$F$56)</f>
        <v>0</v>
      </c>
      <c r="T233" s="5" t="str">
        <f>IFERROR(IF($R233&gt;0,$R233&amp;"-"&amp;COUNTIF($R$5:$R233,$R233),NA()),NA())</f>
        <v>F1-1</v>
      </c>
      <c r="U233" s="5" t="e">
        <f>IFERROR(IF($S233&gt;0,$S233&amp;"-"&amp;COUNTIF($S$5:$S233,$S233),NA()),NA())</f>
        <v>#N/A</v>
      </c>
      <c r="V233" s="10">
        <v>44336</v>
      </c>
      <c r="W233" s="9">
        <v>18569740.589844935</v>
      </c>
      <c r="X233" s="9">
        <v>22530666.257658862</v>
      </c>
      <c r="Y233" s="8">
        <v>3000000</v>
      </c>
      <c r="OB233" s="1"/>
    </row>
    <row r="234" spans="13:392" x14ac:dyDescent="0.2">
      <c r="M234" s="5" t="str" cm="1">
        <f t="array" ref="M234">LOOKUP(2,1/($G$19:$G$35&lt;=$V234)/($H$19:$H$35&gt;=$V234),$F$19:$F$35)</f>
        <v>2H21</v>
      </c>
      <c r="N234" s="5" t="str" cm="1">
        <f t="array" ref="N234">LOOKUP(2,1/($G$8:$G$16&lt;=$V234)/($H$8:$H$16&gt;=$V234),$F$8:$F$16)</f>
        <v>FY21</v>
      </c>
      <c r="O234" s="5" t="str">
        <f>IFERROR(N234&amp;"-"&amp;COUNTIF($N$5:N234,N234),NA())</f>
        <v>FY21-48</v>
      </c>
      <c r="P234" s="5">
        <f>COUNTIF(V$5:V234,"&gt;="&amp;MAX($V:$V)-183)</f>
        <v>0</v>
      </c>
      <c r="Q234" s="5">
        <f>COUNTIF(V$5:V234,"&gt;="&amp;MAX($V:$V)-365)</f>
        <v>0</v>
      </c>
      <c r="R234" s="5" t="str" cm="1">
        <f t="array" ref="R234">LOOKUP(2,1/($G$46:$G$50&lt;=$V234)/($H$46:$H$50&gt;=$V234),$F$46:$F$50)</f>
        <v>F1</v>
      </c>
      <c r="S234" s="5" cm="1">
        <f t="array" ref="S234">LOOKUP(2,1/($G$53:$G$56&lt;=$V234)/($H$53:$H$56&gt;=$V234),$F$53:$F$56)</f>
        <v>0</v>
      </c>
      <c r="T234" s="5" t="str">
        <f>IFERROR(IF($R234&gt;0,$R234&amp;"-"&amp;COUNTIF($R$5:$R234,$R234),NA()),NA())</f>
        <v>F1-2</v>
      </c>
      <c r="U234" s="5" t="e">
        <f>IFERROR(IF($S234&gt;0,$S234&amp;"-"&amp;COUNTIF($S$5:$S234,$S234),NA()),NA())</f>
        <v>#N/A</v>
      </c>
      <c r="V234" s="10">
        <v>44343</v>
      </c>
      <c r="W234" s="9">
        <v>25429040.072970506</v>
      </c>
      <c r="X234" s="9">
        <v>30853054.320535116</v>
      </c>
      <c r="Y234" s="8">
        <v>8000000</v>
      </c>
      <c r="OB234" s="1"/>
    </row>
    <row r="235" spans="13:392" x14ac:dyDescent="0.2">
      <c r="M235" s="5" t="str" cm="1">
        <f t="array" ref="M235">LOOKUP(2,1/($G$19:$G$35&lt;=$V235)/($H$19:$H$35&gt;=$V235),$F$19:$F$35)</f>
        <v>2H21</v>
      </c>
      <c r="N235" s="5" t="str" cm="1">
        <f t="array" ref="N235">LOOKUP(2,1/($G$8:$G$16&lt;=$V235)/($H$8:$H$16&gt;=$V235),$F$8:$F$16)</f>
        <v>FY21</v>
      </c>
      <c r="O235" s="5" t="str">
        <f>IFERROR(N235&amp;"-"&amp;COUNTIF($N$5:N235,N235),NA())</f>
        <v>FY21-49</v>
      </c>
      <c r="P235" s="5">
        <f>COUNTIF(V$5:V235,"&gt;="&amp;MAX($V:$V)-183)</f>
        <v>0</v>
      </c>
      <c r="Q235" s="5">
        <f>COUNTIF(V$5:V235,"&gt;="&amp;MAX($V:$V)-365)</f>
        <v>0</v>
      </c>
      <c r="R235" s="5" t="str" cm="1">
        <f t="array" ref="R235">LOOKUP(2,1/($G$46:$G$50&lt;=$V235)/($H$46:$H$50&gt;=$V235),$F$46:$F$50)</f>
        <v>F1</v>
      </c>
      <c r="S235" s="5" cm="1">
        <f t="array" ref="S235">LOOKUP(2,1/($G$53:$G$56&lt;=$V235)/($H$53:$H$56&gt;=$V235),$F$53:$F$56)</f>
        <v>0</v>
      </c>
      <c r="T235" s="5" t="str">
        <f>IFERROR(IF($R235&gt;0,$R235&amp;"-"&amp;COUNTIF($R$5:$R235,$R235),NA()),NA())</f>
        <v>F1-3</v>
      </c>
      <c r="U235" s="5" t="e">
        <f>IFERROR(IF($S235&gt;0,$S235&amp;"-"&amp;COUNTIF($S$5:$S235,$S235),NA()),NA())</f>
        <v>#N/A</v>
      </c>
      <c r="V235" s="10">
        <v>44350</v>
      </c>
      <c r="W235" s="9">
        <v>17730661.964122836</v>
      </c>
      <c r="X235" s="9">
        <v>21512612.161070239</v>
      </c>
      <c r="Y235" s="8">
        <v>3000000</v>
      </c>
      <c r="OB235" s="1"/>
    </row>
    <row r="236" spans="13:392" x14ac:dyDescent="0.2">
      <c r="M236" s="5" t="str" cm="1">
        <f t="array" ref="M236">LOOKUP(2,1/($G$19:$G$35&lt;=$V236)/($H$19:$H$35&gt;=$V236),$F$19:$F$35)</f>
        <v>2H21</v>
      </c>
      <c r="N236" s="5" t="str" cm="1">
        <f t="array" ref="N236">LOOKUP(2,1/($G$8:$G$16&lt;=$V236)/($H$8:$H$16&gt;=$V236),$F$8:$F$16)</f>
        <v>FY21</v>
      </c>
      <c r="O236" s="5" t="str">
        <f>IFERROR(N236&amp;"-"&amp;COUNTIF($N$5:N236,N236),NA())</f>
        <v>FY21-50</v>
      </c>
      <c r="P236" s="5">
        <f>COUNTIF(V$5:V236,"&gt;="&amp;MAX($V:$V)-183)</f>
        <v>0</v>
      </c>
      <c r="Q236" s="5">
        <f>COUNTIF(V$5:V236,"&gt;="&amp;MAX($V:$V)-365)</f>
        <v>0</v>
      </c>
      <c r="R236" s="5" t="str" cm="1">
        <f t="array" ref="R236">LOOKUP(2,1/($G$46:$G$50&lt;=$V236)/($H$46:$H$50&gt;=$V236),$F$46:$F$50)</f>
        <v>F1</v>
      </c>
      <c r="S236" s="5" cm="1">
        <f t="array" ref="S236">LOOKUP(2,1/($G$53:$G$56&lt;=$V236)/($H$53:$H$56&gt;=$V236),$F$53:$F$56)</f>
        <v>0</v>
      </c>
      <c r="T236" s="5" t="str">
        <f>IFERROR(IF($R236&gt;0,$R236&amp;"-"&amp;COUNTIF($R$5:$R236,$R236),NA()),NA())</f>
        <v>F1-4</v>
      </c>
      <c r="U236" s="5" t="e">
        <f>IFERROR(IF($S236&gt;0,$S236&amp;"-"&amp;COUNTIF($S$5:$S236,$S236),NA()),NA())</f>
        <v>#N/A</v>
      </c>
      <c r="V236" s="10">
        <v>44357</v>
      </c>
      <c r="W236" s="9">
        <v>23443848.707813926</v>
      </c>
      <c r="X236" s="9">
        <v>28444421.637190636</v>
      </c>
      <c r="Y236" s="8">
        <v>8000000</v>
      </c>
      <c r="OB236" s="1"/>
    </row>
    <row r="237" spans="13:392" x14ac:dyDescent="0.2">
      <c r="M237" s="5" t="str" cm="1">
        <f t="array" ref="M237">LOOKUP(2,1/($G$19:$G$35&lt;=$V237)/($H$19:$H$35&gt;=$V237),$F$19:$F$35)</f>
        <v>2H21</v>
      </c>
      <c r="N237" s="5" t="str" cm="1">
        <f t="array" ref="N237">LOOKUP(2,1/($G$8:$G$16&lt;=$V237)/($H$8:$H$16&gt;=$V237),$F$8:$F$16)</f>
        <v>FY21</v>
      </c>
      <c r="O237" s="5" t="str">
        <f>IFERROR(N237&amp;"-"&amp;COUNTIF($N$5:N237,N237),NA())</f>
        <v>FY21-51</v>
      </c>
      <c r="P237" s="5">
        <f>COUNTIF(V$5:V237,"&gt;="&amp;MAX($V:$V)-183)</f>
        <v>0</v>
      </c>
      <c r="Q237" s="5">
        <f>COUNTIF(V$5:V237,"&gt;="&amp;MAX($V:$V)-365)</f>
        <v>0</v>
      </c>
      <c r="R237" s="5" t="str" cm="1">
        <f t="array" ref="R237">LOOKUP(2,1/($G$46:$G$50&lt;=$V237)/($H$46:$H$50&gt;=$V237),$F$46:$F$50)</f>
        <v>F1</v>
      </c>
      <c r="S237" s="5" cm="1">
        <f t="array" ref="S237">LOOKUP(2,1/($G$53:$G$56&lt;=$V237)/($H$53:$H$56&gt;=$V237),$F$53:$F$56)</f>
        <v>0</v>
      </c>
      <c r="T237" s="5" t="str">
        <f>IFERROR(IF($R237&gt;0,$R237&amp;"-"&amp;COUNTIF($R$5:$R237,$R237),NA()),NA())</f>
        <v>F1-5</v>
      </c>
      <c r="U237" s="5" t="e">
        <f>IFERROR(IF($S237&gt;0,$S237&amp;"-"&amp;COUNTIF($S$5:$S237,$S237),NA()),NA())</f>
        <v>#N/A</v>
      </c>
      <c r="V237" s="10">
        <v>44364</v>
      </c>
      <c r="W237" s="9">
        <v>36861438.491942838</v>
      </c>
      <c r="X237" s="9">
        <v>44723983.322274245</v>
      </c>
      <c r="Y237" s="8">
        <v>20000000</v>
      </c>
      <c r="OB237" s="1"/>
    </row>
    <row r="238" spans="13:392" x14ac:dyDescent="0.2">
      <c r="M238" s="5" t="str" cm="1">
        <f t="array" ref="M238">LOOKUP(2,1/($G$19:$G$35&lt;=$V238)/($H$19:$H$35&gt;=$V238),$F$19:$F$35)</f>
        <v>2H21</v>
      </c>
      <c r="N238" s="5" t="str" cm="1">
        <f t="array" ref="N238">LOOKUP(2,1/($G$8:$G$16&lt;=$V238)/($H$8:$H$16&gt;=$V238),$F$8:$F$16)</f>
        <v>FY21</v>
      </c>
      <c r="O238" s="5" t="str">
        <f>IFERROR(N238&amp;"-"&amp;COUNTIF($N$5:N238,N238),NA())</f>
        <v>FY21-52</v>
      </c>
      <c r="P238" s="5">
        <f>COUNTIF(V$5:V238,"&gt;="&amp;MAX($V:$V)-183)</f>
        <v>0</v>
      </c>
      <c r="Q238" s="5">
        <f>COUNTIF(V$5:V238,"&gt;="&amp;MAX($V:$V)-365)</f>
        <v>0</v>
      </c>
      <c r="R238" s="5" t="str" cm="1">
        <f t="array" ref="R238">LOOKUP(2,1/($G$46:$G$50&lt;=$V238)/($H$46:$H$50&gt;=$V238),$F$46:$F$50)</f>
        <v>F1</v>
      </c>
      <c r="S238" s="5" cm="1">
        <f t="array" ref="S238">LOOKUP(2,1/($G$53:$G$56&lt;=$V238)/($H$53:$H$56&gt;=$V238),$F$53:$F$56)</f>
        <v>0</v>
      </c>
      <c r="T238" s="5" t="str">
        <f>IFERROR(IF($R238&gt;0,$R238&amp;"-"&amp;COUNTIF($R$5:$R238,$R238),NA()),NA())</f>
        <v>F1-6</v>
      </c>
      <c r="U238" s="5" t="e">
        <f>IFERROR(IF($S238&gt;0,$S238&amp;"-"&amp;COUNTIF($S$5:$S238,$S238),NA()),NA())</f>
        <v>#N/A</v>
      </c>
      <c r="V238" s="10">
        <v>44371</v>
      </c>
      <c r="W238" s="9">
        <v>55754455.457585886</v>
      </c>
      <c r="X238" s="9">
        <v>67646880.806688964</v>
      </c>
      <c r="Y238" s="8">
        <v>40000000</v>
      </c>
      <c r="OB238" s="1"/>
    </row>
    <row r="239" spans="13:392" x14ac:dyDescent="0.2">
      <c r="M239" s="5" t="str" cm="1">
        <f t="array" ref="M239">LOOKUP(2,1/($G$19:$G$35&lt;=$V239)/($H$19:$H$35&gt;=$V239),$F$19:$F$35)</f>
        <v>1H22</v>
      </c>
      <c r="N239" s="5" t="str" cm="1">
        <f t="array" ref="N239">LOOKUP(2,1/($G$8:$G$16&lt;=$V239)/($H$8:$H$16&gt;=$V239),$F$8:$F$16)</f>
        <v>FY22</v>
      </c>
      <c r="O239" s="5" t="str">
        <f>IFERROR(N239&amp;"-"&amp;COUNTIF($N$5:N239,N239),NA())</f>
        <v>FY22-1</v>
      </c>
      <c r="P239" s="5">
        <f>COUNTIF(V$5:V239,"&gt;="&amp;MAX($V:$V)-183)</f>
        <v>0</v>
      </c>
      <c r="Q239" s="5">
        <f>COUNTIF(V$5:V239,"&gt;="&amp;MAX($V:$V)-365)</f>
        <v>0</v>
      </c>
      <c r="R239" s="5" t="str" cm="1">
        <f t="array" ref="R239">LOOKUP(2,1/($G$46:$G$50&lt;=$V239)/($H$46:$H$50&gt;=$V239),$F$46:$F$50)</f>
        <v>F1</v>
      </c>
      <c r="S239" s="5" cm="1">
        <f t="array" ref="S239">LOOKUP(2,1/($G$53:$G$56&lt;=$V239)/($H$53:$H$56&gt;=$V239),$F$53:$F$56)</f>
        <v>0</v>
      </c>
      <c r="T239" s="5" t="str">
        <f>IFERROR(IF($R239&gt;0,$R239&amp;"-"&amp;COUNTIF($R$5:$R239,$R239),NA()),NA())</f>
        <v>F1-7</v>
      </c>
      <c r="U239" s="5" t="e">
        <f>IFERROR(IF($S239&gt;0,$S239&amp;"-"&amp;COUNTIF($S$5:$S239,$S239),NA()),NA())</f>
        <v>#N/A</v>
      </c>
      <c r="V239" s="10">
        <v>44378</v>
      </c>
      <c r="W239" s="9">
        <v>77623219.458802059</v>
      </c>
      <c r="X239" s="9">
        <v>94180252.169364542</v>
      </c>
      <c r="Y239" s="8">
        <v>60000000</v>
      </c>
      <c r="OB239" s="1"/>
    </row>
    <row r="240" spans="13:392" x14ac:dyDescent="0.2">
      <c r="M240" s="5" t="str" cm="1">
        <f t="array" ref="M240">LOOKUP(2,1/($G$19:$G$35&lt;=$V240)/($H$19:$H$35&gt;=$V240),$F$19:$F$35)</f>
        <v>1H22</v>
      </c>
      <c r="N240" s="5" t="str" cm="1">
        <f t="array" ref="N240">LOOKUP(2,1/($G$8:$G$16&lt;=$V240)/($H$8:$H$16&gt;=$V240),$F$8:$F$16)</f>
        <v>FY22</v>
      </c>
      <c r="O240" s="5" t="str">
        <f>IFERROR(N240&amp;"-"&amp;COUNTIF($N$5:N240,N240),NA())</f>
        <v>FY22-2</v>
      </c>
      <c r="P240" s="5">
        <f>COUNTIF(V$5:V240,"&gt;="&amp;MAX($V:$V)-183)</f>
        <v>0</v>
      </c>
      <c r="Q240" s="5">
        <f>COUNTIF(V$5:V240,"&gt;="&amp;MAX($V:$V)-365)</f>
        <v>0</v>
      </c>
      <c r="R240" s="5" t="str" cm="1">
        <f t="array" ref="R240">LOOKUP(2,1/($G$46:$G$50&lt;=$V240)/($H$46:$H$50&gt;=$V240),$F$46:$F$50)</f>
        <v>F1</v>
      </c>
      <c r="S240" s="5" cm="1">
        <f t="array" ref="S240">LOOKUP(2,1/($G$53:$G$56&lt;=$V240)/($H$53:$H$56&gt;=$V240),$F$53:$F$56)</f>
        <v>0</v>
      </c>
      <c r="T240" s="5" t="str">
        <f>IFERROR(IF($R240&gt;0,$R240&amp;"-"&amp;COUNTIF($R$5:$R240,$R240),NA()),NA())</f>
        <v>F1-8</v>
      </c>
      <c r="U240" s="5" t="e">
        <f>IFERROR(IF($S240&gt;0,$S240&amp;"-"&amp;COUNTIF($S$5:$S240,$S240),NA()),NA())</f>
        <v>#N/A</v>
      </c>
      <c r="V240" s="10">
        <v>44385</v>
      </c>
      <c r="W240" s="9">
        <v>18162558.102766801</v>
      </c>
      <c r="X240" s="9">
        <v>22036631.746086959</v>
      </c>
      <c r="Y240" s="8">
        <v>3000000</v>
      </c>
      <c r="OB240" s="1"/>
    </row>
    <row r="241" spans="13:392" x14ac:dyDescent="0.2">
      <c r="M241" s="5" t="str" cm="1">
        <f t="array" ref="M241">LOOKUP(2,1/($G$19:$G$35&lt;=$V241)/($H$19:$H$35&gt;=$V241),$F$19:$F$35)</f>
        <v>1H22</v>
      </c>
      <c r="N241" s="5" t="str" cm="1">
        <f t="array" ref="N241">LOOKUP(2,1/($G$8:$G$16&lt;=$V241)/($H$8:$H$16&gt;=$V241),$F$8:$F$16)</f>
        <v>FY22</v>
      </c>
      <c r="O241" s="5" t="str">
        <f>IFERROR(N241&amp;"-"&amp;COUNTIF($N$5:N241,N241),NA())</f>
        <v>FY22-3</v>
      </c>
      <c r="P241" s="5">
        <f>COUNTIF(V$5:V241,"&gt;="&amp;MAX($V:$V)-183)</f>
        <v>0</v>
      </c>
      <c r="Q241" s="5">
        <f>COUNTIF(V$5:V241,"&gt;="&amp;MAX($V:$V)-365)</f>
        <v>0</v>
      </c>
      <c r="R241" s="5" t="str" cm="1">
        <f t="array" ref="R241">LOOKUP(2,1/($G$46:$G$50&lt;=$V241)/($H$46:$H$50&gt;=$V241),$F$46:$F$50)</f>
        <v>F1</v>
      </c>
      <c r="S241" s="5" cm="1">
        <f t="array" ref="S241">LOOKUP(2,1/($G$53:$G$56&lt;=$V241)/($H$53:$H$56&gt;=$V241),$F$53:$F$56)</f>
        <v>0</v>
      </c>
      <c r="T241" s="5" t="str">
        <f>IFERROR(IF($R241&gt;0,$R241&amp;"-"&amp;COUNTIF($R$5:$R241,$R241),NA()),NA())</f>
        <v>F1-9</v>
      </c>
      <c r="U241" s="5" t="e">
        <f>IFERROR(IF($S241&gt;0,$S241&amp;"-"&amp;COUNTIF($S$5:$S241,$S241),NA()),NA())</f>
        <v>#N/A</v>
      </c>
      <c r="V241" s="10">
        <v>44392</v>
      </c>
      <c r="W241" s="9">
        <v>25998846.336272418</v>
      </c>
      <c r="X241" s="9">
        <v>31544400.259799328</v>
      </c>
      <c r="Y241" s="8">
        <v>8000000</v>
      </c>
      <c r="OB241" s="1"/>
    </row>
    <row r="242" spans="13:392" x14ac:dyDescent="0.2">
      <c r="M242" s="5" t="str" cm="1">
        <f t="array" ref="M242">LOOKUP(2,1/($G$19:$G$35&lt;=$V242)/($H$19:$H$35&gt;=$V242),$F$19:$F$35)</f>
        <v>1H22</v>
      </c>
      <c r="N242" s="5" t="str" cm="1">
        <f t="array" ref="N242">LOOKUP(2,1/($G$8:$G$16&lt;=$V242)/($H$8:$H$16&gt;=$V242),$F$8:$F$16)</f>
        <v>FY22</v>
      </c>
      <c r="O242" s="5" t="str">
        <f>IFERROR(N242&amp;"-"&amp;COUNTIF($N$5:N242,N242),NA())</f>
        <v>FY22-4</v>
      </c>
      <c r="P242" s="5">
        <f>COUNTIF(V$5:V242,"&gt;="&amp;MAX($V:$V)-183)</f>
        <v>0</v>
      </c>
      <c r="Q242" s="5">
        <f>COUNTIF(V$5:V242,"&gt;="&amp;MAX($V:$V)-365)</f>
        <v>0</v>
      </c>
      <c r="R242" s="5" t="str" cm="1">
        <f t="array" ref="R242">LOOKUP(2,1/($G$46:$G$50&lt;=$V242)/($H$46:$H$50&gt;=$V242),$F$46:$F$50)</f>
        <v>F1</v>
      </c>
      <c r="S242" s="5" cm="1">
        <f t="array" ref="S242">LOOKUP(2,1/($G$53:$G$56&lt;=$V242)/($H$53:$H$56&gt;=$V242),$F$53:$F$56)</f>
        <v>0</v>
      </c>
      <c r="T242" s="5" t="str">
        <f>IFERROR(IF($R242&gt;0,$R242&amp;"-"&amp;COUNTIF($R$5:$R242,$R242),NA()),NA())</f>
        <v>F1-10</v>
      </c>
      <c r="U242" s="5" t="e">
        <f>IFERROR(IF($S242&gt;0,$S242&amp;"-"&amp;COUNTIF($S$5:$S242,$S242),NA()),NA())</f>
        <v>#N/A</v>
      </c>
      <c r="V242" s="10">
        <v>44399</v>
      </c>
      <c r="W242" s="9">
        <v>41039352.751596227</v>
      </c>
      <c r="X242" s="9">
        <v>49793046.693511702</v>
      </c>
      <c r="Y242" s="8">
        <v>20000000</v>
      </c>
      <c r="OB242" s="1"/>
    </row>
    <row r="243" spans="13:392" x14ac:dyDescent="0.2">
      <c r="M243" s="5" t="str" cm="1">
        <f t="array" ref="M243">LOOKUP(2,1/($G$19:$G$35&lt;=$V243)/($H$19:$H$35&gt;=$V243),$F$19:$F$35)</f>
        <v>1H22</v>
      </c>
      <c r="N243" s="5" t="str" cm="1">
        <f t="array" ref="N243">LOOKUP(2,1/($G$8:$G$16&lt;=$V243)/($H$8:$H$16&gt;=$V243),$F$8:$F$16)</f>
        <v>FY22</v>
      </c>
      <c r="O243" s="5" t="str">
        <f>IFERROR(N243&amp;"-"&amp;COUNTIF($N$5:N243,N243),NA())</f>
        <v>FY22-5</v>
      </c>
      <c r="P243" s="5">
        <f>COUNTIF(V$5:V243,"&gt;="&amp;MAX($V:$V)-183)</f>
        <v>0</v>
      </c>
      <c r="Q243" s="5">
        <f>COUNTIF(V$5:V243,"&gt;="&amp;MAX($V:$V)-365)</f>
        <v>0</v>
      </c>
      <c r="R243" s="5" t="str" cm="1">
        <f t="array" ref="R243">LOOKUP(2,1/($G$46:$G$50&lt;=$V243)/($H$46:$H$50&gt;=$V243),$F$46:$F$50)</f>
        <v>F1</v>
      </c>
      <c r="S243" s="5" cm="1">
        <f t="array" ref="S243">LOOKUP(2,1/($G$53:$G$56&lt;=$V243)/($H$53:$H$56&gt;=$V243),$F$53:$F$56)</f>
        <v>0</v>
      </c>
      <c r="T243" s="5" t="str">
        <f>IFERROR(IF($R243&gt;0,$R243&amp;"-"&amp;COUNTIF($R$5:$R243,$R243),NA()),NA())</f>
        <v>F1-11</v>
      </c>
      <c r="U243" s="5" t="e">
        <f>IFERROR(IF($S243&gt;0,$S243&amp;"-"&amp;COUNTIF($S$5:$S243,$S243),NA()),NA())</f>
        <v>#N/A</v>
      </c>
      <c r="V243" s="10">
        <v>44406</v>
      </c>
      <c r="W243" s="9">
        <v>57263651.200972937</v>
      </c>
      <c r="X243" s="9">
        <v>69477988.002140462</v>
      </c>
      <c r="Y243" s="8">
        <v>40000000</v>
      </c>
      <c r="OB243" s="1"/>
    </row>
    <row r="244" spans="13:392" x14ac:dyDescent="0.2">
      <c r="M244" s="5" t="str" cm="1">
        <f t="array" ref="M244">LOOKUP(2,1/($G$19:$G$35&lt;=$V244)/($H$19:$H$35&gt;=$V244),$F$19:$F$35)</f>
        <v>1H22</v>
      </c>
      <c r="N244" s="5" t="str" cm="1">
        <f t="array" ref="N244">LOOKUP(2,1/($G$8:$G$16&lt;=$V244)/($H$8:$H$16&gt;=$V244),$F$8:$F$16)</f>
        <v>FY22</v>
      </c>
      <c r="O244" s="5" t="str">
        <f>IFERROR(N244&amp;"-"&amp;COUNTIF($N$5:N244,N244),NA())</f>
        <v>FY22-6</v>
      </c>
      <c r="P244" s="5">
        <f>COUNTIF(V$5:V244,"&gt;="&amp;MAX($V:$V)-183)</f>
        <v>0</v>
      </c>
      <c r="Q244" s="5">
        <f>COUNTIF(V$5:V244,"&gt;="&amp;MAX($V:$V)-365)</f>
        <v>0</v>
      </c>
      <c r="R244" s="5" t="str" cm="1">
        <f t="array" ref="R244">LOOKUP(2,1/($G$46:$G$50&lt;=$V244)/($H$46:$H$50&gt;=$V244),$F$46:$F$50)</f>
        <v>F1</v>
      </c>
      <c r="S244" s="5" cm="1">
        <f t="array" ref="S244">LOOKUP(2,1/($G$53:$G$56&lt;=$V244)/($H$53:$H$56&gt;=$V244),$F$53:$F$56)</f>
        <v>0</v>
      </c>
      <c r="T244" s="5" t="str">
        <f>IFERROR(IF($R244&gt;0,$R244&amp;"-"&amp;COUNTIF($R$5:$R244,$R244),NA()),NA())</f>
        <v>F1-12</v>
      </c>
      <c r="U244" s="5" t="e">
        <f>IFERROR(IF($S244&gt;0,$S244&amp;"-"&amp;COUNTIF($S$5:$S244,$S244),NA()),NA())</f>
        <v>#N/A</v>
      </c>
      <c r="V244" s="10">
        <v>44413</v>
      </c>
      <c r="W244" s="9">
        <v>80092385.770750985</v>
      </c>
      <c r="X244" s="9">
        <v>97176091.65565218</v>
      </c>
      <c r="Y244" s="8">
        <v>60000000</v>
      </c>
      <c r="OB244" s="1"/>
    </row>
    <row r="245" spans="13:392" x14ac:dyDescent="0.2">
      <c r="M245" s="5" t="str" cm="1">
        <f t="array" ref="M245">LOOKUP(2,1/($G$19:$G$35&lt;=$V245)/($H$19:$H$35&gt;=$V245),$F$19:$F$35)</f>
        <v>1H22</v>
      </c>
      <c r="N245" s="5" t="str" cm="1">
        <f t="array" ref="N245">LOOKUP(2,1/($G$8:$G$16&lt;=$V245)/($H$8:$H$16&gt;=$V245),$F$8:$F$16)</f>
        <v>FY22</v>
      </c>
      <c r="O245" s="5" t="str">
        <f>IFERROR(N245&amp;"-"&amp;COUNTIF($N$5:N245,N245),NA())</f>
        <v>FY22-7</v>
      </c>
      <c r="P245" s="5">
        <f>COUNTIF(V$5:V245,"&gt;="&amp;MAX($V:$V)-183)</f>
        <v>0</v>
      </c>
      <c r="Q245" s="5">
        <f>COUNTIF(V$5:V245,"&gt;="&amp;MAX($V:$V)-365)</f>
        <v>0</v>
      </c>
      <c r="R245" s="5" t="str" cm="1">
        <f t="array" ref="R245">LOOKUP(2,1/($G$46:$G$50&lt;=$V245)/($H$46:$H$50&gt;=$V245),$F$46:$F$50)</f>
        <v>F1</v>
      </c>
      <c r="S245" s="5" cm="1">
        <f t="array" ref="S245">LOOKUP(2,1/($G$53:$G$56&lt;=$V245)/($H$53:$H$56&gt;=$V245),$F$53:$F$56)</f>
        <v>0</v>
      </c>
      <c r="T245" s="5" t="str">
        <f>IFERROR(IF($R245&gt;0,$R245&amp;"-"&amp;COUNTIF($R$5:$R245,$R245),NA()),NA())</f>
        <v>F1-13</v>
      </c>
      <c r="U245" s="5" t="e">
        <f>IFERROR(IF($S245&gt;0,$S245&amp;"-"&amp;COUNTIF($S$5:$S245,$S245),NA()),NA())</f>
        <v>#N/A</v>
      </c>
      <c r="V245" s="10">
        <v>44420</v>
      </c>
      <c r="W245" s="9">
        <v>125405739.86013986</v>
      </c>
      <c r="X245" s="9">
        <v>152154784.1723077</v>
      </c>
      <c r="Y245" s="8">
        <v>80000000</v>
      </c>
      <c r="OB245" s="1"/>
    </row>
    <row r="246" spans="13:392" x14ac:dyDescent="0.2">
      <c r="M246" s="5" t="str" cm="1">
        <f t="array" ref="M246">LOOKUP(2,1/($G$19:$G$35&lt;=$V246)/($H$19:$H$35&gt;=$V246),$F$19:$F$35)</f>
        <v>1H22</v>
      </c>
      <c r="N246" s="5" t="str" cm="1">
        <f t="array" ref="N246">LOOKUP(2,1/($G$8:$G$16&lt;=$V246)/($H$8:$H$16&gt;=$V246),$F$8:$F$16)</f>
        <v>FY22</v>
      </c>
      <c r="O246" s="5" t="str">
        <f>IFERROR(N246&amp;"-"&amp;COUNTIF($N$5:N246,N246),NA())</f>
        <v>FY22-8</v>
      </c>
      <c r="P246" s="5">
        <f>COUNTIF(V$5:V246,"&gt;="&amp;MAX($V:$V)-183)</f>
        <v>0</v>
      </c>
      <c r="Q246" s="5">
        <f>COUNTIF(V$5:V246,"&gt;="&amp;MAX($V:$V)-365)</f>
        <v>0</v>
      </c>
      <c r="R246" s="5" t="str" cm="1">
        <f t="array" ref="R246">LOOKUP(2,1/($G$46:$G$50&lt;=$V246)/($H$46:$H$50&gt;=$V246),$F$46:$F$50)</f>
        <v>F1</v>
      </c>
      <c r="S246" s="5" cm="1">
        <f t="array" ref="S246">LOOKUP(2,1/($G$53:$G$56&lt;=$V246)/($H$53:$H$56&gt;=$V246),$F$53:$F$56)</f>
        <v>0</v>
      </c>
      <c r="T246" s="5" t="str">
        <f>IFERROR(IF($R246&gt;0,$R246&amp;"-"&amp;COUNTIF($R$5:$R246,$R246),NA()),NA())</f>
        <v>F1-14</v>
      </c>
      <c r="U246" s="5" t="e">
        <f>IFERROR(IF($S246&gt;0,$S246&amp;"-"&amp;COUNTIF($S$5:$S246,$S246),NA()),NA())</f>
        <v>#N/A</v>
      </c>
      <c r="V246" s="10">
        <v>44427</v>
      </c>
      <c r="W246" s="9">
        <v>20220383.581635755</v>
      </c>
      <c r="X246" s="9">
        <v>24533391.399598662</v>
      </c>
      <c r="Y246" s="8">
        <v>3000000</v>
      </c>
      <c r="OB246" s="1"/>
    </row>
    <row r="247" spans="13:392" x14ac:dyDescent="0.2">
      <c r="M247" s="5" t="str" cm="1">
        <f t="array" ref="M247">LOOKUP(2,1/($G$19:$G$35&lt;=$V247)/($H$19:$H$35&gt;=$V247),$F$19:$F$35)</f>
        <v>1H22</v>
      </c>
      <c r="N247" s="5" t="str" cm="1">
        <f t="array" ref="N247">LOOKUP(2,1/($G$8:$G$16&lt;=$V247)/($H$8:$H$16&gt;=$V247),$F$8:$F$16)</f>
        <v>FY22</v>
      </c>
      <c r="O247" s="5" t="str">
        <f>IFERROR(N247&amp;"-"&amp;COUNTIF($N$5:N247,N247),NA())</f>
        <v>FY22-9</v>
      </c>
      <c r="P247" s="5">
        <f>COUNTIF(V$5:V247,"&gt;="&amp;MAX($V:$V)-183)</f>
        <v>0</v>
      </c>
      <c r="Q247" s="5">
        <f>COUNTIF(V$5:V247,"&gt;="&amp;MAX($V:$V)-365)</f>
        <v>0</v>
      </c>
      <c r="R247" s="5" t="str" cm="1">
        <f t="array" ref="R247">LOOKUP(2,1/($G$46:$G$50&lt;=$V247)/($H$46:$H$50&gt;=$V247),$F$46:$F$50)</f>
        <v>F1</v>
      </c>
      <c r="S247" s="5" cm="1">
        <f t="array" ref="S247">LOOKUP(2,1/($G$53:$G$56&lt;=$V247)/($H$53:$H$56&gt;=$V247),$F$53:$F$56)</f>
        <v>0</v>
      </c>
      <c r="T247" s="5" t="str">
        <f>IFERROR(IF($R247&gt;0,$R247&amp;"-"&amp;COUNTIF($R$5:$R247,$R247),NA()),NA())</f>
        <v>F1-15</v>
      </c>
      <c r="U247" s="5" t="e">
        <f>IFERROR(IF($S247&gt;0,$S247&amp;"-"&amp;COUNTIF($S$5:$S247,$S247),NA()),NA())</f>
        <v>#N/A</v>
      </c>
      <c r="V247" s="10">
        <v>44434</v>
      </c>
      <c r="W247" s="9">
        <v>29212562.35937975</v>
      </c>
      <c r="X247" s="9">
        <v>35443601.910635449</v>
      </c>
      <c r="Y247" s="8">
        <v>8000000</v>
      </c>
      <c r="OB247" s="1"/>
    </row>
    <row r="248" spans="13:392" x14ac:dyDescent="0.2">
      <c r="M248" s="5" t="str" cm="1">
        <f t="array" ref="M248">LOOKUP(2,1/($G$19:$G$35&lt;=$V248)/($H$19:$H$35&gt;=$V248),$F$19:$F$35)</f>
        <v>1H22</v>
      </c>
      <c r="N248" s="5" t="str" cm="1">
        <f t="array" ref="N248">LOOKUP(2,1/($G$8:$G$16&lt;=$V248)/($H$8:$H$16&gt;=$V248),$F$8:$F$16)</f>
        <v>FY22</v>
      </c>
      <c r="O248" s="5" t="str">
        <f>IFERROR(N248&amp;"-"&amp;COUNTIF($N$5:N248,N248),NA())</f>
        <v>FY22-10</v>
      </c>
      <c r="P248" s="5">
        <f>COUNTIF(V$5:V248,"&gt;="&amp;MAX($V:$V)-183)</f>
        <v>0</v>
      </c>
      <c r="Q248" s="5">
        <f>COUNTIF(V$5:V248,"&gt;="&amp;MAX($V:$V)-365)</f>
        <v>0</v>
      </c>
      <c r="R248" s="5" t="str" cm="1">
        <f t="array" ref="R248">LOOKUP(2,1/($G$46:$G$50&lt;=$V248)/($H$46:$H$50&gt;=$V248),$F$46:$F$50)</f>
        <v>F1</v>
      </c>
      <c r="S248" s="5" cm="1">
        <f t="array" ref="S248">LOOKUP(2,1/($G$53:$G$56&lt;=$V248)/($H$53:$H$56&gt;=$V248),$F$53:$F$56)</f>
        <v>0</v>
      </c>
      <c r="T248" s="5" t="str">
        <f>IFERROR(IF($R248&gt;0,$R248&amp;"-"&amp;COUNTIF($R$5:$R248,$R248),NA()),NA())</f>
        <v>F1-16</v>
      </c>
      <c r="U248" s="5" t="e">
        <f>IFERROR(IF($S248&gt;0,$S248&amp;"-"&amp;COUNTIF($S$5:$S248,$S248),NA()),NA())</f>
        <v>#N/A</v>
      </c>
      <c r="V248" s="10">
        <v>44441</v>
      </c>
      <c r="W248" s="9">
        <v>43186218.060200661</v>
      </c>
      <c r="X248" s="9">
        <v>52397838.372441463</v>
      </c>
      <c r="Y248" s="8">
        <v>20000000</v>
      </c>
      <c r="OB248" s="1"/>
    </row>
    <row r="249" spans="13:392" x14ac:dyDescent="0.2">
      <c r="M249" s="5" t="str" cm="1">
        <f t="array" ref="M249">LOOKUP(2,1/($G$19:$G$35&lt;=$V249)/($H$19:$H$35&gt;=$V249),$F$19:$F$35)</f>
        <v>1H22</v>
      </c>
      <c r="N249" s="5" t="str" cm="1">
        <f t="array" ref="N249">LOOKUP(2,1/($G$8:$G$16&lt;=$V249)/($H$8:$H$16&gt;=$V249),$F$8:$F$16)</f>
        <v>FY22</v>
      </c>
      <c r="O249" s="5" t="str">
        <f>IFERROR(N249&amp;"-"&amp;COUNTIF($N$5:N249,N249),NA())</f>
        <v>FY22-11</v>
      </c>
      <c r="P249" s="5">
        <f>COUNTIF(V$5:V249,"&gt;="&amp;MAX($V:$V)-183)</f>
        <v>0</v>
      </c>
      <c r="Q249" s="5">
        <f>COUNTIF(V$5:V249,"&gt;="&amp;MAX($V:$V)-365)</f>
        <v>0</v>
      </c>
      <c r="R249" s="5" cm="1">
        <f t="array" ref="R249">LOOKUP(2,1/($G$46:$G$50&lt;=$V249)/($H$46:$H$50&gt;=$V249),$F$46:$F$50)</f>
        <v>0</v>
      </c>
      <c r="S249" s="5" cm="1">
        <f t="array" ref="S249">LOOKUP(2,1/($G$53:$G$56&lt;=$V249)/($H$53:$H$56&gt;=$V249),$F$53:$F$56)</f>
        <v>0</v>
      </c>
      <c r="T249" s="5" t="e">
        <f>IFERROR(IF($R249&gt;0,$R249&amp;"-"&amp;COUNTIF($R$5:$R249,$R249),NA()),NA())</f>
        <v>#N/A</v>
      </c>
      <c r="U249" s="5" t="e">
        <f>IFERROR(IF($S249&gt;0,$S249&amp;"-"&amp;COUNTIF($S$5:$S249,$S249),NA()),NA())</f>
        <v>#N/A</v>
      </c>
      <c r="V249" s="10">
        <v>44448</v>
      </c>
      <c r="W249" s="9">
        <v>19506276.92307692</v>
      </c>
      <c r="X249" s="9">
        <v>23666965.790769227</v>
      </c>
      <c r="Y249" s="8">
        <v>3000000</v>
      </c>
      <c r="OB249" s="1"/>
    </row>
    <row r="250" spans="13:392" x14ac:dyDescent="0.2">
      <c r="M250" s="5" t="str" cm="1">
        <f t="array" ref="M250">LOOKUP(2,1/($G$19:$G$35&lt;=$V250)/($H$19:$H$35&gt;=$V250),$F$19:$F$35)</f>
        <v>1H22</v>
      </c>
      <c r="N250" s="5" t="str" cm="1">
        <f t="array" ref="N250">LOOKUP(2,1/($G$8:$G$16&lt;=$V250)/($H$8:$H$16&gt;=$V250),$F$8:$F$16)</f>
        <v>FY22</v>
      </c>
      <c r="O250" s="5" t="str">
        <f>IFERROR(N250&amp;"-"&amp;COUNTIF($N$5:N250,N250),NA())</f>
        <v>FY22-12</v>
      </c>
      <c r="P250" s="5">
        <f>COUNTIF(V$5:V250,"&gt;="&amp;MAX($V:$V)-183)</f>
        <v>0</v>
      </c>
      <c r="Q250" s="5">
        <f>COUNTIF(V$5:V250,"&gt;="&amp;MAX($V:$V)-365)</f>
        <v>0</v>
      </c>
      <c r="R250" s="5" cm="1">
        <f t="array" ref="R250">LOOKUP(2,1/($G$46:$G$50&lt;=$V250)/($H$46:$H$50&gt;=$V250),$F$46:$F$50)</f>
        <v>0</v>
      </c>
      <c r="S250" s="5" cm="1">
        <f t="array" ref="S250">LOOKUP(2,1/($G$53:$G$56&lt;=$V250)/($H$53:$H$56&gt;=$V250),$F$53:$F$56)</f>
        <v>0</v>
      </c>
      <c r="T250" s="5" t="e">
        <f>IFERROR(IF($R250&gt;0,$R250&amp;"-"&amp;COUNTIF($R$5:$R250,$R250),NA()),NA())</f>
        <v>#N/A</v>
      </c>
      <c r="U250" s="5" t="e">
        <f>IFERROR(IF($S250&gt;0,$S250&amp;"-"&amp;COUNTIF($S$5:$S250,$S250),NA()),NA())</f>
        <v>#N/A</v>
      </c>
      <c r="V250" s="10">
        <v>44455</v>
      </c>
      <c r="W250" s="9">
        <v>25355454.910307083</v>
      </c>
      <c r="X250" s="9">
        <v>30763773.442675587</v>
      </c>
      <c r="Y250" s="8">
        <v>8000000</v>
      </c>
      <c r="OB250" s="1"/>
    </row>
    <row r="251" spans="13:392" x14ac:dyDescent="0.2">
      <c r="M251" s="5" t="str" cm="1">
        <f t="array" ref="M251">LOOKUP(2,1/($G$19:$G$35&lt;=$V251)/($H$19:$H$35&gt;=$V251),$F$19:$F$35)</f>
        <v>1H22</v>
      </c>
      <c r="N251" s="5" t="str" cm="1">
        <f t="array" ref="N251">LOOKUP(2,1/($G$8:$G$16&lt;=$V251)/($H$8:$H$16&gt;=$V251),$F$8:$F$16)</f>
        <v>FY22</v>
      </c>
      <c r="O251" s="5" t="str">
        <f>IFERROR(N251&amp;"-"&amp;COUNTIF($N$5:N251,N251),NA())</f>
        <v>FY22-13</v>
      </c>
      <c r="P251" s="5">
        <f>COUNTIF(V$5:V251,"&gt;="&amp;MAX($V:$V)-183)</f>
        <v>0</v>
      </c>
      <c r="Q251" s="5">
        <f>COUNTIF(V$5:V251,"&gt;="&amp;MAX($V:$V)-365)</f>
        <v>0</v>
      </c>
      <c r="R251" s="5" cm="1">
        <f t="array" ref="R251">LOOKUP(2,1/($G$46:$G$50&lt;=$V251)/($H$46:$H$50&gt;=$V251),$F$46:$F$50)</f>
        <v>0</v>
      </c>
      <c r="S251" s="5" cm="1">
        <f t="array" ref="S251">LOOKUP(2,1/($G$53:$G$56&lt;=$V251)/($H$53:$H$56&gt;=$V251),$F$53:$F$56)</f>
        <v>0</v>
      </c>
      <c r="T251" s="5" t="e">
        <f>IFERROR(IF($R251&gt;0,$R251&amp;"-"&amp;COUNTIF($R$5:$R251,$R251),NA()),NA())</f>
        <v>#N/A</v>
      </c>
      <c r="U251" s="5" t="e">
        <f>IFERROR(IF($S251&gt;0,$S251&amp;"-"&amp;COUNTIF($S$5:$S251,$S251),NA()),NA())</f>
        <v>#N/A</v>
      </c>
      <c r="V251" s="10">
        <v>44462</v>
      </c>
      <c r="W251" s="9">
        <v>19222718.151413802</v>
      </c>
      <c r="X251" s="9">
        <v>23322923.933110368</v>
      </c>
      <c r="Y251" s="8">
        <v>3000000</v>
      </c>
      <c r="OB251" s="1"/>
    </row>
    <row r="252" spans="13:392" x14ac:dyDescent="0.2">
      <c r="M252" s="5" t="str" cm="1">
        <f t="array" ref="M252">LOOKUP(2,1/($G$19:$G$35&lt;=$V252)/($H$19:$H$35&gt;=$V252),$F$19:$F$35)</f>
        <v>1H22</v>
      </c>
      <c r="N252" s="5" t="str" cm="1">
        <f t="array" ref="N252">LOOKUP(2,1/($G$8:$G$16&lt;=$V252)/($H$8:$H$16&gt;=$V252),$F$8:$F$16)</f>
        <v>FY22</v>
      </c>
      <c r="O252" s="5" t="str">
        <f>IFERROR(N252&amp;"-"&amp;COUNTIF($N$5:N252,N252),NA())</f>
        <v>FY22-14</v>
      </c>
      <c r="P252" s="5">
        <f>COUNTIF(V$5:V252,"&gt;="&amp;MAX($V:$V)-183)</f>
        <v>0</v>
      </c>
      <c r="Q252" s="5">
        <f>COUNTIF(V$5:V252,"&gt;="&amp;MAX($V:$V)-365)</f>
        <v>0</v>
      </c>
      <c r="R252" s="5" cm="1">
        <f t="array" ref="R252">LOOKUP(2,1/($G$46:$G$50&lt;=$V252)/($H$46:$H$50&gt;=$V252),$F$46:$F$50)</f>
        <v>0</v>
      </c>
      <c r="S252" s="5" cm="1">
        <f t="array" ref="S252">LOOKUP(2,1/($G$53:$G$56&lt;=$V252)/($H$53:$H$56&gt;=$V252),$F$53:$F$56)</f>
        <v>0</v>
      </c>
      <c r="T252" s="5" t="e">
        <f>IFERROR(IF($R252&gt;0,$R252&amp;"-"&amp;COUNTIF($R$5:$R252,$R252),NA()),NA())</f>
        <v>#N/A</v>
      </c>
      <c r="U252" s="5" t="e">
        <f>IFERROR(IF($S252&gt;0,$S252&amp;"-"&amp;COUNTIF($S$5:$S252,$S252),NA()),NA())</f>
        <v>#N/A</v>
      </c>
      <c r="V252" s="10">
        <v>44469</v>
      </c>
      <c r="W252" s="9">
        <v>26314208.574034661</v>
      </c>
      <c r="X252" s="9">
        <v>31927029.262876257</v>
      </c>
      <c r="Y252" s="8">
        <v>8000000</v>
      </c>
      <c r="OB252" s="1"/>
    </row>
    <row r="253" spans="13:392" x14ac:dyDescent="0.2">
      <c r="M253" s="5" t="str" cm="1">
        <f t="array" ref="M253">LOOKUP(2,1/($G$19:$G$35&lt;=$V253)/($H$19:$H$35&gt;=$V253),$F$19:$F$35)</f>
        <v>1H22</v>
      </c>
      <c r="N253" s="5" t="str" cm="1">
        <f t="array" ref="N253">LOOKUP(2,1/($G$8:$G$16&lt;=$V253)/($H$8:$H$16&gt;=$V253),$F$8:$F$16)</f>
        <v>FY22</v>
      </c>
      <c r="O253" s="5" t="str">
        <f>IFERROR(N253&amp;"-"&amp;COUNTIF($N$5:N253,N253),NA())</f>
        <v>FY22-15</v>
      </c>
      <c r="P253" s="5">
        <f>COUNTIF(V$5:V253,"&gt;="&amp;MAX($V:$V)-183)</f>
        <v>0</v>
      </c>
      <c r="Q253" s="5">
        <f>COUNTIF(V$5:V253,"&gt;="&amp;MAX($V:$V)-365)</f>
        <v>0</v>
      </c>
      <c r="R253" s="5" cm="1">
        <f t="array" ref="R253">LOOKUP(2,1/($G$46:$G$50&lt;=$V253)/($H$46:$H$50&gt;=$V253),$F$46:$F$50)</f>
        <v>0</v>
      </c>
      <c r="S253" s="5" cm="1">
        <f t="array" ref="S253">LOOKUP(2,1/($G$53:$G$56&lt;=$V253)/($H$53:$H$56&gt;=$V253),$F$53:$F$56)</f>
        <v>0</v>
      </c>
      <c r="T253" s="5" t="e">
        <f>IFERROR(IF($R253&gt;0,$R253&amp;"-"&amp;COUNTIF($R$5:$R253,$R253),NA()),NA())</f>
        <v>#N/A</v>
      </c>
      <c r="U253" s="5" t="e">
        <f>IFERROR(IF($S253&gt;0,$S253&amp;"-"&amp;COUNTIF($S$5:$S253,$S253),NA()),NA())</f>
        <v>#N/A</v>
      </c>
      <c r="V253" s="10">
        <v>44476</v>
      </c>
      <c r="W253" s="9">
        <v>42338397.567649737</v>
      </c>
      <c r="X253" s="9">
        <v>51369177.768829428</v>
      </c>
      <c r="Y253" s="8">
        <v>20000000</v>
      </c>
      <c r="OB253" s="1"/>
    </row>
    <row r="254" spans="13:392" x14ac:dyDescent="0.2">
      <c r="M254" s="5" t="str" cm="1">
        <f t="array" ref="M254">LOOKUP(2,1/($G$19:$G$35&lt;=$V254)/($H$19:$H$35&gt;=$V254),$F$19:$F$35)</f>
        <v>1H22</v>
      </c>
      <c r="N254" s="5" t="str" cm="1">
        <f t="array" ref="N254">LOOKUP(2,1/($G$8:$G$16&lt;=$V254)/($H$8:$H$16&gt;=$V254),$F$8:$F$16)</f>
        <v>FY22</v>
      </c>
      <c r="O254" s="5" t="str">
        <f>IFERROR(N254&amp;"-"&amp;COUNTIF($N$5:N254,N254),NA())</f>
        <v>FY22-16</v>
      </c>
      <c r="P254" s="5">
        <f>COUNTIF(V$5:V254,"&gt;="&amp;MAX($V:$V)-183)</f>
        <v>0</v>
      </c>
      <c r="Q254" s="5">
        <f>COUNTIF(V$5:V254,"&gt;="&amp;MAX($V:$V)-365)</f>
        <v>0</v>
      </c>
      <c r="R254" s="5" cm="1">
        <f t="array" ref="R254">LOOKUP(2,1/($G$46:$G$50&lt;=$V254)/($H$46:$H$50&gt;=$V254),$F$46:$F$50)</f>
        <v>0</v>
      </c>
      <c r="S254" s="5" cm="1">
        <f t="array" ref="S254">LOOKUP(2,1/($G$53:$G$56&lt;=$V254)/($H$53:$H$56&gt;=$V254),$F$53:$F$56)</f>
        <v>0</v>
      </c>
      <c r="T254" s="5" t="e">
        <f>IFERROR(IF($R254&gt;0,$R254&amp;"-"&amp;COUNTIF($R$5:$R254,$R254),NA()),NA())</f>
        <v>#N/A</v>
      </c>
      <c r="U254" s="5" t="e">
        <f>IFERROR(IF($S254&gt;0,$S254&amp;"-"&amp;COUNTIF($S$5:$S254,$S254),NA()),NA())</f>
        <v>#N/A</v>
      </c>
      <c r="V254" s="10">
        <v>44483</v>
      </c>
      <c r="W254" s="9">
        <v>59016362.663423538</v>
      </c>
      <c r="X254" s="9">
        <v>71604552.819531783</v>
      </c>
      <c r="Y254" s="8">
        <v>40000000</v>
      </c>
      <c r="OB254" s="1"/>
    </row>
    <row r="255" spans="13:392" x14ac:dyDescent="0.2">
      <c r="M255" s="5" t="str" cm="1">
        <f t="array" ref="M255">LOOKUP(2,1/($G$19:$G$35&lt;=$V255)/($H$19:$H$35&gt;=$V255),$F$19:$F$35)</f>
        <v>1H22</v>
      </c>
      <c r="N255" s="5" t="str" cm="1">
        <f t="array" ref="N255">LOOKUP(2,1/($G$8:$G$16&lt;=$V255)/($H$8:$H$16&gt;=$V255),$F$8:$F$16)</f>
        <v>FY22</v>
      </c>
      <c r="O255" s="5" t="str">
        <f>IFERROR(N255&amp;"-"&amp;COUNTIF($N$5:N255,N255),NA())</f>
        <v>FY22-17</v>
      </c>
      <c r="P255" s="5">
        <f>COUNTIF(V$5:V255,"&gt;="&amp;MAX($V:$V)-183)</f>
        <v>0</v>
      </c>
      <c r="Q255" s="5">
        <f>COUNTIF(V$5:V255,"&gt;="&amp;MAX($V:$V)-365)</f>
        <v>0</v>
      </c>
      <c r="R255" s="5" cm="1">
        <f t="array" ref="R255">LOOKUP(2,1/($G$46:$G$50&lt;=$V255)/($H$46:$H$50&gt;=$V255),$F$46:$F$50)</f>
        <v>0</v>
      </c>
      <c r="S255" s="5" cm="1">
        <f t="array" ref="S255">LOOKUP(2,1/($G$53:$G$56&lt;=$V255)/($H$53:$H$56&gt;=$V255),$F$53:$F$56)</f>
        <v>0</v>
      </c>
      <c r="T255" s="5" t="e">
        <f>IFERROR(IF($R255&gt;0,$R255&amp;"-"&amp;COUNTIF($R$5:$R255,$R255),NA()),NA())</f>
        <v>#N/A</v>
      </c>
      <c r="U255" s="5" t="e">
        <f>IFERROR(IF($S255&gt;0,$S255&amp;"-"&amp;COUNTIF($S$5:$S255,$S255),NA()),NA())</f>
        <v>#N/A</v>
      </c>
      <c r="V255" s="10">
        <v>44490</v>
      </c>
      <c r="W255" s="9">
        <v>83423387.290969908</v>
      </c>
      <c r="X255" s="9">
        <v>101217595.80013379</v>
      </c>
      <c r="Y255" s="8">
        <v>60000000</v>
      </c>
      <c r="OB255" s="1"/>
    </row>
    <row r="256" spans="13:392" x14ac:dyDescent="0.2">
      <c r="M256" s="5" t="str" cm="1">
        <f t="array" ref="M256">LOOKUP(2,1/($G$19:$G$35&lt;=$V256)/($H$19:$H$35&gt;=$V256),$F$19:$F$35)</f>
        <v>1H22</v>
      </c>
      <c r="N256" s="5" t="str" cm="1">
        <f t="array" ref="N256">LOOKUP(2,1/($G$8:$G$16&lt;=$V256)/($H$8:$H$16&gt;=$V256),$F$8:$F$16)</f>
        <v>FY22</v>
      </c>
      <c r="O256" s="5" t="str">
        <f>IFERROR(N256&amp;"-"&amp;COUNTIF($N$5:N256,N256),NA())</f>
        <v>FY22-18</v>
      </c>
      <c r="P256" s="5">
        <f>COUNTIF(V$5:V256,"&gt;="&amp;MAX($V:$V)-183)</f>
        <v>0</v>
      </c>
      <c r="Q256" s="5">
        <f>COUNTIF(V$5:V256,"&gt;="&amp;MAX($V:$V)-365)</f>
        <v>0</v>
      </c>
      <c r="R256" s="5" cm="1">
        <f t="array" ref="R256">LOOKUP(2,1/($G$46:$G$50&lt;=$V256)/($H$46:$H$50&gt;=$V256),$F$46:$F$50)</f>
        <v>0</v>
      </c>
      <c r="S256" s="5" cm="1">
        <f t="array" ref="S256">LOOKUP(2,1/($G$53:$G$56&lt;=$V256)/($H$53:$H$56&gt;=$V256),$F$53:$F$56)</f>
        <v>0</v>
      </c>
      <c r="T256" s="5" t="e">
        <f>IFERROR(IF($R256&gt;0,$R256&amp;"-"&amp;COUNTIF($R$5:$R256,$R256),NA()),NA())</f>
        <v>#N/A</v>
      </c>
      <c r="U256" s="5" t="e">
        <f>IFERROR(IF($S256&gt;0,$S256&amp;"-"&amp;COUNTIF($S$5:$S256,$S256),NA()),NA())</f>
        <v>#N/A</v>
      </c>
      <c r="V256" s="10">
        <v>44497</v>
      </c>
      <c r="W256" s="9">
        <v>18862208.574034657</v>
      </c>
      <c r="X256" s="9">
        <v>22885517.662876252</v>
      </c>
      <c r="Y256" s="8">
        <v>3000000</v>
      </c>
      <c r="OB256" s="1"/>
    </row>
    <row r="257" spans="13:392" x14ac:dyDescent="0.2">
      <c r="M257" s="5" t="str" cm="1">
        <f t="array" ref="M257">LOOKUP(2,1/($G$19:$G$35&lt;=$V257)/($H$19:$H$35&gt;=$V257),$F$19:$F$35)</f>
        <v>1H22</v>
      </c>
      <c r="N257" s="5" t="str" cm="1">
        <f t="array" ref="N257">LOOKUP(2,1/($G$8:$G$16&lt;=$V257)/($H$8:$H$16&gt;=$V257),$F$8:$F$16)</f>
        <v>FY22</v>
      </c>
      <c r="O257" s="5" t="str">
        <f>IFERROR(N257&amp;"-"&amp;COUNTIF($N$5:N257,N257),NA())</f>
        <v>FY22-19</v>
      </c>
      <c r="P257" s="5">
        <f>COUNTIF(V$5:V257,"&gt;="&amp;MAX($V:$V)-183)</f>
        <v>0</v>
      </c>
      <c r="Q257" s="5">
        <f>COUNTIF(V$5:V257,"&gt;="&amp;MAX($V:$V)-365)</f>
        <v>0</v>
      </c>
      <c r="R257" s="5" cm="1">
        <f t="array" ref="R257">LOOKUP(2,1/($G$46:$G$50&lt;=$V257)/($H$46:$H$50&gt;=$V257),$F$46:$F$50)</f>
        <v>0</v>
      </c>
      <c r="S257" s="5" cm="1">
        <f t="array" ref="S257">LOOKUP(2,1/($G$53:$G$56&lt;=$V257)/($H$53:$H$56&gt;=$V257),$F$53:$F$56)</f>
        <v>0</v>
      </c>
      <c r="T257" s="5" t="e">
        <f>IFERROR(IF($R257&gt;0,$R257&amp;"-"&amp;COUNTIF($R$5:$R257,$R257),NA()),NA())</f>
        <v>#N/A</v>
      </c>
      <c r="U257" s="5" t="e">
        <f>IFERROR(IF($S257&gt;0,$S257&amp;"-"&amp;COUNTIF($S$5:$S257,$S257),NA()),NA())</f>
        <v>#N/A</v>
      </c>
      <c r="V257" s="10">
        <v>44504</v>
      </c>
      <c r="W257" s="9">
        <v>25128435.147461236</v>
      </c>
      <c r="X257" s="9">
        <v>30488330.364414718</v>
      </c>
      <c r="Y257" s="8">
        <v>8000000</v>
      </c>
      <c r="OB257" s="1"/>
    </row>
    <row r="258" spans="13:392" x14ac:dyDescent="0.2">
      <c r="M258" s="5" t="str" cm="1">
        <f t="array" ref="M258">LOOKUP(2,1/($G$19:$G$35&lt;=$V258)/($H$19:$H$35&gt;=$V258),$F$19:$F$35)</f>
        <v>1H22</v>
      </c>
      <c r="N258" s="5" t="str" cm="1">
        <f t="array" ref="N258">LOOKUP(2,1/($G$8:$G$16&lt;=$V258)/($H$8:$H$16&gt;=$V258),$F$8:$F$16)</f>
        <v>FY22</v>
      </c>
      <c r="O258" s="5" t="str">
        <f>IFERROR(N258&amp;"-"&amp;COUNTIF($N$5:N258,N258),NA())</f>
        <v>FY22-20</v>
      </c>
      <c r="P258" s="5">
        <f>COUNTIF(V$5:V258,"&gt;="&amp;MAX($V:$V)-183)</f>
        <v>0</v>
      </c>
      <c r="Q258" s="5">
        <f>COUNTIF(V$5:V258,"&gt;="&amp;MAX($V:$V)-365)</f>
        <v>0</v>
      </c>
      <c r="R258" s="5" cm="1">
        <f t="array" ref="R258">LOOKUP(2,1/($G$46:$G$50&lt;=$V258)/($H$46:$H$50&gt;=$V258),$F$46:$F$50)</f>
        <v>0</v>
      </c>
      <c r="S258" s="5" cm="1">
        <f t="array" ref="S258">LOOKUP(2,1/($G$53:$G$56&lt;=$V258)/($H$53:$H$56&gt;=$V258),$F$53:$F$56)</f>
        <v>0</v>
      </c>
      <c r="T258" s="5" t="e">
        <f>IFERROR(IF($R258&gt;0,$R258&amp;"-"&amp;COUNTIF($R$5:$R258,$R258),NA()),NA())</f>
        <v>#N/A</v>
      </c>
      <c r="U258" s="5" t="e">
        <f>IFERROR(IF($S258&gt;0,$S258&amp;"-"&amp;COUNTIF($S$5:$S258,$S258),NA()),NA())</f>
        <v>#N/A</v>
      </c>
      <c r="V258" s="10">
        <v>44511</v>
      </c>
      <c r="W258" s="9">
        <v>41533547.217999399</v>
      </c>
      <c r="X258" s="9">
        <v>50392652.839598671</v>
      </c>
      <c r="Y258" s="8">
        <v>20000000</v>
      </c>
      <c r="OB258" s="1"/>
    </row>
    <row r="259" spans="13:392" x14ac:dyDescent="0.2">
      <c r="M259" s="5" t="str" cm="1">
        <f t="array" ref="M259">LOOKUP(2,1/($G$19:$G$35&lt;=$V259)/($H$19:$H$35&gt;=$V259),$F$19:$F$35)</f>
        <v>1H22</v>
      </c>
      <c r="N259" s="5" t="str" cm="1">
        <f t="array" ref="N259">LOOKUP(2,1/($G$8:$G$16&lt;=$V259)/($H$8:$H$16&gt;=$V259),$F$8:$F$16)</f>
        <v>FY22</v>
      </c>
      <c r="O259" s="5" t="str">
        <f>IFERROR(N259&amp;"-"&amp;COUNTIF($N$5:N259,N259),NA())</f>
        <v>FY22-21</v>
      </c>
      <c r="P259" s="5">
        <f>COUNTIF(V$5:V259,"&gt;="&amp;MAX($V:$V)-183)</f>
        <v>0</v>
      </c>
      <c r="Q259" s="5">
        <f>COUNTIF(V$5:V259,"&gt;="&amp;MAX($V:$V)-365)</f>
        <v>0</v>
      </c>
      <c r="R259" s="5" cm="1">
        <f t="array" ref="R259">LOOKUP(2,1/($G$46:$G$50&lt;=$V259)/($H$46:$H$50&gt;=$V259),$F$46:$F$50)</f>
        <v>0</v>
      </c>
      <c r="S259" s="5" cm="1">
        <f t="array" ref="S259">LOOKUP(2,1/($G$53:$G$56&lt;=$V259)/($H$53:$H$56&gt;=$V259),$F$53:$F$56)</f>
        <v>0</v>
      </c>
      <c r="T259" s="5" t="e">
        <f>IFERROR(IF($R259&gt;0,$R259&amp;"-"&amp;COUNTIF($R$5:$R259,$R259),NA()),NA())</f>
        <v>#N/A</v>
      </c>
      <c r="U259" s="5" t="e">
        <f>IFERROR(IF($S259&gt;0,$S259&amp;"-"&amp;COUNTIF($S$5:$S259,$S259),NA()),NA())</f>
        <v>#N/A</v>
      </c>
      <c r="V259" s="10">
        <v>44518</v>
      </c>
      <c r="W259" s="9">
        <v>57357794.101550631</v>
      </c>
      <c r="X259" s="9">
        <v>69592211.583411381</v>
      </c>
      <c r="Y259" s="8">
        <v>40000000</v>
      </c>
      <c r="OB259" s="1"/>
    </row>
    <row r="260" spans="13:392" x14ac:dyDescent="0.2">
      <c r="M260" s="5" t="str" cm="1">
        <f t="array" ref="M260">LOOKUP(2,1/($G$19:$G$35&lt;=$V260)/($H$19:$H$35&gt;=$V260),$F$19:$F$35)</f>
        <v>1H22</v>
      </c>
      <c r="N260" s="5" t="str" cm="1">
        <f t="array" ref="N260">LOOKUP(2,1/($G$8:$G$16&lt;=$V260)/($H$8:$H$16&gt;=$V260),$F$8:$F$16)</f>
        <v>FY22</v>
      </c>
      <c r="O260" s="5" t="str">
        <f>IFERROR(N260&amp;"-"&amp;COUNTIF($N$5:N260,N260),NA())</f>
        <v>FY22-22</v>
      </c>
      <c r="P260" s="5">
        <f>COUNTIF(V$5:V260,"&gt;="&amp;MAX($V:$V)-183)</f>
        <v>0</v>
      </c>
      <c r="Q260" s="5">
        <f>COUNTIF(V$5:V260,"&gt;="&amp;MAX($V:$V)-365)</f>
        <v>0</v>
      </c>
      <c r="R260" s="5" cm="1">
        <f t="array" ref="R260">LOOKUP(2,1/($G$46:$G$50&lt;=$V260)/($H$46:$H$50&gt;=$V260),$F$46:$F$50)</f>
        <v>0</v>
      </c>
      <c r="S260" s="5" cm="1">
        <f t="array" ref="S260">LOOKUP(2,1/($G$53:$G$56&lt;=$V260)/($H$53:$H$56&gt;=$V260),$F$53:$F$56)</f>
        <v>0</v>
      </c>
      <c r="T260" s="5" t="e">
        <f>IFERROR(IF($R260&gt;0,$R260&amp;"-"&amp;COUNTIF($R$5:$R260,$R260),NA()),NA())</f>
        <v>#N/A</v>
      </c>
      <c r="U260" s="5" t="e">
        <f>IFERROR(IF($S260&gt;0,$S260&amp;"-"&amp;COUNTIF($S$5:$S260,$S260),NA()),NA())</f>
        <v>#N/A</v>
      </c>
      <c r="V260" s="10">
        <v>44525</v>
      </c>
      <c r="W260" s="9">
        <v>81402100.334448159</v>
      </c>
      <c r="X260" s="9">
        <v>98765168.335785955</v>
      </c>
      <c r="Y260" s="8">
        <v>60000000</v>
      </c>
      <c r="OB260" s="1"/>
    </row>
    <row r="261" spans="13:392" x14ac:dyDescent="0.2">
      <c r="M261" s="5" t="str" cm="1">
        <f t="array" ref="M261">LOOKUP(2,1/($G$19:$G$35&lt;=$V261)/($H$19:$H$35&gt;=$V261),$F$19:$F$35)</f>
        <v>1H22</v>
      </c>
      <c r="N261" s="5" t="str" cm="1">
        <f t="array" ref="N261">LOOKUP(2,1/($G$8:$G$16&lt;=$V261)/($H$8:$H$16&gt;=$V261),$F$8:$F$16)</f>
        <v>FY22</v>
      </c>
      <c r="O261" s="5" t="str">
        <f>IFERROR(N261&amp;"-"&amp;COUNTIF($N$5:N261,N261),NA())</f>
        <v>FY22-23</v>
      </c>
      <c r="P261" s="5">
        <f>COUNTIF(V$5:V261,"&gt;="&amp;MAX($V:$V)-183)</f>
        <v>0</v>
      </c>
      <c r="Q261" s="5">
        <f>COUNTIF(V$5:V261,"&gt;="&amp;MAX($V:$V)-365)</f>
        <v>0</v>
      </c>
      <c r="R261" s="5" cm="1">
        <f t="array" ref="R261">LOOKUP(2,1/($G$46:$G$50&lt;=$V261)/($H$46:$H$50&gt;=$V261),$F$46:$F$50)</f>
        <v>0</v>
      </c>
      <c r="S261" s="5" cm="1">
        <f t="array" ref="S261">LOOKUP(2,1/($G$53:$G$56&lt;=$V261)/($H$53:$H$56&gt;=$V261),$F$53:$F$56)</f>
        <v>0</v>
      </c>
      <c r="T261" s="5" t="e">
        <f>IFERROR(IF($R261&gt;0,$R261&amp;"-"&amp;COUNTIF($R$5:$R261,$R261),NA()),NA())</f>
        <v>#N/A</v>
      </c>
      <c r="U261" s="5" t="e">
        <f>IFERROR(IF($S261&gt;0,$S261&amp;"-"&amp;COUNTIF($S$5:$S261,$S261),NA()),NA())</f>
        <v>#N/A</v>
      </c>
      <c r="V261" s="10">
        <v>44532</v>
      </c>
      <c r="W261" s="9">
        <v>109814245.30252357</v>
      </c>
      <c r="X261" s="9">
        <v>133237623.82555185</v>
      </c>
      <c r="Y261" s="8">
        <v>80000000</v>
      </c>
      <c r="OB261" s="1"/>
    </row>
    <row r="262" spans="13:392" x14ac:dyDescent="0.2">
      <c r="M262" s="5" t="str" cm="1">
        <f t="array" ref="M262">LOOKUP(2,1/($G$19:$G$35&lt;=$V262)/($H$19:$H$35&gt;=$V262),$F$19:$F$35)</f>
        <v>1H22</v>
      </c>
      <c r="N262" s="5" t="str" cm="1">
        <f t="array" ref="N262">LOOKUP(2,1/($G$8:$G$16&lt;=$V262)/($H$8:$H$16&gt;=$V262),$F$8:$F$16)</f>
        <v>FY22</v>
      </c>
      <c r="O262" s="5" t="str">
        <f>IFERROR(N262&amp;"-"&amp;COUNTIF($N$5:N262,N262),NA())</f>
        <v>FY22-24</v>
      </c>
      <c r="P262" s="5">
        <f>COUNTIF(V$5:V262,"&gt;="&amp;MAX($V:$V)-183)</f>
        <v>0</v>
      </c>
      <c r="Q262" s="5">
        <f>COUNTIF(V$5:V262,"&gt;="&amp;MAX($V:$V)-365)</f>
        <v>0</v>
      </c>
      <c r="R262" s="5" cm="1">
        <f t="array" ref="R262">LOOKUP(2,1/($G$46:$G$50&lt;=$V262)/($H$46:$H$50&gt;=$V262),$F$46:$F$50)</f>
        <v>0</v>
      </c>
      <c r="S262" s="5" cm="1">
        <f t="array" ref="S262">LOOKUP(2,1/($G$53:$G$56&lt;=$V262)/($H$53:$H$56&gt;=$V262),$F$53:$F$56)</f>
        <v>0</v>
      </c>
      <c r="T262" s="5" t="e">
        <f>IFERROR(IF($R262&gt;0,$R262&amp;"-"&amp;COUNTIF($R$5:$R262,$R262),NA()),NA())</f>
        <v>#N/A</v>
      </c>
      <c r="U262" s="5" t="e">
        <f>IFERROR(IF($S262&gt;0,$S262&amp;"-"&amp;COUNTIF($S$5:$S262,$S262),NA()),NA())</f>
        <v>#N/A</v>
      </c>
      <c r="V262" s="10">
        <v>44539</v>
      </c>
      <c r="W262" s="9">
        <v>18912447.065977499</v>
      </c>
      <c r="X262" s="9">
        <v>22946472.0251505</v>
      </c>
      <c r="Y262" s="8">
        <v>3000000</v>
      </c>
      <c r="OB262" s="1"/>
    </row>
    <row r="263" spans="13:392" x14ac:dyDescent="0.2">
      <c r="M263" s="5" t="str" cm="1">
        <f t="array" ref="M263">LOOKUP(2,1/($G$19:$G$35&lt;=$V263)/($H$19:$H$35&gt;=$V263),$F$19:$F$35)</f>
        <v>1H22</v>
      </c>
      <c r="N263" s="5" t="str" cm="1">
        <f t="array" ref="N263">LOOKUP(2,1/($G$8:$G$16&lt;=$V263)/($H$8:$H$16&gt;=$V263),$F$8:$F$16)</f>
        <v>FY22</v>
      </c>
      <c r="O263" s="5" t="str">
        <f>IFERROR(N263&amp;"-"&amp;COUNTIF($N$5:N263,N263),NA())</f>
        <v>FY22-25</v>
      </c>
      <c r="P263" s="5">
        <f>COUNTIF(V$5:V263,"&gt;="&amp;MAX($V:$V)-183)</f>
        <v>0</v>
      </c>
      <c r="Q263" s="5">
        <f>COUNTIF(V$5:V263,"&gt;="&amp;MAX($V:$V)-365)</f>
        <v>0</v>
      </c>
      <c r="R263" s="5" cm="1">
        <f t="array" ref="R263">LOOKUP(2,1/($G$46:$G$50&lt;=$V263)/($H$46:$H$50&gt;=$V263),$F$46:$F$50)</f>
        <v>0</v>
      </c>
      <c r="S263" s="5" cm="1">
        <f t="array" ref="S263">LOOKUP(2,1/($G$53:$G$56&lt;=$V263)/($H$53:$H$56&gt;=$V263),$F$53:$F$56)</f>
        <v>0</v>
      </c>
      <c r="T263" s="5" t="e">
        <f>IFERROR(IF($R263&gt;0,$R263&amp;"-"&amp;COUNTIF($R$5:$R263,$R263),NA()),NA())</f>
        <v>#N/A</v>
      </c>
      <c r="U263" s="5" t="e">
        <f>IFERROR(IF($S263&gt;0,$S263&amp;"-"&amp;COUNTIF($S$5:$S263,$S263),NA()),NA())</f>
        <v>#N/A</v>
      </c>
      <c r="V263" s="10">
        <v>44546</v>
      </c>
      <c r="W263" s="9">
        <v>26709691.456369717</v>
      </c>
      <c r="X263" s="9">
        <v>32406868.644013379</v>
      </c>
      <c r="Y263" s="8">
        <v>8000000</v>
      </c>
      <c r="OB263" s="1"/>
    </row>
    <row r="264" spans="13:392" x14ac:dyDescent="0.2">
      <c r="M264" s="5" t="str" cm="1">
        <f t="array" ref="M264">LOOKUP(2,1/($G$19:$G$35&lt;=$V264)/($H$19:$H$35&gt;=$V264),$F$19:$F$35)</f>
        <v>1H22</v>
      </c>
      <c r="N264" s="5" t="str" cm="1">
        <f t="array" ref="N264">LOOKUP(2,1/($G$8:$G$16&lt;=$V264)/($H$8:$H$16&gt;=$V264),$F$8:$F$16)</f>
        <v>FY22</v>
      </c>
      <c r="O264" s="5" t="str">
        <f>IFERROR(N264&amp;"-"&amp;COUNTIF($N$5:N264,N264),NA())</f>
        <v>FY22-26</v>
      </c>
      <c r="P264" s="5">
        <f>COUNTIF(V$5:V264,"&gt;="&amp;MAX($V:$V)-183)</f>
        <v>0</v>
      </c>
      <c r="Q264" s="5">
        <f>COUNTIF(V$5:V264,"&gt;="&amp;MAX($V:$V)-365)</f>
        <v>0</v>
      </c>
      <c r="R264" s="5" cm="1">
        <f t="array" ref="R264">LOOKUP(2,1/($G$46:$G$50&lt;=$V264)/($H$46:$H$50&gt;=$V264),$F$46:$F$50)</f>
        <v>0</v>
      </c>
      <c r="S264" s="5" cm="1">
        <f t="array" ref="S264">LOOKUP(2,1/($G$53:$G$56&lt;=$V264)/($H$53:$H$56&gt;=$V264),$F$53:$F$56)</f>
        <v>0</v>
      </c>
      <c r="T264" s="5" t="e">
        <f>IFERROR(IF($R264&gt;0,$R264&amp;"-"&amp;COUNTIF($R$5:$R264,$R264),NA()),NA())</f>
        <v>#N/A</v>
      </c>
      <c r="U264" s="5" t="e">
        <f>IFERROR(IF($S264&gt;0,$S264&amp;"-"&amp;COUNTIF($S$5:$S264,$S264),NA()),NA())</f>
        <v>#N/A</v>
      </c>
      <c r="V264" s="10">
        <v>44553</v>
      </c>
      <c r="W264" s="9">
        <v>40654796.959562175</v>
      </c>
      <c r="X264" s="9">
        <v>49326465.151036792</v>
      </c>
      <c r="Y264" s="8">
        <v>20000000</v>
      </c>
      <c r="OB264" s="1"/>
    </row>
    <row r="265" spans="13:392" x14ac:dyDescent="0.2">
      <c r="M265" s="5" t="str" cm="1">
        <f t="array" ref="M265">LOOKUP(2,1/($G$19:$G$35&lt;=$V265)/($H$19:$H$35&gt;=$V265),$F$19:$F$35)</f>
        <v>1H22</v>
      </c>
      <c r="N265" s="5" t="str" cm="1">
        <f t="array" ref="N265">LOOKUP(2,1/($G$8:$G$16&lt;=$V265)/($H$8:$H$16&gt;=$V265),$F$8:$F$16)</f>
        <v>FY22</v>
      </c>
      <c r="O265" s="5" t="str">
        <f>IFERROR(N265&amp;"-"&amp;COUNTIF($N$5:N265,N265),NA())</f>
        <v>FY22-27</v>
      </c>
      <c r="P265" s="5">
        <f>COUNTIF(V$5:V265,"&gt;="&amp;MAX($V:$V)-183)</f>
        <v>0</v>
      </c>
      <c r="Q265" s="5">
        <f>COUNTIF(V$5:V265,"&gt;="&amp;MAX($V:$V)-365)</f>
        <v>0</v>
      </c>
      <c r="R265" s="5" cm="1">
        <f t="array" ref="R265">LOOKUP(2,1/($G$46:$G$50&lt;=$V265)/($H$46:$H$50&gt;=$V265),$F$46:$F$50)</f>
        <v>0</v>
      </c>
      <c r="S265" s="5" cm="1">
        <f t="array" ref="S265">LOOKUP(2,1/($G$53:$G$56&lt;=$V265)/($H$53:$H$56&gt;=$V265),$F$53:$F$56)</f>
        <v>0</v>
      </c>
      <c r="T265" s="5" t="e">
        <f>IFERROR(IF($R265&gt;0,$R265&amp;"-"&amp;COUNTIF($R$5:$R265,$R265),NA()),NA())</f>
        <v>#N/A</v>
      </c>
      <c r="U265" s="5" t="e">
        <f>IFERROR(IF($S265&gt;0,$S265&amp;"-"&amp;COUNTIF($S$5:$S265,$S265),NA()),NA())</f>
        <v>#N/A</v>
      </c>
      <c r="V265" s="10">
        <v>44560</v>
      </c>
      <c r="W265" s="9">
        <v>45526023.472179994</v>
      </c>
      <c r="X265" s="9">
        <v>55236724.278795987</v>
      </c>
      <c r="Y265" s="8">
        <v>30000000</v>
      </c>
      <c r="OB265" s="1"/>
    </row>
    <row r="266" spans="13:392" x14ac:dyDescent="0.2">
      <c r="M266" s="5" t="str" cm="1">
        <f t="array" ref="M266">LOOKUP(2,1/($G$19:$G$35&lt;=$V266)/($H$19:$H$35&gt;=$V266),$F$19:$F$35)</f>
        <v>2H22</v>
      </c>
      <c r="N266" s="5" t="str" cm="1">
        <f t="array" ref="N266">LOOKUP(2,1/($G$8:$G$16&lt;=$V266)/($H$8:$H$16&gt;=$V266),$F$8:$F$16)</f>
        <v>FY22</v>
      </c>
      <c r="O266" s="5" t="str">
        <f>IFERROR(N266&amp;"-"&amp;COUNTIF($N$5:N266,N266),NA())</f>
        <v>FY22-28</v>
      </c>
      <c r="P266" s="5">
        <f>COUNTIF(V$5:V266,"&gt;="&amp;MAX($V:$V)-183)</f>
        <v>0</v>
      </c>
      <c r="Q266" s="5">
        <f>COUNTIF(V$5:V266,"&gt;="&amp;MAX($V:$V)-365)</f>
        <v>0</v>
      </c>
      <c r="R266" s="5" cm="1">
        <f t="array" ref="R266">LOOKUP(2,1/($G$46:$G$50&lt;=$V266)/($H$46:$H$50&gt;=$V266),$F$46:$F$50)</f>
        <v>0</v>
      </c>
      <c r="S266" s="5" cm="1">
        <f t="array" ref="S266">LOOKUP(2,1/($G$53:$G$56&lt;=$V266)/($H$53:$H$56&gt;=$V266),$F$53:$F$56)</f>
        <v>0</v>
      </c>
      <c r="T266" s="5" t="e">
        <f>IFERROR(IF($R266&gt;0,$R266&amp;"-"&amp;COUNTIF($R$5:$R266,$R266),NA()),NA())</f>
        <v>#N/A</v>
      </c>
      <c r="U266" s="5" t="e">
        <f>IFERROR(IF($S266&gt;0,$S266&amp;"-"&amp;COUNTIF($S$5:$S266,$S266),NA()),NA())</f>
        <v>#N/A</v>
      </c>
      <c r="V266" s="10">
        <v>44567</v>
      </c>
      <c r="W266" s="9">
        <v>76041502.462754637</v>
      </c>
      <c r="X266" s="9">
        <v>92261154.938060209</v>
      </c>
      <c r="Y266" s="8">
        <v>60000000</v>
      </c>
      <c r="OB266" s="1"/>
    </row>
    <row r="267" spans="13:392" x14ac:dyDescent="0.2">
      <c r="M267" s="5" t="str" cm="1">
        <f t="array" ref="M267">LOOKUP(2,1/($G$19:$G$35&lt;=$V267)/($H$19:$H$35&gt;=$V267),$F$19:$F$35)</f>
        <v>2H22</v>
      </c>
      <c r="N267" s="5" t="str" cm="1">
        <f t="array" ref="N267">LOOKUP(2,1/($G$8:$G$16&lt;=$V267)/($H$8:$H$16&gt;=$V267),$F$8:$F$16)</f>
        <v>FY22</v>
      </c>
      <c r="O267" s="5" t="str">
        <f>IFERROR(N267&amp;"-"&amp;COUNTIF($N$5:N267,N267),NA())</f>
        <v>FY22-29</v>
      </c>
      <c r="P267" s="5">
        <f>COUNTIF(V$5:V267,"&gt;="&amp;MAX($V:$V)-183)</f>
        <v>0</v>
      </c>
      <c r="Q267" s="5">
        <f>COUNTIF(V$5:V267,"&gt;="&amp;MAX($V:$V)-365)</f>
        <v>0</v>
      </c>
      <c r="R267" s="5" cm="1">
        <f t="array" ref="R267">LOOKUP(2,1/($G$46:$G$50&lt;=$V267)/($H$46:$H$50&gt;=$V267),$F$46:$F$50)</f>
        <v>0</v>
      </c>
      <c r="S267" s="5" cm="1">
        <f t="array" ref="S267">LOOKUP(2,1/($G$53:$G$56&lt;=$V267)/($H$53:$H$56&gt;=$V267),$F$53:$F$56)</f>
        <v>0</v>
      </c>
      <c r="T267" s="5" t="e">
        <f>IFERROR(IF($R267&gt;0,$R267&amp;"-"&amp;COUNTIF($R$5:$R267,$R267),NA()),NA())</f>
        <v>#N/A</v>
      </c>
      <c r="U267" s="5" t="e">
        <f>IFERROR(IF($S267&gt;0,$S267&amp;"-"&amp;COUNTIF($S$5:$S267,$S267),NA()),NA())</f>
        <v>#N/A</v>
      </c>
      <c r="V267" s="10">
        <v>44574</v>
      </c>
      <c r="W267" s="9">
        <v>18115088.35512314</v>
      </c>
      <c r="X267" s="9">
        <v>21979036.701270908</v>
      </c>
      <c r="Y267" s="8">
        <v>3000000</v>
      </c>
      <c r="OB267" s="1"/>
    </row>
    <row r="268" spans="13:392" x14ac:dyDescent="0.2">
      <c r="M268" s="5" t="str" cm="1">
        <f t="array" ref="M268">LOOKUP(2,1/($G$19:$G$35&lt;=$V268)/($H$19:$H$35&gt;=$V268),$F$19:$F$35)</f>
        <v>2H22</v>
      </c>
      <c r="N268" s="5" t="str" cm="1">
        <f t="array" ref="N268">LOOKUP(2,1/($G$8:$G$16&lt;=$V268)/($H$8:$H$16&gt;=$V268),$F$8:$F$16)</f>
        <v>FY22</v>
      </c>
      <c r="O268" s="5" t="str">
        <f>IFERROR(N268&amp;"-"&amp;COUNTIF($N$5:N268,N268),NA())</f>
        <v>FY22-30</v>
      </c>
      <c r="P268" s="5">
        <f>COUNTIF(V$5:V268,"&gt;="&amp;MAX($V:$V)-183)</f>
        <v>0</v>
      </c>
      <c r="Q268" s="5">
        <f>COUNTIF(V$5:V268,"&gt;="&amp;MAX($V:$V)-365)</f>
        <v>0</v>
      </c>
      <c r="R268" s="5" cm="1">
        <f t="array" ref="R268">LOOKUP(2,1/($G$46:$G$50&lt;=$V268)/($H$46:$H$50&gt;=$V268),$F$46:$F$50)</f>
        <v>0</v>
      </c>
      <c r="S268" s="5" cm="1">
        <f t="array" ref="S268">LOOKUP(2,1/($G$53:$G$56&lt;=$V268)/($H$53:$H$56&gt;=$V268),$F$53:$F$56)</f>
        <v>0</v>
      </c>
      <c r="T268" s="5" t="e">
        <f>IFERROR(IF($R268&gt;0,$R268&amp;"-"&amp;COUNTIF($R$5:$R268,$R268),NA()),NA())</f>
        <v>#N/A</v>
      </c>
      <c r="U268" s="5" t="e">
        <f>IFERROR(IF($S268&gt;0,$S268&amp;"-"&amp;COUNTIF($S$5:$S268,$S268),NA()),NA())</f>
        <v>#N/A</v>
      </c>
      <c r="V268" s="10">
        <v>44581</v>
      </c>
      <c r="W268" s="9">
        <v>23312285.071450286</v>
      </c>
      <c r="X268" s="9">
        <v>28284795.477190632</v>
      </c>
      <c r="Y268" s="8">
        <v>8000000</v>
      </c>
      <c r="OB268" s="1"/>
    </row>
    <row r="269" spans="13:392" x14ac:dyDescent="0.2">
      <c r="M269" s="5" t="str" cm="1">
        <f t="array" ref="M269">LOOKUP(2,1/($G$19:$G$35&lt;=$V269)/($H$19:$H$35&gt;=$V269),$F$19:$F$35)</f>
        <v>2H22</v>
      </c>
      <c r="N269" s="5" t="str" cm="1">
        <f t="array" ref="N269">LOOKUP(2,1/($G$8:$G$16&lt;=$V269)/($H$8:$H$16&gt;=$V269),$F$8:$F$16)</f>
        <v>FY22</v>
      </c>
      <c r="O269" s="5" t="str">
        <f>IFERROR(N269&amp;"-"&amp;COUNTIF($N$5:N269,N269),NA())</f>
        <v>FY22-31</v>
      </c>
      <c r="P269" s="5">
        <f>COUNTIF(V$5:V269,"&gt;="&amp;MAX($V:$V)-183)</f>
        <v>0</v>
      </c>
      <c r="Q269" s="5">
        <f>COUNTIF(V$5:V269,"&gt;="&amp;MAX($V:$V)-365)</f>
        <v>0</v>
      </c>
      <c r="R269" s="5" cm="1">
        <f t="array" ref="R269">LOOKUP(2,1/($G$46:$G$50&lt;=$V269)/($H$46:$H$50&gt;=$V269),$F$46:$F$50)</f>
        <v>0</v>
      </c>
      <c r="S269" s="5" cm="1">
        <f t="array" ref="S269">LOOKUP(2,1/($G$53:$G$56&lt;=$V269)/($H$53:$H$56&gt;=$V269),$F$53:$F$56)</f>
        <v>0</v>
      </c>
      <c r="T269" s="5" t="e">
        <f>IFERROR(IF($R269&gt;0,$R269&amp;"-"&amp;COUNTIF($R$5:$R269,$R269),NA()),NA())</f>
        <v>#N/A</v>
      </c>
      <c r="U269" s="5" t="e">
        <f>IFERROR(IF($S269&gt;0,$S269&amp;"-"&amp;COUNTIF($S$5:$S269,$S269),NA()),NA())</f>
        <v>#N/A</v>
      </c>
      <c r="V269" s="10">
        <v>44588</v>
      </c>
      <c r="W269" s="9">
        <v>34469990.878686532</v>
      </c>
      <c r="X269" s="9">
        <v>41822439.933110371</v>
      </c>
      <c r="Y269" s="8">
        <v>20000000</v>
      </c>
      <c r="OB269" s="1"/>
    </row>
    <row r="270" spans="13:392" x14ac:dyDescent="0.2">
      <c r="M270" s="5" t="str" cm="1">
        <f t="array" ref="M270">LOOKUP(2,1/($G$19:$G$35&lt;=$V270)/($H$19:$H$35&gt;=$V270),$F$19:$F$35)</f>
        <v>2H22</v>
      </c>
      <c r="N270" s="5" t="str" cm="1">
        <f t="array" ref="N270">LOOKUP(2,1/($G$8:$G$16&lt;=$V270)/($H$8:$H$16&gt;=$V270),$F$8:$F$16)</f>
        <v>FY22</v>
      </c>
      <c r="O270" s="5" t="str">
        <f>IFERROR(N270&amp;"-"&amp;COUNTIF($N$5:N270,N270),NA())</f>
        <v>FY22-32</v>
      </c>
      <c r="P270" s="5">
        <f>COUNTIF(V$5:V270,"&gt;="&amp;MAX($V:$V)-183)</f>
        <v>0</v>
      </c>
      <c r="Q270" s="5">
        <f>COUNTIF(V$5:V270,"&gt;="&amp;MAX($V:$V)-365)</f>
        <v>0</v>
      </c>
      <c r="R270" s="5" cm="1">
        <f t="array" ref="R270">LOOKUP(2,1/($G$46:$G$50&lt;=$V270)/($H$46:$H$50&gt;=$V270),$F$46:$F$50)</f>
        <v>0</v>
      </c>
      <c r="S270" s="5" cm="1">
        <f t="array" ref="S270">LOOKUP(2,1/($G$53:$G$56&lt;=$V270)/($H$53:$H$56&gt;=$V270),$F$53:$F$56)</f>
        <v>0</v>
      </c>
      <c r="T270" s="5" t="e">
        <f>IFERROR(IF($R270&gt;0,$R270&amp;"-"&amp;COUNTIF($R$5:$R270,$R270),NA()),NA())</f>
        <v>#N/A</v>
      </c>
      <c r="U270" s="5" t="e">
        <f>IFERROR(IF($S270&gt;0,$S270&amp;"-"&amp;COUNTIF($S$5:$S270,$S270),NA()),NA())</f>
        <v>#N/A</v>
      </c>
      <c r="V270" s="10">
        <v>44595</v>
      </c>
      <c r="W270" s="9">
        <v>56254159.197324418</v>
      </c>
      <c r="X270" s="9">
        <v>68253171.354113713</v>
      </c>
      <c r="Y270" s="8">
        <v>40000000</v>
      </c>
      <c r="OB270" s="1"/>
    </row>
    <row r="271" spans="13:392" x14ac:dyDescent="0.2">
      <c r="M271" s="5" t="str" cm="1">
        <f t="array" ref="M271">LOOKUP(2,1/($G$19:$G$35&lt;=$V271)/($H$19:$H$35&gt;=$V271),$F$19:$F$35)</f>
        <v>2H22</v>
      </c>
      <c r="N271" s="5" t="str" cm="1">
        <f t="array" ref="N271">LOOKUP(2,1/($G$8:$G$16&lt;=$V271)/($H$8:$H$16&gt;=$V271),$F$8:$F$16)</f>
        <v>FY22</v>
      </c>
      <c r="O271" s="5" t="str">
        <f>IFERROR(N271&amp;"-"&amp;COUNTIF($N$5:N271,N271),NA())</f>
        <v>FY22-33</v>
      </c>
      <c r="P271" s="5">
        <f>COUNTIF(V$5:V271,"&gt;="&amp;MAX($V:$V)-183)</f>
        <v>0</v>
      </c>
      <c r="Q271" s="5">
        <f>COUNTIF(V$5:V271,"&gt;="&amp;MAX($V:$V)-365)</f>
        <v>0</v>
      </c>
      <c r="R271" s="5" cm="1">
        <f t="array" ref="R271">LOOKUP(2,1/($G$46:$G$50&lt;=$V271)/($H$46:$H$50&gt;=$V271),$F$46:$F$50)</f>
        <v>0</v>
      </c>
      <c r="S271" s="5" cm="1">
        <f t="array" ref="S271">LOOKUP(2,1/($G$53:$G$56&lt;=$V271)/($H$53:$H$56&gt;=$V271),$F$53:$F$56)</f>
        <v>0</v>
      </c>
      <c r="T271" s="5" t="e">
        <f>IFERROR(IF($R271&gt;0,$R271&amp;"-"&amp;COUNTIF($R$5:$R271,$R271),NA()),NA())</f>
        <v>#N/A</v>
      </c>
      <c r="U271" s="5" t="e">
        <f>IFERROR(IF($S271&gt;0,$S271&amp;"-"&amp;COUNTIF($S$5:$S271,$S271),NA()),NA())</f>
        <v>#N/A</v>
      </c>
      <c r="V271" s="10">
        <v>44602</v>
      </c>
      <c r="W271" s="9">
        <v>79133284.037701428</v>
      </c>
      <c r="X271" s="9">
        <v>96012413.522943139</v>
      </c>
      <c r="Y271" s="8">
        <v>60000000</v>
      </c>
      <c r="OB271" s="1"/>
    </row>
    <row r="272" spans="13:392" x14ac:dyDescent="0.2">
      <c r="M272" s="5" t="str" cm="1">
        <f t="array" ref="M272">LOOKUP(2,1/($G$19:$G$35&lt;=$V272)/($H$19:$H$35&gt;=$V272),$F$19:$F$35)</f>
        <v>2H22</v>
      </c>
      <c r="N272" s="5" t="str" cm="1">
        <f t="array" ref="N272">LOOKUP(2,1/($G$8:$G$16&lt;=$V272)/($H$8:$H$16&gt;=$V272),$F$8:$F$16)</f>
        <v>FY22</v>
      </c>
      <c r="O272" s="5" t="str">
        <f>IFERROR(N272&amp;"-"&amp;COUNTIF($N$5:N272,N272),NA())</f>
        <v>FY22-34</v>
      </c>
      <c r="P272" s="5">
        <f>COUNTIF(V$5:V272,"&gt;="&amp;MAX($V:$V)-183)</f>
        <v>0</v>
      </c>
      <c r="Q272" s="5">
        <f>COUNTIF(V$5:V272,"&gt;="&amp;MAX($V:$V)-365)</f>
        <v>0</v>
      </c>
      <c r="R272" s="5" cm="1">
        <f t="array" ref="R272">LOOKUP(2,1/($G$46:$G$50&lt;=$V272)/($H$46:$H$50&gt;=$V272),$F$46:$F$50)</f>
        <v>0</v>
      </c>
      <c r="S272" s="5" cm="1">
        <f t="array" ref="S272">LOOKUP(2,1/($G$53:$G$56&lt;=$V272)/($H$53:$H$56&gt;=$V272),$F$53:$F$56)</f>
        <v>0</v>
      </c>
      <c r="T272" s="5" t="e">
        <f>IFERROR(IF($R272&gt;0,$R272&amp;"-"&amp;COUNTIF($R$5:$R272,$R272),NA()),NA())</f>
        <v>#N/A</v>
      </c>
      <c r="U272" s="5" t="e">
        <f>IFERROR(IF($S272&gt;0,$S272&amp;"-"&amp;COUNTIF($S$5:$S272,$S272),NA()),NA())</f>
        <v>#N/A</v>
      </c>
      <c r="V272" s="10">
        <v>44609</v>
      </c>
      <c r="W272" s="9">
        <v>115947240.37701429</v>
      </c>
      <c r="X272" s="9">
        <v>140678786.74943146</v>
      </c>
      <c r="Y272" s="8">
        <v>80000000</v>
      </c>
      <c r="OB272" s="1"/>
    </row>
    <row r="273" spans="13:392" x14ac:dyDescent="0.2">
      <c r="M273" s="5" t="str" cm="1">
        <f t="array" ref="M273">LOOKUP(2,1/($G$19:$G$35&lt;=$V273)/($H$19:$H$35&gt;=$V273),$F$19:$F$35)</f>
        <v>2H22</v>
      </c>
      <c r="N273" s="5" t="str" cm="1">
        <f t="array" ref="N273">LOOKUP(2,1/($G$8:$G$16&lt;=$V273)/($H$8:$H$16&gt;=$V273),$F$8:$F$16)</f>
        <v>FY22</v>
      </c>
      <c r="O273" s="5" t="str">
        <f>IFERROR(N273&amp;"-"&amp;COUNTIF($N$5:N273,N273),NA())</f>
        <v>FY22-35</v>
      </c>
      <c r="P273" s="5">
        <f>COUNTIF(V$5:V273,"&gt;="&amp;MAX($V:$V)-183)</f>
        <v>0</v>
      </c>
      <c r="Q273" s="5">
        <f>COUNTIF(V$5:V273,"&gt;="&amp;MAX($V:$V)-365)</f>
        <v>0</v>
      </c>
      <c r="R273" s="5" cm="1">
        <f t="array" ref="R273">LOOKUP(2,1/($G$46:$G$50&lt;=$V273)/($H$46:$H$50&gt;=$V273),$F$46:$F$50)</f>
        <v>0</v>
      </c>
      <c r="S273" s="5" cm="1">
        <f t="array" ref="S273">LOOKUP(2,1/($G$53:$G$56&lt;=$V273)/($H$53:$H$56&gt;=$V273),$F$53:$F$56)</f>
        <v>0</v>
      </c>
      <c r="T273" s="5" t="e">
        <f>IFERROR(IF($R273&gt;0,$R273&amp;"-"&amp;COUNTIF($R$5:$R273,$R273),NA()),NA())</f>
        <v>#N/A</v>
      </c>
      <c r="U273" s="5" t="e">
        <f>IFERROR(IF($S273&gt;0,$S273&amp;"-"&amp;COUNTIF($S$5:$S273,$S273),NA()),NA())</f>
        <v>#N/A</v>
      </c>
      <c r="V273" s="10">
        <v>44616</v>
      </c>
      <c r="W273" s="9">
        <v>244631644.87686226</v>
      </c>
      <c r="X273" s="9">
        <v>296811574.72909701</v>
      </c>
      <c r="Y273" s="8">
        <v>120000000</v>
      </c>
      <c r="OB273" s="1"/>
    </row>
    <row r="274" spans="13:392" x14ac:dyDescent="0.2">
      <c r="M274" s="5" t="str" cm="1">
        <f t="array" ref="M274">LOOKUP(2,1/($G$19:$G$35&lt;=$V274)/($H$19:$H$35&gt;=$V274),$F$19:$F$35)</f>
        <v>2H22</v>
      </c>
      <c r="N274" s="5" t="str" cm="1">
        <f t="array" ref="N274">LOOKUP(2,1/($G$8:$G$16&lt;=$V274)/($H$8:$H$16&gt;=$V274),$F$8:$F$16)</f>
        <v>FY22</v>
      </c>
      <c r="O274" s="5" t="str">
        <f>IFERROR(N274&amp;"-"&amp;COUNTIF($N$5:N274,N274),NA())</f>
        <v>FY22-36</v>
      </c>
      <c r="P274" s="5">
        <f>COUNTIF(V$5:V274,"&gt;="&amp;MAX($V:$V)-183)</f>
        <v>0</v>
      </c>
      <c r="Q274" s="5">
        <f>COUNTIF(V$5:V274,"&gt;="&amp;MAX($V:$V)-365)</f>
        <v>0</v>
      </c>
      <c r="R274" s="5" cm="1">
        <f t="array" ref="R274">LOOKUP(2,1/($G$46:$G$50&lt;=$V274)/($H$46:$H$50&gt;=$V274),$F$46:$F$50)</f>
        <v>0</v>
      </c>
      <c r="S274" s="5" cm="1">
        <f t="array" ref="S274">LOOKUP(2,1/($G$53:$G$56&lt;=$V274)/($H$53:$H$56&gt;=$V274),$F$53:$F$56)</f>
        <v>0</v>
      </c>
      <c r="T274" s="5" t="e">
        <f>IFERROR(IF($R274&gt;0,$R274&amp;"-"&amp;COUNTIF($R$5:$R274,$R274),NA()),NA())</f>
        <v>#N/A</v>
      </c>
      <c r="U274" s="5" t="e">
        <f>IFERROR(IF($S274&gt;0,$S274&amp;"-"&amp;COUNTIF($S$5:$S274,$S274),NA()),NA())</f>
        <v>#N/A</v>
      </c>
      <c r="V274" s="10">
        <v>44623</v>
      </c>
      <c r="W274" s="9">
        <v>19764375.068409853</v>
      </c>
      <c r="X274" s="9">
        <v>23980116.270501677</v>
      </c>
      <c r="Y274" s="8">
        <v>3000000</v>
      </c>
      <c r="OB274" s="1"/>
    </row>
    <row r="275" spans="13:392" x14ac:dyDescent="0.2">
      <c r="M275" s="5" t="str" cm="1">
        <f t="array" ref="M275">LOOKUP(2,1/($G$19:$G$35&lt;=$V275)/($H$19:$H$35&gt;=$V275),$F$19:$F$35)</f>
        <v>2H22</v>
      </c>
      <c r="N275" s="5" t="str" cm="1">
        <f t="array" ref="N275">LOOKUP(2,1/($G$8:$G$16&lt;=$V275)/($H$8:$H$16&gt;=$V275),$F$8:$F$16)</f>
        <v>FY22</v>
      </c>
      <c r="O275" s="5" t="str">
        <f>IFERROR(N275&amp;"-"&amp;COUNTIF($N$5:N275,N275),NA())</f>
        <v>FY22-37</v>
      </c>
      <c r="P275" s="5">
        <f>COUNTIF(V$5:V275,"&gt;="&amp;MAX($V:$V)-183)</f>
        <v>0</v>
      </c>
      <c r="Q275" s="5">
        <f>COUNTIF(V$5:V275,"&gt;="&amp;MAX($V:$V)-365)</f>
        <v>0</v>
      </c>
      <c r="R275" s="5" cm="1">
        <f t="array" ref="R275">LOOKUP(2,1/($G$46:$G$50&lt;=$V275)/($H$46:$H$50&gt;=$V275),$F$46:$F$50)</f>
        <v>0</v>
      </c>
      <c r="S275" s="5" cm="1">
        <f t="array" ref="S275">LOOKUP(2,1/($G$53:$G$56&lt;=$V275)/($H$53:$H$56&gt;=$V275),$F$53:$F$56)</f>
        <v>0</v>
      </c>
      <c r="T275" s="5" t="e">
        <f>IFERROR(IF($R275&gt;0,$R275&amp;"-"&amp;COUNTIF($R$5:$R275,$R275),NA()),NA())</f>
        <v>#N/A</v>
      </c>
      <c r="U275" s="5" t="e">
        <f>IFERROR(IF($S275&gt;0,$S275&amp;"-"&amp;COUNTIF($S$5:$S275,$S275),NA()),NA())</f>
        <v>#N/A</v>
      </c>
      <c r="V275" s="10">
        <v>44630</v>
      </c>
      <c r="W275" s="9">
        <v>26335124.84037701</v>
      </c>
      <c r="X275" s="9">
        <v>31952406.968829427</v>
      </c>
      <c r="Y275" s="8">
        <v>8000000</v>
      </c>
      <c r="OB275" s="1"/>
    </row>
    <row r="276" spans="13:392" x14ac:dyDescent="0.2">
      <c r="M276" s="5" t="str" cm="1">
        <f t="array" ref="M276">LOOKUP(2,1/($G$19:$G$35&lt;=$V276)/($H$19:$H$35&gt;=$V276),$F$19:$F$35)</f>
        <v>2H22</v>
      </c>
      <c r="N276" s="5" t="str" cm="1">
        <f t="array" ref="N276">LOOKUP(2,1/($G$8:$G$16&lt;=$V276)/($H$8:$H$16&gt;=$V276),$F$8:$F$16)</f>
        <v>FY22</v>
      </c>
      <c r="O276" s="5" t="str">
        <f>IFERROR(N276&amp;"-"&amp;COUNTIF($N$5:N276,N276),NA())</f>
        <v>FY22-38</v>
      </c>
      <c r="P276" s="5">
        <f>COUNTIF(V$5:V276,"&gt;="&amp;MAX($V:$V)-183)</f>
        <v>0</v>
      </c>
      <c r="Q276" s="5">
        <f>COUNTIF(V$5:V276,"&gt;="&amp;MAX($V:$V)-365)</f>
        <v>0</v>
      </c>
      <c r="R276" s="5" cm="1">
        <f t="array" ref="R276">LOOKUP(2,1/($G$46:$G$50&lt;=$V276)/($H$46:$H$50&gt;=$V276),$F$46:$F$50)</f>
        <v>0</v>
      </c>
      <c r="S276" s="5" cm="1">
        <f t="array" ref="S276">LOOKUP(2,1/($G$53:$G$56&lt;=$V276)/($H$53:$H$56&gt;=$V276),$F$53:$F$56)</f>
        <v>0</v>
      </c>
      <c r="T276" s="5" t="e">
        <f>IFERROR(IF($R276&gt;0,$R276&amp;"-"&amp;COUNTIF($R$5:$R276,$R276),NA()),NA())</f>
        <v>#N/A</v>
      </c>
      <c r="U276" s="5" t="e">
        <f>IFERROR(IF($S276&gt;0,$S276&amp;"-"&amp;COUNTIF($S$5:$S276,$S276),NA()),NA())</f>
        <v>#N/A</v>
      </c>
      <c r="V276" s="10">
        <v>44637</v>
      </c>
      <c r="W276" s="9">
        <v>40906184.493767105</v>
      </c>
      <c r="X276" s="9">
        <v>49631473.646287628</v>
      </c>
      <c r="Y276" s="8">
        <v>20000000</v>
      </c>
      <c r="OB276" s="1"/>
    </row>
    <row r="277" spans="13:392" x14ac:dyDescent="0.2">
      <c r="M277" s="5" t="str" cm="1">
        <f t="array" ref="M277">LOOKUP(2,1/($G$19:$G$35&lt;=$V277)/($H$19:$H$35&gt;=$V277),$F$19:$F$35)</f>
        <v>2H22</v>
      </c>
      <c r="N277" s="5" t="str" cm="1">
        <f t="array" ref="N277">LOOKUP(2,1/($G$8:$G$16&lt;=$V277)/($H$8:$H$16&gt;=$V277),$F$8:$F$16)</f>
        <v>FY22</v>
      </c>
      <c r="O277" s="5" t="str">
        <f>IFERROR(N277&amp;"-"&amp;COUNTIF($N$5:N277,N277),NA())</f>
        <v>FY22-39</v>
      </c>
      <c r="P277" s="5">
        <f>COUNTIF(V$5:V277,"&gt;="&amp;MAX($V:$V)-183)</f>
        <v>0</v>
      </c>
      <c r="Q277" s="5">
        <f>COUNTIF(V$5:V277,"&gt;="&amp;MAX($V:$V)-365)</f>
        <v>0</v>
      </c>
      <c r="R277" s="5" cm="1">
        <f t="array" ref="R277">LOOKUP(2,1/($G$46:$G$50&lt;=$V277)/($H$46:$H$50&gt;=$V277),$F$46:$F$50)</f>
        <v>0</v>
      </c>
      <c r="S277" s="5" cm="1">
        <f t="array" ref="S277">LOOKUP(2,1/($G$53:$G$56&lt;=$V277)/($H$53:$H$56&gt;=$V277),$F$53:$F$56)</f>
        <v>0</v>
      </c>
      <c r="T277" s="5" t="e">
        <f>IFERROR(IF($R277&gt;0,$R277&amp;"-"&amp;COUNTIF($R$5:$R277,$R277),NA()),NA())</f>
        <v>#N/A</v>
      </c>
      <c r="U277" s="5" t="e">
        <f>IFERROR(IF($S277&gt;0,$S277&amp;"-"&amp;COUNTIF($S$5:$S277,$S277),NA()),NA())</f>
        <v>#N/A</v>
      </c>
      <c r="V277" s="10">
        <v>44644</v>
      </c>
      <c r="W277" s="9">
        <v>19376209.911827303</v>
      </c>
      <c r="X277" s="9">
        <v>23509155.48602007</v>
      </c>
      <c r="Y277" s="8">
        <v>3000000</v>
      </c>
      <c r="OB277" s="1"/>
    </row>
    <row r="278" spans="13:392" x14ac:dyDescent="0.2">
      <c r="M278" s="5" t="str" cm="1">
        <f t="array" ref="M278">LOOKUP(2,1/($G$19:$G$35&lt;=$V278)/($H$19:$H$35&gt;=$V278),$F$19:$F$35)</f>
        <v>2H22</v>
      </c>
      <c r="N278" s="5" t="str" cm="1">
        <f t="array" ref="N278">LOOKUP(2,1/($G$8:$G$16&lt;=$V278)/($H$8:$H$16&gt;=$V278),$F$8:$F$16)</f>
        <v>FY22</v>
      </c>
      <c r="O278" s="5" t="str">
        <f>IFERROR(N278&amp;"-"&amp;COUNTIF($N$5:N278,N278),NA())</f>
        <v>FY22-40</v>
      </c>
      <c r="P278" s="5">
        <f>COUNTIF(V$5:V278,"&gt;="&amp;MAX($V:$V)-183)</f>
        <v>0</v>
      </c>
      <c r="Q278" s="5">
        <f>COUNTIF(V$5:V278,"&gt;="&amp;MAX($V:$V)-365)</f>
        <v>0</v>
      </c>
      <c r="R278" s="5" cm="1">
        <f t="array" ref="R278">LOOKUP(2,1/($G$46:$G$50&lt;=$V278)/($H$46:$H$50&gt;=$V278),$F$46:$F$50)</f>
        <v>0</v>
      </c>
      <c r="S278" s="5" cm="1">
        <f t="array" ref="S278">LOOKUP(2,1/($G$53:$G$56&lt;=$V278)/($H$53:$H$56&gt;=$V278),$F$53:$F$56)</f>
        <v>0</v>
      </c>
      <c r="T278" s="5" t="e">
        <f>IFERROR(IF($R278&gt;0,$R278&amp;"-"&amp;COUNTIF($R$5:$R278,$R278),NA()),NA())</f>
        <v>#N/A</v>
      </c>
      <c r="U278" s="5" t="e">
        <f>IFERROR(IF($S278&gt;0,$S278&amp;"-"&amp;COUNTIF($S$5:$S278,$S278),NA()),NA())</f>
        <v>#N/A</v>
      </c>
      <c r="V278" s="10">
        <v>44651</v>
      </c>
      <c r="W278" s="9">
        <v>27161959.98783825</v>
      </c>
      <c r="X278" s="9">
        <v>32955606.053244151</v>
      </c>
      <c r="Y278" s="8">
        <v>8000000</v>
      </c>
      <c r="OB278" s="1"/>
    </row>
    <row r="279" spans="13:392" x14ac:dyDescent="0.2">
      <c r="M279" s="5" t="str" cm="1">
        <f t="array" ref="M279">LOOKUP(2,1/($G$19:$G$35&lt;=$V279)/($H$19:$H$35&gt;=$V279),$F$19:$F$35)</f>
        <v>2H22</v>
      </c>
      <c r="N279" s="5" t="str" cm="1">
        <f t="array" ref="N279">LOOKUP(2,1/($G$8:$G$16&lt;=$V279)/($H$8:$H$16&gt;=$V279),$F$8:$F$16)</f>
        <v>FY22</v>
      </c>
      <c r="O279" s="5" t="str">
        <f>IFERROR(N279&amp;"-"&amp;COUNTIF($N$5:N279,N279),NA())</f>
        <v>FY22-41</v>
      </c>
      <c r="P279" s="5">
        <f>COUNTIF(V$5:V279,"&gt;="&amp;MAX($V:$V)-183)</f>
        <v>0</v>
      </c>
      <c r="Q279" s="5">
        <f>COUNTIF(V$5:V279,"&gt;="&amp;MAX($V:$V)-365)</f>
        <v>0</v>
      </c>
      <c r="R279" s="5" cm="1">
        <f t="array" ref="R279">LOOKUP(2,1/($G$46:$G$50&lt;=$V279)/($H$46:$H$50&gt;=$V279),$F$46:$F$50)</f>
        <v>0</v>
      </c>
      <c r="S279" s="5" cm="1">
        <f t="array" ref="S279">LOOKUP(2,1/($G$53:$G$56&lt;=$V279)/($H$53:$H$56&gt;=$V279),$F$53:$F$56)</f>
        <v>0</v>
      </c>
      <c r="T279" s="5" t="e">
        <f>IFERROR(IF($R279&gt;0,$R279&amp;"-"&amp;COUNTIF($R$5:$R279,$R279),NA()),NA())</f>
        <v>#N/A</v>
      </c>
      <c r="U279" s="5" t="e">
        <f>IFERROR(IF($S279&gt;0,$S279&amp;"-"&amp;COUNTIF($S$5:$S279,$S279),NA()),NA())</f>
        <v>#N/A</v>
      </c>
      <c r="V279" s="10">
        <v>44658</v>
      </c>
      <c r="W279" s="9">
        <v>42925571.784736998</v>
      </c>
      <c r="X279" s="9">
        <v>52081596.246421404</v>
      </c>
      <c r="Y279" s="8">
        <v>20000000</v>
      </c>
      <c r="OB279" s="1"/>
    </row>
    <row r="280" spans="13:392" x14ac:dyDescent="0.2">
      <c r="M280" s="5" t="str" cm="1">
        <f t="array" ref="M280">LOOKUP(2,1/($G$19:$G$35&lt;=$V280)/($H$19:$H$35&gt;=$V280),$F$19:$F$35)</f>
        <v>2H22</v>
      </c>
      <c r="N280" s="5" t="str" cm="1">
        <f t="array" ref="N280">LOOKUP(2,1/($G$8:$G$16&lt;=$V280)/($H$8:$H$16&gt;=$V280),$F$8:$F$16)</f>
        <v>FY22</v>
      </c>
      <c r="O280" s="5" t="str">
        <f>IFERROR(N280&amp;"-"&amp;COUNTIF($N$5:N280,N280),NA())</f>
        <v>FY22-42</v>
      </c>
      <c r="P280" s="5">
        <f>COUNTIF(V$5:V280,"&gt;="&amp;MAX($V:$V)-183)</f>
        <v>0</v>
      </c>
      <c r="Q280" s="5">
        <f>COUNTIF(V$5:V280,"&gt;="&amp;MAX($V:$V)-365)</f>
        <v>0</v>
      </c>
      <c r="R280" s="5" cm="1">
        <f t="array" ref="R280">LOOKUP(2,1/($G$46:$G$50&lt;=$V280)/($H$46:$H$50&gt;=$V280),$F$46:$F$50)</f>
        <v>0</v>
      </c>
      <c r="S280" s="5" cm="1">
        <f t="array" ref="S280">LOOKUP(2,1/($G$53:$G$56&lt;=$V280)/($H$53:$H$56&gt;=$V280),$F$53:$F$56)</f>
        <v>0</v>
      </c>
      <c r="T280" s="5" t="e">
        <f>IFERROR(IF($R280&gt;0,$R280&amp;"-"&amp;COUNTIF($R$5:$R280,$R280),NA()),NA())</f>
        <v>#N/A</v>
      </c>
      <c r="U280" s="5" t="e">
        <f>IFERROR(IF($S280&gt;0,$S280&amp;"-"&amp;COUNTIF($S$5:$S280,$S280),NA()),NA())</f>
        <v>#N/A</v>
      </c>
      <c r="V280" s="10">
        <v>44665</v>
      </c>
      <c r="W280" s="9">
        <v>20606947.765278194</v>
      </c>
      <c r="X280" s="9">
        <v>25002409.723612033</v>
      </c>
      <c r="Y280" s="8">
        <v>4000000</v>
      </c>
      <c r="OB280" s="1"/>
    </row>
    <row r="281" spans="13:392" x14ac:dyDescent="0.2">
      <c r="M281" s="5" t="str" cm="1">
        <f t="array" ref="M281">LOOKUP(2,1/($G$19:$G$35&lt;=$V281)/($H$19:$H$35&gt;=$V281),$F$19:$F$35)</f>
        <v>2H22</v>
      </c>
      <c r="N281" s="5" t="str" cm="1">
        <f t="array" ref="N281">LOOKUP(2,1/($G$8:$G$16&lt;=$V281)/($H$8:$H$16&gt;=$V281),$F$8:$F$16)</f>
        <v>FY22</v>
      </c>
      <c r="O281" s="5" t="str">
        <f>IFERROR(N281&amp;"-"&amp;COUNTIF($N$5:N281,N281),NA())</f>
        <v>FY22-43</v>
      </c>
      <c r="P281" s="5">
        <f>COUNTIF(V$5:V281,"&gt;="&amp;MAX($V:$V)-183)</f>
        <v>0</v>
      </c>
      <c r="Q281" s="5">
        <f>COUNTIF(V$5:V281,"&gt;="&amp;MAX($V:$V)-365)</f>
        <v>0</v>
      </c>
      <c r="R281" s="5" cm="1">
        <f t="array" ref="R281">LOOKUP(2,1/($G$46:$G$50&lt;=$V281)/($H$46:$H$50&gt;=$V281),$F$46:$F$50)</f>
        <v>0</v>
      </c>
      <c r="S281" s="5" cm="1">
        <f t="array" ref="S281">LOOKUP(2,1/($G$53:$G$56&lt;=$V281)/($H$53:$H$56&gt;=$V281),$F$53:$F$56)</f>
        <v>0</v>
      </c>
      <c r="T281" s="5" t="e">
        <f>IFERROR(IF($R281&gt;0,$R281&amp;"-"&amp;COUNTIF($R$5:$R281,$R281),NA()),NA())</f>
        <v>#N/A</v>
      </c>
      <c r="U281" s="5" t="e">
        <f>IFERROR(IF($S281&gt;0,$S281&amp;"-"&amp;COUNTIF($S$5:$S281,$S281),NA()),NA())</f>
        <v>#N/A</v>
      </c>
      <c r="V281" s="10">
        <v>44672</v>
      </c>
      <c r="W281" s="9">
        <v>24232711.705685619</v>
      </c>
      <c r="X281" s="9">
        <v>29401549.112508364</v>
      </c>
      <c r="Y281" s="8">
        <v>8000000</v>
      </c>
      <c r="OB281" s="1"/>
    </row>
    <row r="282" spans="13:392" x14ac:dyDescent="0.2">
      <c r="M282" s="5" t="str" cm="1">
        <f t="array" ref="M282">LOOKUP(2,1/($G$19:$G$35&lt;=$V282)/($H$19:$H$35&gt;=$V282),$F$19:$F$35)</f>
        <v>2H22</v>
      </c>
      <c r="N282" s="5" t="str" cm="1">
        <f t="array" ref="N282">LOOKUP(2,1/($G$8:$G$16&lt;=$V282)/($H$8:$H$16&gt;=$V282),$F$8:$F$16)</f>
        <v>FY22</v>
      </c>
      <c r="O282" s="5" t="str">
        <f>IFERROR(N282&amp;"-"&amp;COUNTIF($N$5:N282,N282),NA())</f>
        <v>FY22-44</v>
      </c>
      <c r="P282" s="5">
        <f>COUNTIF(V$5:V282,"&gt;="&amp;MAX($V:$V)-183)</f>
        <v>0</v>
      </c>
      <c r="Q282" s="5">
        <f>COUNTIF(V$5:V282,"&gt;="&amp;MAX($V:$V)-365)</f>
        <v>0</v>
      </c>
      <c r="R282" s="5" cm="1">
        <f t="array" ref="R282">LOOKUP(2,1/($G$46:$G$50&lt;=$V282)/($H$46:$H$50&gt;=$V282),$F$46:$F$50)</f>
        <v>0</v>
      </c>
      <c r="S282" s="5" cm="1">
        <f t="array" ref="S282">LOOKUP(2,1/($G$53:$G$56&lt;=$V282)/($H$53:$H$56&gt;=$V282),$F$53:$F$56)</f>
        <v>0</v>
      </c>
      <c r="T282" s="5" t="e">
        <f>IFERROR(IF($R282&gt;0,$R282&amp;"-"&amp;COUNTIF($R$5:$R282,$R282),NA()),NA())</f>
        <v>#N/A</v>
      </c>
      <c r="U282" s="5" t="e">
        <f>IFERROR(IF($S282&gt;0,$S282&amp;"-"&amp;COUNTIF($S$5:$S282,$S282),NA()),NA())</f>
        <v>#N/A</v>
      </c>
      <c r="V282" s="10">
        <v>44679</v>
      </c>
      <c r="W282" s="9">
        <v>39401901.124961987</v>
      </c>
      <c r="X282" s="9">
        <v>47806326.63491638</v>
      </c>
      <c r="Y282" s="8">
        <v>20000000</v>
      </c>
      <c r="OB282" s="1"/>
    </row>
    <row r="283" spans="13:392" x14ac:dyDescent="0.2">
      <c r="M283" s="5" t="str" cm="1">
        <f t="array" ref="M283">LOOKUP(2,1/($G$19:$G$35&lt;=$V283)/($H$19:$H$35&gt;=$V283),$F$19:$F$35)</f>
        <v>2H22</v>
      </c>
      <c r="N283" s="5" t="str" cm="1">
        <f t="array" ref="N283">LOOKUP(2,1/($G$8:$G$16&lt;=$V283)/($H$8:$H$16&gt;=$V283),$F$8:$F$16)</f>
        <v>FY22</v>
      </c>
      <c r="O283" s="5" t="str">
        <f>IFERROR(N283&amp;"-"&amp;COUNTIF($N$5:N283,N283),NA())</f>
        <v>FY22-45</v>
      </c>
      <c r="P283" s="5">
        <f>COUNTIF(V$5:V283,"&gt;="&amp;MAX($V:$V)-183)</f>
        <v>0</v>
      </c>
      <c r="Q283" s="5">
        <f>COUNTIF(V$5:V283,"&gt;="&amp;MAX($V:$V)-365)</f>
        <v>0</v>
      </c>
      <c r="R283" s="5" cm="1">
        <f t="array" ref="R283">LOOKUP(2,1/($G$46:$G$50&lt;=$V283)/($H$46:$H$50&gt;=$V283),$F$46:$F$50)</f>
        <v>0</v>
      </c>
      <c r="S283" s="5" cm="1">
        <f t="array" ref="S283">LOOKUP(2,1/($G$53:$G$56&lt;=$V283)/($H$53:$H$56&gt;=$V283),$F$53:$F$56)</f>
        <v>0</v>
      </c>
      <c r="T283" s="5" t="e">
        <f>IFERROR(IF($R283&gt;0,$R283&amp;"-"&amp;COUNTIF($R$5:$R283,$R283),NA()),NA())</f>
        <v>#N/A</v>
      </c>
      <c r="U283" s="5" t="e">
        <f>IFERROR(IF($S283&gt;0,$S283&amp;"-"&amp;COUNTIF($S$5:$S283,$S283),NA()),NA())</f>
        <v>#N/A</v>
      </c>
      <c r="V283" s="10">
        <v>44686</v>
      </c>
      <c r="W283" s="9">
        <v>58067244.025539674</v>
      </c>
      <c r="X283" s="9">
        <v>70452987.176187292</v>
      </c>
      <c r="Y283" s="8">
        <v>40000000</v>
      </c>
      <c r="OB283" s="1"/>
    </row>
    <row r="284" spans="13:392" x14ac:dyDescent="0.2">
      <c r="M284" s="5" t="str" cm="1">
        <f t="array" ref="M284">LOOKUP(2,1/($G$19:$G$35&lt;=$V284)/($H$19:$H$35&gt;=$V284),$F$19:$F$35)</f>
        <v>2H22</v>
      </c>
      <c r="N284" s="5" t="str" cm="1">
        <f t="array" ref="N284">LOOKUP(2,1/($G$8:$G$16&lt;=$V284)/($H$8:$H$16&gt;=$V284),$F$8:$F$16)</f>
        <v>FY22</v>
      </c>
      <c r="O284" s="5" t="str">
        <f>IFERROR(N284&amp;"-"&amp;COUNTIF($N$5:N284,N284),NA())</f>
        <v>FY22-46</v>
      </c>
      <c r="P284" s="5">
        <f>COUNTIF(V$5:V284,"&gt;="&amp;MAX($V:$V)-183)</f>
        <v>0</v>
      </c>
      <c r="Q284" s="5">
        <f>COUNTIF(V$5:V284,"&gt;="&amp;MAX($V:$V)-365)</f>
        <v>0</v>
      </c>
      <c r="R284" s="5" cm="1">
        <f t="array" ref="R284">LOOKUP(2,1/($G$46:$G$50&lt;=$V284)/($H$46:$H$50&gt;=$V284),$F$46:$F$50)</f>
        <v>0</v>
      </c>
      <c r="S284" s="5" cm="1">
        <f t="array" ref="S284">LOOKUP(2,1/($G$53:$G$56&lt;=$V284)/($H$53:$H$56&gt;=$V284),$F$53:$F$56)</f>
        <v>0</v>
      </c>
      <c r="T284" s="5" t="e">
        <f>IFERROR(IF($R284&gt;0,$R284&amp;"-"&amp;COUNTIF($R$5:$R284,$R284),NA()),NA())</f>
        <v>#N/A</v>
      </c>
      <c r="U284" s="5" t="e">
        <f>IFERROR(IF($S284&gt;0,$S284&amp;"-"&amp;COUNTIF($S$5:$S284,$S284),NA()),NA())</f>
        <v>#N/A</v>
      </c>
      <c r="V284" s="10">
        <v>44693</v>
      </c>
      <c r="W284" s="9">
        <v>83810205.168744296</v>
      </c>
      <c r="X284" s="9">
        <v>101686921.93123746</v>
      </c>
      <c r="Y284" s="8">
        <v>60000000</v>
      </c>
      <c r="OB284" s="1"/>
    </row>
    <row r="285" spans="13:392" x14ac:dyDescent="0.2">
      <c r="M285" s="5" t="str" cm="1">
        <f t="array" ref="M285">LOOKUP(2,1/($G$19:$G$35&lt;=$V285)/($H$19:$H$35&gt;=$V285),$F$19:$F$35)</f>
        <v>2H22</v>
      </c>
      <c r="N285" s="5" t="str" cm="1">
        <f t="array" ref="N285">LOOKUP(2,1/($G$8:$G$16&lt;=$V285)/($H$8:$H$16&gt;=$V285),$F$8:$F$16)</f>
        <v>FY22</v>
      </c>
      <c r="O285" s="5" t="str">
        <f>IFERROR(N285&amp;"-"&amp;COUNTIF($N$5:N285,N285),NA())</f>
        <v>FY22-47</v>
      </c>
      <c r="P285" s="5">
        <f>COUNTIF(V$5:V285,"&gt;="&amp;MAX($V:$V)-183)</f>
        <v>0</v>
      </c>
      <c r="Q285" s="5">
        <f>COUNTIF(V$5:V285,"&gt;="&amp;MAX($V:$V)-365)</f>
        <v>0</v>
      </c>
      <c r="R285" s="5" cm="1">
        <f t="array" ref="R285">LOOKUP(2,1/($G$46:$G$50&lt;=$V285)/($H$46:$H$50&gt;=$V285),$F$46:$F$50)</f>
        <v>0</v>
      </c>
      <c r="S285" s="5" cm="1">
        <f t="array" ref="S285">LOOKUP(2,1/($G$53:$G$56&lt;=$V285)/($H$53:$H$56&gt;=$V285),$F$53:$F$56)</f>
        <v>0</v>
      </c>
      <c r="T285" s="5" t="e">
        <f>IFERROR(IF($R285&gt;0,$R285&amp;"-"&amp;COUNTIF($R$5:$R285,$R285),NA()),NA())</f>
        <v>#N/A</v>
      </c>
      <c r="U285" s="5" t="e">
        <f>IFERROR(IF($S285&gt;0,$S285&amp;"-"&amp;COUNTIF($S$5:$S285,$S285),NA()),NA())</f>
        <v>#N/A</v>
      </c>
      <c r="V285" s="10">
        <v>44700</v>
      </c>
      <c r="W285" s="9">
        <v>116725204.01337792</v>
      </c>
      <c r="X285" s="9">
        <v>141622690.02943143</v>
      </c>
      <c r="Y285" s="8">
        <v>80000000</v>
      </c>
      <c r="OB285" s="1"/>
    </row>
    <row r="286" spans="13:392" x14ac:dyDescent="0.2">
      <c r="M286" s="5" t="str" cm="1">
        <f t="array" ref="M286">LOOKUP(2,1/($G$19:$G$35&lt;=$V286)/($H$19:$H$35&gt;=$V286),$F$19:$F$35)</f>
        <v>2H22</v>
      </c>
      <c r="N286" s="5" t="str" cm="1">
        <f t="array" ref="N286">LOOKUP(2,1/($G$8:$G$16&lt;=$V286)/($H$8:$H$16&gt;=$V286),$F$8:$F$16)</f>
        <v>FY22</v>
      </c>
      <c r="O286" s="5" t="str">
        <f>IFERROR(N286&amp;"-"&amp;COUNTIF($N$5:N286,N286),NA())</f>
        <v>FY22-48</v>
      </c>
      <c r="P286" s="5">
        <f>COUNTIF(V$5:V286,"&gt;="&amp;MAX($V:$V)-183)</f>
        <v>0</v>
      </c>
      <c r="Q286" s="5">
        <f>COUNTIF(V$5:V286,"&gt;="&amp;MAX($V:$V)-365)</f>
        <v>0</v>
      </c>
      <c r="R286" s="5" cm="1">
        <f t="array" ref="R286">LOOKUP(2,1/($G$46:$G$50&lt;=$V286)/($H$46:$H$50&gt;=$V286),$F$46:$F$50)</f>
        <v>0</v>
      </c>
      <c r="S286" s="5" t="str" cm="1">
        <f t="array" ref="S286">LOOKUP(2,1/($G$53:$G$56&lt;=$V286)/($H$53:$H$56&gt;=$V286),$F$53:$F$56)</f>
        <v>N2</v>
      </c>
      <c r="T286" s="5" t="e">
        <f>IFERROR(IF($R286&gt;0,$R286&amp;"-"&amp;COUNTIF($R$5:$R286,$R286),NA()),NA())</f>
        <v>#N/A</v>
      </c>
      <c r="U286" s="5" t="str">
        <f>IFERROR(IF($S286&gt;0,$S286&amp;"-"&amp;COUNTIF($S$5:$S286,$S286),NA()),NA())</f>
        <v>N2-1</v>
      </c>
      <c r="V286" s="10">
        <v>44707</v>
      </c>
      <c r="W286" s="9">
        <v>21016983.155974455</v>
      </c>
      <c r="X286" s="9">
        <v>25499905.663143806</v>
      </c>
      <c r="Y286" s="8">
        <v>4000000</v>
      </c>
      <c r="OB286" s="1"/>
    </row>
    <row r="287" spans="13:392" x14ac:dyDescent="0.2">
      <c r="M287" s="5" t="str" cm="1">
        <f t="array" ref="M287">LOOKUP(2,1/($G$19:$G$35&lt;=$V287)/($H$19:$H$35&gt;=$V287),$F$19:$F$35)</f>
        <v>2H22</v>
      </c>
      <c r="N287" s="5" t="str" cm="1">
        <f t="array" ref="N287">LOOKUP(2,1/($G$8:$G$16&lt;=$V287)/($H$8:$H$16&gt;=$V287),$F$8:$F$16)</f>
        <v>FY22</v>
      </c>
      <c r="O287" s="5" t="str">
        <f>IFERROR(N287&amp;"-"&amp;COUNTIF($N$5:N287,N287),NA())</f>
        <v>FY22-49</v>
      </c>
      <c r="P287" s="5">
        <f>COUNTIF(V$5:V287,"&gt;="&amp;MAX($V:$V)-183)</f>
        <v>0</v>
      </c>
      <c r="Q287" s="5">
        <f>COUNTIF(V$5:V287,"&gt;="&amp;MAX($V:$V)-365)</f>
        <v>0</v>
      </c>
      <c r="R287" s="5" cm="1">
        <f t="array" ref="R287">LOOKUP(2,1/($G$46:$G$50&lt;=$V287)/($H$46:$H$50&gt;=$V287),$F$46:$F$50)</f>
        <v>0</v>
      </c>
      <c r="S287" s="5" t="str" cm="1">
        <f t="array" ref="S287">LOOKUP(2,1/($G$53:$G$56&lt;=$V287)/($H$53:$H$56&gt;=$V287),$F$53:$F$56)</f>
        <v>N2</v>
      </c>
      <c r="T287" s="5" t="e">
        <f>IFERROR(IF($R287&gt;0,$R287&amp;"-"&amp;COUNTIF($R$5:$R287,$R287),NA()),NA())</f>
        <v>#N/A</v>
      </c>
      <c r="U287" s="5" t="str">
        <f>IFERROR(IF($S287&gt;0,$S287&amp;"-"&amp;COUNTIF($S$5:$S287,$S287),NA()),NA())</f>
        <v>N2-2</v>
      </c>
      <c r="V287" s="10">
        <v>44714</v>
      </c>
      <c r="W287" s="9">
        <v>21125759.318941928</v>
      </c>
      <c r="X287" s="9">
        <v>25631883.781672243</v>
      </c>
      <c r="Y287" s="8">
        <v>4000000</v>
      </c>
      <c r="OB287" s="1"/>
    </row>
    <row r="288" spans="13:392" x14ac:dyDescent="0.2">
      <c r="M288" s="5" t="str" cm="1">
        <f t="array" ref="M288">LOOKUP(2,1/($G$19:$G$35&lt;=$V288)/($H$19:$H$35&gt;=$V288),$F$19:$F$35)</f>
        <v>2H22</v>
      </c>
      <c r="N288" s="5" t="str" cm="1">
        <f t="array" ref="N288">LOOKUP(2,1/($G$8:$G$16&lt;=$V288)/($H$8:$H$16&gt;=$V288),$F$8:$F$16)</f>
        <v>FY22</v>
      </c>
      <c r="O288" s="5" t="str">
        <f>IFERROR(N288&amp;"-"&amp;COUNTIF($N$5:N288,N288),NA())</f>
        <v>FY22-50</v>
      </c>
      <c r="P288" s="5">
        <f>COUNTIF(V$5:V288,"&gt;="&amp;MAX($V:$V)-183)</f>
        <v>0</v>
      </c>
      <c r="Q288" s="5">
        <f>COUNTIF(V$5:V288,"&gt;="&amp;MAX($V:$V)-365)</f>
        <v>0</v>
      </c>
      <c r="R288" s="5" cm="1">
        <f t="array" ref="R288">LOOKUP(2,1/($G$46:$G$50&lt;=$V288)/($H$46:$H$50&gt;=$V288),$F$46:$F$50)</f>
        <v>0</v>
      </c>
      <c r="S288" s="5" t="str" cm="1">
        <f t="array" ref="S288">LOOKUP(2,1/($G$53:$G$56&lt;=$V288)/($H$53:$H$56&gt;=$V288),$F$53:$F$56)</f>
        <v>N2</v>
      </c>
      <c r="T288" s="5" t="e">
        <f>IFERROR(IF($R288&gt;0,$R288&amp;"-"&amp;COUNTIF($R$5:$R288,$R288),NA()),NA())</f>
        <v>#N/A</v>
      </c>
      <c r="U288" s="5" t="str">
        <f>IFERROR(IF($S288&gt;0,$S288&amp;"-"&amp;COUNTIF($S$5:$S288,$S288),NA()),NA())</f>
        <v>N2-3</v>
      </c>
      <c r="V288" s="10">
        <v>44721</v>
      </c>
      <c r="W288" s="9">
        <v>27291882.760717545</v>
      </c>
      <c r="X288" s="9">
        <v>33113241.353578597</v>
      </c>
      <c r="Y288" s="8">
        <v>8000000</v>
      </c>
      <c r="OB288" s="1"/>
    </row>
    <row r="289" spans="13:392" x14ac:dyDescent="0.2">
      <c r="M289" s="5" t="str" cm="1">
        <f t="array" ref="M289">LOOKUP(2,1/($G$19:$G$35&lt;=$V289)/($H$19:$H$35&gt;=$V289),$F$19:$F$35)</f>
        <v>2H22</v>
      </c>
      <c r="N289" s="5" t="str" cm="1">
        <f t="array" ref="N289">LOOKUP(2,1/($G$8:$G$16&lt;=$V289)/($H$8:$H$16&gt;=$V289),$F$8:$F$16)</f>
        <v>FY22</v>
      </c>
      <c r="O289" s="5" t="str">
        <f>IFERROR(N289&amp;"-"&amp;COUNTIF($N$5:N289,N289),NA())</f>
        <v>FY22-51</v>
      </c>
      <c r="P289" s="5">
        <f>COUNTIF(V$5:V289,"&gt;="&amp;MAX($V:$V)-183)</f>
        <v>0</v>
      </c>
      <c r="Q289" s="5">
        <f>COUNTIF(V$5:V289,"&gt;="&amp;MAX($V:$V)-365)</f>
        <v>0</v>
      </c>
      <c r="R289" s="5" cm="1">
        <f t="array" ref="R289">LOOKUP(2,1/($G$46:$G$50&lt;=$V289)/($H$46:$H$50&gt;=$V289),$F$46:$F$50)</f>
        <v>0</v>
      </c>
      <c r="S289" s="5" t="str" cm="1">
        <f t="array" ref="S289">LOOKUP(2,1/($G$53:$G$56&lt;=$V289)/($H$53:$H$56&gt;=$V289),$F$53:$F$56)</f>
        <v>N2</v>
      </c>
      <c r="T289" s="5" t="e">
        <f>IFERROR(IF($R289&gt;0,$R289&amp;"-"&amp;COUNTIF($R$5:$R289,$R289),NA()),NA())</f>
        <v>#N/A</v>
      </c>
      <c r="U289" s="5" t="str">
        <f>IFERROR(IF($S289&gt;0,$S289&amp;"-"&amp;COUNTIF($S$5:$S289,$S289),NA()),NA())</f>
        <v>N2-4</v>
      </c>
      <c r="V289" s="10">
        <v>44728</v>
      </c>
      <c r="W289" s="9">
        <v>41963661.416844025</v>
      </c>
      <c r="X289" s="9">
        <v>50914510.397056855</v>
      </c>
      <c r="Y289" s="8">
        <v>20000000</v>
      </c>
      <c r="OB289" s="1"/>
    </row>
    <row r="290" spans="13:392" x14ac:dyDescent="0.2">
      <c r="M290" s="5" t="str" cm="1">
        <f t="array" ref="M290">LOOKUP(2,1/($G$19:$G$35&lt;=$V290)/($H$19:$H$35&gt;=$V290),$F$19:$F$35)</f>
        <v>2H22</v>
      </c>
      <c r="N290" s="5" t="str" cm="1">
        <f t="array" ref="N290">LOOKUP(2,1/($G$8:$G$16&lt;=$V290)/($H$8:$H$16&gt;=$V290),$F$8:$F$16)</f>
        <v>FY22</v>
      </c>
      <c r="O290" s="5" t="str">
        <f>IFERROR(N290&amp;"-"&amp;COUNTIF($N$5:N290,N290),NA())</f>
        <v>FY22-52</v>
      </c>
      <c r="P290" s="5">
        <f>COUNTIF(V$5:V290,"&gt;="&amp;MAX($V:$V)-183)</f>
        <v>0</v>
      </c>
      <c r="Q290" s="5">
        <f>COUNTIF(V$5:V290,"&gt;="&amp;MAX($V:$V)-365)</f>
        <v>0</v>
      </c>
      <c r="R290" s="5" cm="1">
        <f t="array" ref="R290">LOOKUP(2,1/($G$46:$G$50&lt;=$V290)/($H$46:$H$50&gt;=$V290),$F$46:$F$50)</f>
        <v>0</v>
      </c>
      <c r="S290" s="5" t="str" cm="1">
        <f t="array" ref="S290">LOOKUP(2,1/($G$53:$G$56&lt;=$V290)/($H$53:$H$56&gt;=$V290),$F$53:$F$56)</f>
        <v>N2</v>
      </c>
      <c r="T290" s="5" t="e">
        <f>IFERROR(IF($R290&gt;0,$R290&amp;"-"&amp;COUNTIF($R$5:$R290,$R290),NA()),NA())</f>
        <v>#N/A</v>
      </c>
      <c r="U290" s="5" t="str">
        <f>IFERROR(IF($S290&gt;0,$S290&amp;"-"&amp;COUNTIF($S$5:$S290,$S290),NA()),NA())</f>
        <v>N2-5</v>
      </c>
      <c r="V290" s="10">
        <v>44735</v>
      </c>
      <c r="W290" s="9">
        <v>57463937.245363325</v>
      </c>
      <c r="X290" s="9">
        <v>69720995.059799328</v>
      </c>
      <c r="Y290" s="8">
        <v>40000000</v>
      </c>
      <c r="OB290" s="1"/>
    </row>
    <row r="291" spans="13:392" x14ac:dyDescent="0.2">
      <c r="M291" s="5" t="str" cm="1">
        <f t="array" ref="M291">LOOKUP(2,1/($G$19:$G$35&lt;=$V291)/($H$19:$H$35&gt;=$V291),$F$19:$F$35)</f>
        <v>2H22</v>
      </c>
      <c r="N291" s="5" t="str" cm="1">
        <f t="array" ref="N291">LOOKUP(2,1/($G$8:$G$16&lt;=$V291)/($H$8:$H$16&gt;=$V291),$F$8:$F$16)</f>
        <v>FY22</v>
      </c>
      <c r="O291" s="5" t="str">
        <f>IFERROR(N291&amp;"-"&amp;COUNTIF($N$5:N291,N291),NA())</f>
        <v>FY22-53</v>
      </c>
      <c r="P291" s="5">
        <f>COUNTIF(V$5:V291,"&gt;="&amp;MAX($V:$V)-183)</f>
        <v>0</v>
      </c>
      <c r="Q291" s="5">
        <f>COUNTIF(V$5:V291,"&gt;="&amp;MAX($V:$V)-365)</f>
        <v>0</v>
      </c>
      <c r="R291" s="5" cm="1">
        <f t="array" ref="R291">LOOKUP(2,1/($G$46:$G$50&lt;=$V291)/($H$46:$H$50&gt;=$V291),$F$46:$F$50)</f>
        <v>0</v>
      </c>
      <c r="S291" s="5" t="str" cm="1">
        <f t="array" ref="S291">LOOKUP(2,1/($G$53:$G$56&lt;=$V291)/($H$53:$H$56&gt;=$V291),$F$53:$F$56)</f>
        <v>N2</v>
      </c>
      <c r="T291" s="5" t="e">
        <f>IFERROR(IF($R291&gt;0,$R291&amp;"-"&amp;COUNTIF($R$5:$R291,$R291),NA()),NA())</f>
        <v>#N/A</v>
      </c>
      <c r="U291" s="5" t="str">
        <f>IFERROR(IF($S291&gt;0,$S291&amp;"-"&amp;COUNTIF($S$5:$S291,$S291),NA()),NA())</f>
        <v>N2-6</v>
      </c>
      <c r="V291" s="10">
        <v>44742</v>
      </c>
      <c r="W291" s="9">
        <v>77836461.903314069</v>
      </c>
      <c r="X291" s="9">
        <v>94438979.227290958</v>
      </c>
      <c r="Y291" s="8">
        <v>60000000</v>
      </c>
      <c r="OB291" s="1"/>
    </row>
    <row r="292" spans="13:392" x14ac:dyDescent="0.2">
      <c r="M292" s="5" t="str" cm="1">
        <f t="array" ref="M292">LOOKUP(2,1/($G$19:$G$35&lt;=$V292)/($H$19:$H$35&gt;=$V292),$F$19:$F$35)</f>
        <v>1H23</v>
      </c>
      <c r="N292" s="5" t="str" cm="1">
        <f t="array" ref="N292">LOOKUP(2,1/($G$8:$G$16&lt;=$V292)/($H$8:$H$16&gt;=$V292),$F$8:$F$16)</f>
        <v>FY23</v>
      </c>
      <c r="O292" s="5" t="str">
        <f>IFERROR(N292&amp;"-"&amp;COUNTIF($N$5:N292,N292),NA())</f>
        <v>FY23-1</v>
      </c>
      <c r="P292" s="5">
        <f>COUNTIF(V$5:V292,"&gt;="&amp;MAX($V:$V)-183)</f>
        <v>0</v>
      </c>
      <c r="Q292" s="5">
        <f>COUNTIF(V$5:V292,"&gt;="&amp;MAX($V:$V)-365)</f>
        <v>0</v>
      </c>
      <c r="R292" s="5" cm="1">
        <f t="array" ref="R292">LOOKUP(2,1/($G$46:$G$50&lt;=$V292)/($H$46:$H$50&gt;=$V292),$F$46:$F$50)</f>
        <v>0</v>
      </c>
      <c r="S292" s="5" t="str" cm="1">
        <f t="array" ref="S292">LOOKUP(2,1/($G$53:$G$56&lt;=$V292)/($H$53:$H$56&gt;=$V292),$F$53:$F$56)</f>
        <v>N2</v>
      </c>
      <c r="T292" s="5" t="e">
        <f>IFERROR(IF($R292&gt;0,$R292&amp;"-"&amp;COUNTIF($R$5:$R292,$R292),NA()),NA())</f>
        <v>#N/A</v>
      </c>
      <c r="U292" s="5" t="str">
        <f>IFERROR(IF($S292&gt;0,$S292&amp;"-"&amp;COUNTIF($S$5:$S292,$S292),NA()),NA())</f>
        <v>N2-7</v>
      </c>
      <c r="V292" s="10">
        <v>44749</v>
      </c>
      <c r="W292" s="9">
        <v>20096787.838248707</v>
      </c>
      <c r="X292" s="9">
        <v>24383432.684147157</v>
      </c>
      <c r="Y292" s="8">
        <v>4000000</v>
      </c>
      <c r="OB292" s="1"/>
    </row>
    <row r="293" spans="13:392" x14ac:dyDescent="0.2">
      <c r="M293" s="5" t="str" cm="1">
        <f t="array" ref="M293">LOOKUP(2,1/($G$19:$G$35&lt;=$V293)/($H$19:$H$35&gt;=$V293),$F$19:$F$35)</f>
        <v>1H23</v>
      </c>
      <c r="N293" s="5" t="str" cm="1">
        <f t="array" ref="N293">LOOKUP(2,1/($G$8:$G$16&lt;=$V293)/($H$8:$H$16&gt;=$V293),$F$8:$F$16)</f>
        <v>FY23</v>
      </c>
      <c r="O293" s="5" t="str">
        <f>IFERROR(N293&amp;"-"&amp;COUNTIF($N$5:N293,N293),NA())</f>
        <v>FY23-2</v>
      </c>
      <c r="P293" s="5">
        <f>COUNTIF(V$5:V293,"&gt;="&amp;MAX($V:$V)-183)</f>
        <v>0</v>
      </c>
      <c r="Q293" s="5">
        <f>COUNTIF(V$5:V293,"&gt;="&amp;MAX($V:$V)-365)</f>
        <v>0</v>
      </c>
      <c r="R293" s="5" cm="1">
        <f t="array" ref="R293">LOOKUP(2,1/($G$46:$G$50&lt;=$V293)/($H$46:$H$50&gt;=$V293),$F$46:$F$50)</f>
        <v>0</v>
      </c>
      <c r="S293" s="5" t="str" cm="1">
        <f t="array" ref="S293">LOOKUP(2,1/($G$53:$G$56&lt;=$V293)/($H$53:$H$56&gt;=$V293),$F$53:$F$56)</f>
        <v>N2</v>
      </c>
      <c r="T293" s="5" t="e">
        <f>IFERROR(IF($R293&gt;0,$R293&amp;"-"&amp;COUNTIF($R$5:$R293,$R293),NA()),NA())</f>
        <v>#N/A</v>
      </c>
      <c r="U293" s="5" t="str">
        <f>IFERROR(IF($S293&gt;0,$S293&amp;"-"&amp;COUNTIF($S$5:$S293,$S293),NA()),NA())</f>
        <v>N2-8</v>
      </c>
      <c r="V293" s="10">
        <v>44756</v>
      </c>
      <c r="W293" s="9">
        <v>27258635.451505017</v>
      </c>
      <c r="X293" s="9">
        <v>33072902.393311039</v>
      </c>
      <c r="Y293" s="8">
        <v>8000000</v>
      </c>
      <c r="OB293" s="1"/>
    </row>
    <row r="294" spans="13:392" x14ac:dyDescent="0.2">
      <c r="M294" s="5" t="str" cm="1">
        <f t="array" ref="M294">LOOKUP(2,1/($G$19:$G$35&lt;=$V294)/($H$19:$H$35&gt;=$V294),$F$19:$F$35)</f>
        <v>1H23</v>
      </c>
      <c r="N294" s="5" t="str" cm="1">
        <f t="array" ref="N294">LOOKUP(2,1/($G$8:$G$16&lt;=$V294)/($H$8:$H$16&gt;=$V294),$F$8:$F$16)</f>
        <v>FY23</v>
      </c>
      <c r="O294" s="5" t="str">
        <f>IFERROR(N294&amp;"-"&amp;COUNTIF($N$5:N294,N294),NA())</f>
        <v>FY23-3</v>
      </c>
      <c r="P294" s="5">
        <f>COUNTIF(V$5:V294,"&gt;="&amp;MAX($V:$V)-183)</f>
        <v>0</v>
      </c>
      <c r="Q294" s="5">
        <f>COUNTIF(V$5:V294,"&gt;="&amp;MAX($V:$V)-365)</f>
        <v>0</v>
      </c>
      <c r="R294" s="5" cm="1">
        <f t="array" ref="R294">LOOKUP(2,1/($G$46:$G$50&lt;=$V294)/($H$46:$H$50&gt;=$V294),$F$46:$F$50)</f>
        <v>0</v>
      </c>
      <c r="S294" s="5" t="str" cm="1">
        <f t="array" ref="S294">LOOKUP(2,1/($G$53:$G$56&lt;=$V294)/($H$53:$H$56&gt;=$V294),$F$53:$F$56)</f>
        <v>N2</v>
      </c>
      <c r="T294" s="5" t="e">
        <f>IFERROR(IF($R294&gt;0,$R294&amp;"-"&amp;COUNTIF($R$5:$R294,$R294),NA()),NA())</f>
        <v>#N/A</v>
      </c>
      <c r="U294" s="5" t="str">
        <f>IFERROR(IF($S294&gt;0,$S294&amp;"-"&amp;COUNTIF($S$5:$S294,$S294),NA()),NA())</f>
        <v>N2-9</v>
      </c>
      <c r="V294" s="10">
        <v>44763</v>
      </c>
      <c r="W294" s="9">
        <v>20968405.71602311</v>
      </c>
      <c r="X294" s="9">
        <v>25440966.65525084</v>
      </c>
      <c r="Y294" s="8">
        <v>4000000</v>
      </c>
      <c r="OB294" s="1"/>
    </row>
    <row r="295" spans="13:392" x14ac:dyDescent="0.2">
      <c r="M295" s="5" t="str" cm="1">
        <f t="array" ref="M295">LOOKUP(2,1/($G$19:$G$35&lt;=$V295)/($H$19:$H$35&gt;=$V295),$F$19:$F$35)</f>
        <v>1H23</v>
      </c>
      <c r="N295" s="5" t="str" cm="1">
        <f t="array" ref="N295">LOOKUP(2,1/($G$8:$G$16&lt;=$V295)/($H$8:$H$16&gt;=$V295),$F$8:$F$16)</f>
        <v>FY23</v>
      </c>
      <c r="O295" s="5" t="str">
        <f>IFERROR(N295&amp;"-"&amp;COUNTIF($N$5:N295,N295),NA())</f>
        <v>FY23-4</v>
      </c>
      <c r="P295" s="5">
        <f>COUNTIF(V$5:V295,"&gt;="&amp;MAX($V:$V)-183)</f>
        <v>0</v>
      </c>
      <c r="Q295" s="5">
        <f>COUNTIF(V$5:V295,"&gt;="&amp;MAX($V:$V)-365)</f>
        <v>0</v>
      </c>
      <c r="R295" s="5" cm="1">
        <f t="array" ref="R295">LOOKUP(2,1/($G$46:$G$50&lt;=$V295)/($H$46:$H$50&gt;=$V295),$F$46:$F$50)</f>
        <v>0</v>
      </c>
      <c r="S295" s="5" t="str" cm="1">
        <f t="array" ref="S295">LOOKUP(2,1/($G$53:$G$56&lt;=$V295)/($H$53:$H$56&gt;=$V295),$F$53:$F$56)</f>
        <v>N2</v>
      </c>
      <c r="T295" s="5" t="e">
        <f>IFERROR(IF($R295&gt;0,$R295&amp;"-"&amp;COUNTIF($R$5:$R295,$R295),NA()),NA())</f>
        <v>#N/A</v>
      </c>
      <c r="U295" s="5" t="str">
        <f>IFERROR(IF($S295&gt;0,$S295&amp;"-"&amp;COUNTIF($S$5:$S295,$S295),NA()),NA())</f>
        <v>N2-10</v>
      </c>
      <c r="V295" s="10">
        <v>44770</v>
      </c>
      <c r="W295" s="9">
        <v>19329129.096989967</v>
      </c>
      <c r="X295" s="9">
        <v>23452032.333377928</v>
      </c>
      <c r="Y295" s="8">
        <v>4000000</v>
      </c>
      <c r="OB295" s="1"/>
    </row>
    <row r="296" spans="13:392" x14ac:dyDescent="0.2">
      <c r="M296" s="5" t="str" cm="1">
        <f t="array" ref="M296">LOOKUP(2,1/($G$19:$G$35&lt;=$V296)/($H$19:$H$35&gt;=$V296),$F$19:$F$35)</f>
        <v>1H23</v>
      </c>
      <c r="N296" s="5" t="str" cm="1">
        <f t="array" ref="N296">LOOKUP(2,1/($G$8:$G$16&lt;=$V296)/($H$8:$H$16&gt;=$V296),$F$8:$F$16)</f>
        <v>FY23</v>
      </c>
      <c r="O296" s="5" t="str">
        <f>IFERROR(N296&amp;"-"&amp;COUNTIF($N$5:N296,N296),NA())</f>
        <v>FY23-5</v>
      </c>
      <c r="P296" s="5">
        <f>COUNTIF(V$5:V296,"&gt;="&amp;MAX($V:$V)-183)</f>
        <v>0</v>
      </c>
      <c r="Q296" s="5">
        <f>COUNTIF(V$5:V296,"&gt;="&amp;MAX($V:$V)-365)</f>
        <v>0</v>
      </c>
      <c r="R296" s="5" cm="1">
        <f t="array" ref="R296">LOOKUP(2,1/($G$46:$G$50&lt;=$V296)/($H$46:$H$50&gt;=$V296),$F$46:$F$50)</f>
        <v>0</v>
      </c>
      <c r="S296" s="5" t="str" cm="1">
        <f t="array" ref="S296">LOOKUP(2,1/($G$53:$G$56&lt;=$V296)/($H$53:$H$56&gt;=$V296),$F$53:$F$56)</f>
        <v>N2</v>
      </c>
      <c r="T296" s="5" t="e">
        <f>IFERROR(IF($R296&gt;0,$R296&amp;"-"&amp;COUNTIF($R$5:$R296,$R296),NA()),NA())</f>
        <v>#N/A</v>
      </c>
      <c r="U296" s="5" t="str">
        <f>IFERROR(IF($S296&gt;0,$S296&amp;"-"&amp;COUNTIF($S$5:$S296,$S296),NA()),NA())</f>
        <v>N2-11</v>
      </c>
      <c r="V296" s="10">
        <v>44777</v>
      </c>
      <c r="W296" s="9">
        <v>24328928.428093642</v>
      </c>
      <c r="X296" s="9">
        <v>29518288.861806016</v>
      </c>
      <c r="Y296" s="8">
        <v>8000000</v>
      </c>
      <c r="OB296" s="1"/>
    </row>
    <row r="297" spans="13:392" x14ac:dyDescent="0.2">
      <c r="M297" s="5" t="str" cm="1">
        <f t="array" ref="M297">LOOKUP(2,1/($G$19:$G$35&lt;=$V297)/($H$19:$H$35&gt;=$V297),$F$19:$F$35)</f>
        <v>1H23</v>
      </c>
      <c r="N297" s="5" t="str" cm="1">
        <f t="array" ref="N297">LOOKUP(2,1/($G$8:$G$16&lt;=$V297)/($H$8:$H$16&gt;=$V297),$F$8:$F$16)</f>
        <v>FY23</v>
      </c>
      <c r="O297" s="5" t="str">
        <f>IFERROR(N297&amp;"-"&amp;COUNTIF($N$5:N297,N297),NA())</f>
        <v>FY23-6</v>
      </c>
      <c r="P297" s="5">
        <f>COUNTIF(V$5:V297,"&gt;="&amp;MAX($V:$V)-183)</f>
        <v>0</v>
      </c>
      <c r="Q297" s="5">
        <f>COUNTIF(V$5:V297,"&gt;="&amp;MAX($V:$V)-365)</f>
        <v>0</v>
      </c>
      <c r="R297" s="5" cm="1">
        <f t="array" ref="R297">LOOKUP(2,1/($G$46:$G$50&lt;=$V297)/($H$46:$H$50&gt;=$V297),$F$46:$F$50)</f>
        <v>0</v>
      </c>
      <c r="S297" s="5" t="str" cm="1">
        <f t="array" ref="S297">LOOKUP(2,1/($G$53:$G$56&lt;=$V297)/($H$53:$H$56&gt;=$V297),$F$53:$F$56)</f>
        <v>N2</v>
      </c>
      <c r="T297" s="5" t="e">
        <f>IFERROR(IF($R297&gt;0,$R297&amp;"-"&amp;COUNTIF($R$5:$R297,$R297),NA()),NA())</f>
        <v>#N/A</v>
      </c>
      <c r="U297" s="5" t="str">
        <f>IFERROR(IF($S297&gt;0,$S297&amp;"-"&amp;COUNTIF($S$5:$S297,$S297),NA()),NA())</f>
        <v>N2-12</v>
      </c>
      <c r="V297" s="10">
        <v>44784</v>
      </c>
      <c r="W297" s="9">
        <v>39456376.284584977</v>
      </c>
      <c r="X297" s="9">
        <v>47872421.346086957</v>
      </c>
      <c r="Y297" s="8">
        <v>20000000</v>
      </c>
      <c r="OB297" s="1"/>
    </row>
    <row r="298" spans="13:392" x14ac:dyDescent="0.2">
      <c r="M298" s="5" t="str" cm="1">
        <f t="array" ref="M298">LOOKUP(2,1/($G$19:$G$35&lt;=$V298)/($H$19:$H$35&gt;=$V298),$F$19:$F$35)</f>
        <v>1H23</v>
      </c>
      <c r="N298" s="5" t="str" cm="1">
        <f t="array" ref="N298">LOOKUP(2,1/($G$8:$G$16&lt;=$V298)/($H$8:$H$16&gt;=$V298),$F$8:$F$16)</f>
        <v>FY23</v>
      </c>
      <c r="O298" s="5" t="str">
        <f>IFERROR(N298&amp;"-"&amp;COUNTIF($N$5:N298,N298),NA())</f>
        <v>FY23-7</v>
      </c>
      <c r="P298" s="5">
        <f>COUNTIF(V$5:V298,"&gt;="&amp;MAX($V:$V)-183)</f>
        <v>0</v>
      </c>
      <c r="Q298" s="5">
        <f>COUNTIF(V$5:V298,"&gt;="&amp;MAX($V:$V)-365)</f>
        <v>0</v>
      </c>
      <c r="R298" s="5" cm="1">
        <f t="array" ref="R298">LOOKUP(2,1/($G$46:$G$50&lt;=$V298)/($H$46:$H$50&gt;=$V298),$F$46:$F$50)</f>
        <v>0</v>
      </c>
      <c r="S298" s="5" t="str" cm="1">
        <f t="array" ref="S298">LOOKUP(2,1/($G$53:$G$56&lt;=$V298)/($H$53:$H$56&gt;=$V298),$F$53:$F$56)</f>
        <v>N2</v>
      </c>
      <c r="T298" s="5" t="e">
        <f>IFERROR(IF($R298&gt;0,$R298&amp;"-"&amp;COUNTIF($R$5:$R298,$R298),NA()),NA())</f>
        <v>#N/A</v>
      </c>
      <c r="U298" s="5" t="str">
        <f>IFERROR(IF($S298&gt;0,$S298&amp;"-"&amp;COUNTIF($S$5:$S298,$S298),NA()),NA())</f>
        <v>N2-13</v>
      </c>
      <c r="V298" s="10">
        <v>44791</v>
      </c>
      <c r="W298" s="9">
        <v>20023645.36333232</v>
      </c>
      <c r="X298" s="9">
        <v>24294688.919331104</v>
      </c>
      <c r="Y298" s="8">
        <v>4000000</v>
      </c>
      <c r="OB298" s="1"/>
    </row>
    <row r="299" spans="13:392" x14ac:dyDescent="0.2">
      <c r="M299" s="5" t="str" cm="1">
        <f t="array" ref="M299">LOOKUP(2,1/($G$19:$G$35&lt;=$V299)/($H$19:$H$35&gt;=$V299),$F$19:$F$35)</f>
        <v>1H23</v>
      </c>
      <c r="N299" s="5" t="str" cm="1">
        <f t="array" ref="N299">LOOKUP(2,1/($G$8:$G$16&lt;=$V299)/($H$8:$H$16&gt;=$V299),$F$8:$F$16)</f>
        <v>FY23</v>
      </c>
      <c r="O299" s="5" t="str">
        <f>IFERROR(N299&amp;"-"&amp;COUNTIF($N$5:N299,N299),NA())</f>
        <v>FY23-8</v>
      </c>
      <c r="P299" s="5">
        <f>COUNTIF(V$5:V299,"&gt;="&amp;MAX($V:$V)-183)</f>
        <v>0</v>
      </c>
      <c r="Q299" s="5">
        <f>COUNTIF(V$5:V299,"&gt;="&amp;MAX($V:$V)-365)</f>
        <v>0</v>
      </c>
      <c r="R299" s="5" cm="1">
        <f t="array" ref="R299">LOOKUP(2,1/($G$46:$G$50&lt;=$V299)/($H$46:$H$50&gt;=$V299),$F$46:$F$50)</f>
        <v>0</v>
      </c>
      <c r="S299" s="5" t="str" cm="1">
        <f t="array" ref="S299">LOOKUP(2,1/($G$53:$G$56&lt;=$V299)/($H$53:$H$56&gt;=$V299),$F$53:$F$56)</f>
        <v>N2</v>
      </c>
      <c r="T299" s="5" t="e">
        <f>IFERROR(IF($R299&gt;0,$R299&amp;"-"&amp;COUNTIF($R$5:$R299,$R299),NA()),NA())</f>
        <v>#N/A</v>
      </c>
      <c r="U299" s="5" t="str">
        <f>IFERROR(IF($S299&gt;0,$S299&amp;"-"&amp;COUNTIF($S$5:$S299,$S299),NA()),NA())</f>
        <v>N2-14</v>
      </c>
      <c r="V299" s="10">
        <v>44798</v>
      </c>
      <c r="W299" s="9">
        <v>25454583.399209488</v>
      </c>
      <c r="X299" s="9">
        <v>30884046.038260873</v>
      </c>
      <c r="Y299" s="8">
        <v>8000000</v>
      </c>
      <c r="OB299" s="1"/>
    </row>
    <row r="300" spans="13:392" x14ac:dyDescent="0.2">
      <c r="M300" s="5" t="str" cm="1">
        <f t="array" ref="M300">LOOKUP(2,1/($G$19:$G$35&lt;=$V300)/($H$19:$H$35&gt;=$V300),$F$19:$F$35)</f>
        <v>1H23</v>
      </c>
      <c r="N300" s="5" t="str" cm="1">
        <f t="array" ref="N300">LOOKUP(2,1/($G$8:$G$16&lt;=$V300)/($H$8:$H$16&gt;=$V300),$F$8:$F$16)</f>
        <v>FY23</v>
      </c>
      <c r="O300" s="5" t="str">
        <f>IFERROR(N300&amp;"-"&amp;COUNTIF($N$5:N300,N300),NA())</f>
        <v>FY23-9</v>
      </c>
      <c r="P300" s="5">
        <f>COUNTIF(V$5:V300,"&gt;="&amp;MAX($V:$V)-183)</f>
        <v>0</v>
      </c>
      <c r="Q300" s="5">
        <f>COUNTIF(V$5:V300,"&gt;="&amp;MAX($V:$V)-365)</f>
        <v>0</v>
      </c>
      <c r="R300" s="5" cm="1">
        <f t="array" ref="R300">LOOKUP(2,1/($G$46:$G$50&lt;=$V300)/($H$46:$H$50&gt;=$V300),$F$46:$F$50)</f>
        <v>0</v>
      </c>
      <c r="S300" s="5" t="str" cm="1">
        <f t="array" ref="S300">LOOKUP(2,1/($G$53:$G$56&lt;=$V300)/($H$53:$H$56&gt;=$V300),$F$53:$F$56)</f>
        <v>N2</v>
      </c>
      <c r="T300" s="5" t="e">
        <f>IFERROR(IF($R300&gt;0,$R300&amp;"-"&amp;COUNTIF($R$5:$R300,$R300),NA()),NA())</f>
        <v>#N/A</v>
      </c>
      <c r="U300" s="5" t="str">
        <f>IFERROR(IF($S300&gt;0,$S300&amp;"-"&amp;COUNTIF($S$5:$S300,$S300),NA()),NA())</f>
        <v>N2-15</v>
      </c>
      <c r="V300" s="10">
        <v>44805</v>
      </c>
      <c r="W300" s="9">
        <v>39743730.009121314</v>
      </c>
      <c r="X300" s="9">
        <v>48221067.620066889</v>
      </c>
      <c r="Y300" s="8">
        <v>20000000</v>
      </c>
      <c r="OB300" s="1"/>
    </row>
    <row r="301" spans="13:392" x14ac:dyDescent="0.2">
      <c r="M301" s="5" t="str" cm="1">
        <f t="array" ref="M301">LOOKUP(2,1/($G$19:$G$35&lt;=$V301)/($H$19:$H$35&gt;=$V301),$F$19:$F$35)</f>
        <v>1H23</v>
      </c>
      <c r="N301" s="5" t="str" cm="1">
        <f t="array" ref="N301">LOOKUP(2,1/($G$8:$G$16&lt;=$V301)/($H$8:$H$16&gt;=$V301),$F$8:$F$16)</f>
        <v>FY23</v>
      </c>
      <c r="O301" s="5" t="str">
        <f>IFERROR(N301&amp;"-"&amp;COUNTIF($N$5:N301,N301),NA())</f>
        <v>FY23-10</v>
      </c>
      <c r="P301" s="5">
        <f>COUNTIF(V$5:V301,"&gt;="&amp;MAX($V:$V)-183)</f>
        <v>0</v>
      </c>
      <c r="Q301" s="5">
        <f>COUNTIF(V$5:V301,"&gt;="&amp;MAX($V:$V)-365)</f>
        <v>0</v>
      </c>
      <c r="R301" s="5" cm="1">
        <f t="array" ref="R301">LOOKUP(2,1/($G$46:$G$50&lt;=$V301)/($H$46:$H$50&gt;=$V301),$F$46:$F$50)</f>
        <v>0</v>
      </c>
      <c r="S301" s="5" t="str" cm="1">
        <f t="array" ref="S301">LOOKUP(2,1/($G$53:$G$56&lt;=$V301)/($H$53:$H$56&gt;=$V301),$F$53:$F$56)</f>
        <v>N2</v>
      </c>
      <c r="T301" s="5" t="e">
        <f>IFERROR(IF($R301&gt;0,$R301&amp;"-"&amp;COUNTIF($R$5:$R301,$R301),NA()),NA())</f>
        <v>#N/A</v>
      </c>
      <c r="U301" s="5" t="str">
        <f>IFERROR(IF($S301&gt;0,$S301&amp;"-"&amp;COUNTIF($S$5:$S301,$S301),NA()),NA())</f>
        <v>N2-16</v>
      </c>
      <c r="V301" s="10">
        <v>44812</v>
      </c>
      <c r="W301" s="9">
        <v>61420572.818485856</v>
      </c>
      <c r="X301" s="9">
        <v>74521581.000668898</v>
      </c>
      <c r="Y301" s="8">
        <v>40000000</v>
      </c>
      <c r="OB301" s="1"/>
    </row>
    <row r="302" spans="13:392" x14ac:dyDescent="0.2">
      <c r="M302" s="5" t="str" cm="1">
        <f t="array" ref="M302">LOOKUP(2,1/($G$19:$G$35&lt;=$V302)/($H$19:$H$35&gt;=$V302),$F$19:$F$35)</f>
        <v>1H23</v>
      </c>
      <c r="N302" s="5" t="str" cm="1">
        <f t="array" ref="N302">LOOKUP(2,1/($G$8:$G$16&lt;=$V302)/($H$8:$H$16&gt;=$V302),$F$8:$F$16)</f>
        <v>FY23</v>
      </c>
      <c r="O302" s="5" t="str">
        <f>IFERROR(N302&amp;"-"&amp;COUNTIF($N$5:N302,N302),NA())</f>
        <v>FY23-11</v>
      </c>
      <c r="P302" s="5">
        <f>COUNTIF(V$5:V302,"&gt;="&amp;MAX($V:$V)-183)</f>
        <v>0</v>
      </c>
      <c r="Q302" s="5">
        <f>COUNTIF(V$5:V302,"&gt;="&amp;MAX($V:$V)-365)</f>
        <v>0</v>
      </c>
      <c r="R302" s="5" cm="1">
        <f t="array" ref="R302">LOOKUP(2,1/($G$46:$G$50&lt;=$V302)/($H$46:$H$50&gt;=$V302),$F$46:$F$50)</f>
        <v>0</v>
      </c>
      <c r="S302" s="5" t="str" cm="1">
        <f t="array" ref="S302">LOOKUP(2,1/($G$53:$G$56&lt;=$V302)/($H$53:$H$56&gt;=$V302),$F$53:$F$56)</f>
        <v>A2</v>
      </c>
      <c r="T302" s="5" t="e">
        <f>IFERROR(IF($R302&gt;0,$R302&amp;"-"&amp;COUNTIF($R$5:$R302,$R302),NA()),NA())</f>
        <v>#N/A</v>
      </c>
      <c r="U302" s="5" t="str">
        <f>IFERROR(IF($S302&gt;0,$S302&amp;"-"&amp;COUNTIF($S$5:$S302,$S302),NA()),NA())</f>
        <v>A2-1</v>
      </c>
      <c r="V302" s="10">
        <v>44819</v>
      </c>
      <c r="W302" s="9">
        <v>25008818.485861961</v>
      </c>
      <c r="X302" s="9">
        <v>30343199.468896318</v>
      </c>
      <c r="Y302" s="8">
        <v>8000000</v>
      </c>
      <c r="OB302" s="1"/>
    </row>
    <row r="303" spans="13:392" x14ac:dyDescent="0.2">
      <c r="M303" s="5" t="str" cm="1">
        <f t="array" ref="M303">LOOKUP(2,1/($G$19:$G$35&lt;=$V303)/($H$19:$H$35&gt;=$V303),$F$19:$F$35)</f>
        <v>1H23</v>
      </c>
      <c r="N303" s="5" t="str" cm="1">
        <f t="array" ref="N303">LOOKUP(2,1/($G$8:$G$16&lt;=$V303)/($H$8:$H$16&gt;=$V303),$F$8:$F$16)</f>
        <v>FY23</v>
      </c>
      <c r="O303" s="5" t="str">
        <f>IFERROR(N303&amp;"-"&amp;COUNTIF($N$5:N303,N303),NA())</f>
        <v>FY23-12</v>
      </c>
      <c r="P303" s="5">
        <f>COUNTIF(V$5:V303,"&gt;="&amp;MAX($V:$V)-183)</f>
        <v>0</v>
      </c>
      <c r="Q303" s="5">
        <f>COUNTIF(V$5:V303,"&gt;="&amp;MAX($V:$V)-365)</f>
        <v>0</v>
      </c>
      <c r="R303" s="5" cm="1">
        <f t="array" ref="R303">LOOKUP(2,1/($G$46:$G$50&lt;=$V303)/($H$46:$H$50&gt;=$V303),$F$46:$F$50)</f>
        <v>0</v>
      </c>
      <c r="S303" s="5" t="str" cm="1">
        <f t="array" ref="S303">LOOKUP(2,1/($G$53:$G$56&lt;=$V303)/($H$53:$H$56&gt;=$V303),$F$53:$F$56)</f>
        <v>A2</v>
      </c>
      <c r="T303" s="5" t="e">
        <f>IFERROR(IF($R303&gt;0,$R303&amp;"-"&amp;COUNTIF($R$5:$R303,$R303),NA()),NA())</f>
        <v>#N/A</v>
      </c>
      <c r="U303" s="5" t="str">
        <f>IFERROR(IF($S303&gt;0,$S303&amp;"-"&amp;COUNTIF($S$5:$S303,$S303),NA()),NA())</f>
        <v>A2-2</v>
      </c>
      <c r="V303" s="10">
        <v>44826</v>
      </c>
      <c r="W303" s="9">
        <v>22659829.73548191</v>
      </c>
      <c r="X303" s="9">
        <v>27493171.418060202</v>
      </c>
      <c r="Y303" s="8">
        <v>8000000</v>
      </c>
      <c r="OB303" s="1"/>
    </row>
    <row r="304" spans="13:392" x14ac:dyDescent="0.2">
      <c r="M304" s="5" t="str" cm="1">
        <f t="array" ref="M304">LOOKUP(2,1/($G$19:$G$35&lt;=$V304)/($H$19:$H$35&gt;=$V304),$F$19:$F$35)</f>
        <v>1H23</v>
      </c>
      <c r="N304" s="5" t="str" cm="1">
        <f t="array" ref="N304">LOOKUP(2,1/($G$8:$G$16&lt;=$V304)/($H$8:$H$16&gt;=$V304),$F$8:$F$16)</f>
        <v>FY23</v>
      </c>
      <c r="O304" s="5" t="str">
        <f>IFERROR(N304&amp;"-"&amp;COUNTIF($N$5:N304,N304),NA())</f>
        <v>FY23-13</v>
      </c>
      <c r="P304" s="5">
        <f>COUNTIF(V$5:V304,"&gt;="&amp;MAX($V:$V)-183)</f>
        <v>0</v>
      </c>
      <c r="Q304" s="5">
        <f>COUNTIF(V$5:V304,"&gt;="&amp;MAX($V:$V)-365)</f>
        <v>0</v>
      </c>
      <c r="R304" s="5" cm="1">
        <f t="array" ref="R304">LOOKUP(2,1/($G$46:$G$50&lt;=$V304)/($H$46:$H$50&gt;=$V304),$F$46:$F$50)</f>
        <v>0</v>
      </c>
      <c r="S304" s="5" t="str" cm="1">
        <f t="array" ref="S304">LOOKUP(2,1/($G$53:$G$56&lt;=$V304)/($H$53:$H$56&gt;=$V304),$F$53:$F$56)</f>
        <v>A2</v>
      </c>
      <c r="T304" s="5" t="e">
        <f>IFERROR(IF($R304&gt;0,$R304&amp;"-"&amp;COUNTIF($R$5:$R304,$R304),NA()),NA())</f>
        <v>#N/A</v>
      </c>
      <c r="U304" s="5" t="str">
        <f>IFERROR(IF($S304&gt;0,$S304&amp;"-"&amp;COUNTIF($S$5:$S304,$S304),NA()),NA())</f>
        <v>A2-3</v>
      </c>
      <c r="V304" s="10">
        <v>44833</v>
      </c>
      <c r="W304" s="9">
        <v>35905405.655214347</v>
      </c>
      <c r="X304" s="9">
        <v>43564028.681471571</v>
      </c>
      <c r="Y304" s="8">
        <v>20000000</v>
      </c>
      <c r="OB304" s="1"/>
    </row>
    <row r="305" spans="13:392" x14ac:dyDescent="0.2">
      <c r="M305" s="5" t="str" cm="1">
        <f t="array" ref="M305">LOOKUP(2,1/($G$19:$G$35&lt;=$V305)/($H$19:$H$35&gt;=$V305),$F$19:$F$35)</f>
        <v>1H23</v>
      </c>
      <c r="N305" s="5" t="str" cm="1">
        <f t="array" ref="N305">LOOKUP(2,1/($G$8:$G$16&lt;=$V305)/($H$8:$H$16&gt;=$V305),$F$8:$F$16)</f>
        <v>FY23</v>
      </c>
      <c r="O305" s="5" t="str">
        <f>IFERROR(N305&amp;"-"&amp;COUNTIF($N$5:N305,N305),NA())</f>
        <v>FY23-14</v>
      </c>
      <c r="P305" s="5">
        <f>COUNTIF(V$5:V305,"&gt;="&amp;MAX($V:$V)-183)</f>
        <v>0</v>
      </c>
      <c r="Q305" s="5">
        <f>COUNTIF(V$5:V305,"&gt;="&amp;MAX($V:$V)-365)</f>
        <v>0</v>
      </c>
      <c r="R305" s="5" cm="1">
        <f t="array" ref="R305">LOOKUP(2,1/($G$46:$G$50&lt;=$V305)/($H$46:$H$50&gt;=$V305),$F$46:$F$50)</f>
        <v>0</v>
      </c>
      <c r="S305" s="5" t="str" cm="1">
        <f t="array" ref="S305">LOOKUP(2,1/($G$53:$G$56&lt;=$V305)/($H$53:$H$56&gt;=$V305),$F$53:$F$56)</f>
        <v>A2</v>
      </c>
      <c r="T305" s="5" t="e">
        <f>IFERROR(IF($R305&gt;0,$R305&amp;"-"&amp;COUNTIF($R$5:$R305,$R305),NA()),NA())</f>
        <v>#N/A</v>
      </c>
      <c r="U305" s="5" t="str">
        <f>IFERROR(IF($S305&gt;0,$S305&amp;"-"&amp;COUNTIF($S$5:$S305,$S305),NA()),NA())</f>
        <v>A2-4</v>
      </c>
      <c r="V305" s="10">
        <v>44840</v>
      </c>
      <c r="W305" s="9">
        <v>47423181.270902999</v>
      </c>
      <c r="X305" s="9">
        <v>57538545.835986614</v>
      </c>
      <c r="Y305" s="8">
        <v>30000000</v>
      </c>
      <c r="OB305" s="1"/>
    </row>
    <row r="306" spans="13:392" x14ac:dyDescent="0.2">
      <c r="M306" s="5" t="str" cm="1">
        <f t="array" ref="M306">LOOKUP(2,1/($G$19:$G$35&lt;=$V306)/($H$19:$H$35&gt;=$V306),$F$19:$F$35)</f>
        <v>1H23</v>
      </c>
      <c r="N306" s="5" t="str" cm="1">
        <f t="array" ref="N306">LOOKUP(2,1/($G$8:$G$16&lt;=$V306)/($H$8:$H$16&gt;=$V306),$F$8:$F$16)</f>
        <v>FY23</v>
      </c>
      <c r="O306" s="5" t="str">
        <f>IFERROR(N306&amp;"-"&amp;COUNTIF($N$5:N306,N306),NA())</f>
        <v>FY23-15</v>
      </c>
      <c r="P306" s="5">
        <f>COUNTIF(V$5:V306,"&gt;="&amp;MAX($V:$V)-183)</f>
        <v>0</v>
      </c>
      <c r="Q306" s="5">
        <f>COUNTIF(V$5:V306,"&gt;="&amp;MAX($V:$V)-365)</f>
        <v>0</v>
      </c>
      <c r="R306" s="5" cm="1">
        <f t="array" ref="R306">LOOKUP(2,1/($G$46:$G$50&lt;=$V306)/($H$46:$H$50&gt;=$V306),$F$46:$F$50)</f>
        <v>0</v>
      </c>
      <c r="S306" s="5" t="str" cm="1">
        <f t="array" ref="S306">LOOKUP(2,1/($G$53:$G$56&lt;=$V306)/($H$53:$H$56&gt;=$V306),$F$53:$F$56)</f>
        <v>A2</v>
      </c>
      <c r="T306" s="5" t="e">
        <f>IFERROR(IF($R306&gt;0,$R306&amp;"-"&amp;COUNTIF($R$5:$R306,$R306),NA()),NA())</f>
        <v>#N/A</v>
      </c>
      <c r="U306" s="5" t="str">
        <f>IFERROR(IF($S306&gt;0,$S306&amp;"-"&amp;COUNTIF($S$5:$S306,$S306),NA()),NA())</f>
        <v>A2-5</v>
      </c>
      <c r="V306" s="10">
        <v>44847</v>
      </c>
      <c r="W306" s="9">
        <v>77692655.761629671</v>
      </c>
      <c r="X306" s="9">
        <v>94264499.235585287</v>
      </c>
      <c r="Y306" s="8">
        <v>50000000</v>
      </c>
      <c r="OB306" s="1"/>
    </row>
    <row r="307" spans="13:392" x14ac:dyDescent="0.2">
      <c r="M307" s="5" t="str" cm="1">
        <f t="array" ref="M307">LOOKUP(2,1/($G$19:$G$35&lt;=$V307)/($H$19:$H$35&gt;=$V307),$F$19:$F$35)</f>
        <v>1H23</v>
      </c>
      <c r="N307" s="5" t="str" cm="1">
        <f t="array" ref="N307">LOOKUP(2,1/($G$8:$G$16&lt;=$V307)/($H$8:$H$16&gt;=$V307),$F$8:$F$16)</f>
        <v>FY23</v>
      </c>
      <c r="O307" s="5" t="str">
        <f>IFERROR(N307&amp;"-"&amp;COUNTIF($N$5:N307,N307),NA())</f>
        <v>FY23-16</v>
      </c>
      <c r="P307" s="5">
        <f>COUNTIF(V$5:V307,"&gt;="&amp;MAX($V:$V)-183)</f>
        <v>0</v>
      </c>
      <c r="Q307" s="5">
        <f>COUNTIF(V$5:V307,"&gt;="&amp;MAX($V:$V)-365)</f>
        <v>0</v>
      </c>
      <c r="R307" s="5" cm="1">
        <f t="array" ref="R307">LOOKUP(2,1/($G$46:$G$50&lt;=$V307)/($H$46:$H$50&gt;=$V307),$F$46:$F$50)</f>
        <v>0</v>
      </c>
      <c r="S307" s="5" t="str" cm="1">
        <f t="array" ref="S307">LOOKUP(2,1/($G$53:$G$56&lt;=$V307)/($H$53:$H$56&gt;=$V307),$F$53:$F$56)</f>
        <v>A2</v>
      </c>
      <c r="T307" s="5" t="e">
        <f>IFERROR(IF($R307&gt;0,$R307&amp;"-"&amp;COUNTIF($R$5:$R307,$R307),NA()),NA())</f>
        <v>#N/A</v>
      </c>
      <c r="U307" s="5" t="str">
        <f>IFERROR(IF($S307&gt;0,$S307&amp;"-"&amp;COUNTIF($S$5:$S307,$S307),NA()),NA())</f>
        <v>A2-6</v>
      </c>
      <c r="V307" s="10">
        <v>44854</v>
      </c>
      <c r="W307" s="9">
        <v>183084473.09212527</v>
      </c>
      <c r="X307" s="9">
        <v>222136391.20267558</v>
      </c>
      <c r="Y307" s="8">
        <v>100000000</v>
      </c>
      <c r="OB307" s="1"/>
    </row>
    <row r="308" spans="13:392" x14ac:dyDescent="0.2">
      <c r="M308" s="5" t="str" cm="1">
        <f t="array" ref="M308">LOOKUP(2,1/($G$19:$G$35&lt;=$V308)/($H$19:$H$35&gt;=$V308),$F$19:$F$35)</f>
        <v>1H23</v>
      </c>
      <c r="N308" s="5" t="str" cm="1">
        <f t="array" ref="N308">LOOKUP(2,1/($G$8:$G$16&lt;=$V308)/($H$8:$H$16&gt;=$V308),$F$8:$F$16)</f>
        <v>FY23</v>
      </c>
      <c r="O308" s="5" t="str">
        <f>IFERROR(N308&amp;"-"&amp;COUNTIF($N$5:N308,N308),NA())</f>
        <v>FY23-17</v>
      </c>
      <c r="P308" s="5">
        <f>COUNTIF(V$5:V308,"&gt;="&amp;MAX($V:$V)-183)</f>
        <v>0</v>
      </c>
      <c r="Q308" s="5">
        <f>COUNTIF(V$5:V308,"&gt;="&amp;MAX($V:$V)-365)</f>
        <v>0</v>
      </c>
      <c r="R308" s="5" cm="1">
        <f t="array" ref="R308">LOOKUP(2,1/($G$46:$G$50&lt;=$V308)/($H$46:$H$50&gt;=$V308),$F$46:$F$50)</f>
        <v>0</v>
      </c>
      <c r="S308" s="5" t="str" cm="1">
        <f t="array" ref="S308">LOOKUP(2,1/($G$53:$G$56&lt;=$V308)/($H$53:$H$56&gt;=$V308),$F$53:$F$56)</f>
        <v>A2</v>
      </c>
      <c r="T308" s="5" t="e">
        <f>IFERROR(IF($R308&gt;0,$R308&amp;"-"&amp;COUNTIF($R$5:$R308,$R308),NA()),NA())</f>
        <v>#N/A</v>
      </c>
      <c r="U308" s="5" t="str">
        <f>IFERROR(IF($S308&gt;0,$S308&amp;"-"&amp;COUNTIF($S$5:$S308,$S308),NA()),NA())</f>
        <v>A2-7</v>
      </c>
      <c r="V308" s="10">
        <v>44861</v>
      </c>
      <c r="W308" s="9">
        <v>284837413.80358768</v>
      </c>
      <c r="X308" s="9">
        <v>345593234.16789293</v>
      </c>
      <c r="Y308" s="8">
        <v>160000000</v>
      </c>
      <c r="OB308" s="1"/>
    </row>
    <row r="309" spans="13:392" x14ac:dyDescent="0.2">
      <c r="M309" s="5" t="str" cm="1">
        <f t="array" ref="M309">LOOKUP(2,1/($G$19:$G$35&lt;=$V309)/($H$19:$H$35&gt;=$V309),$F$19:$F$35)</f>
        <v>1H23</v>
      </c>
      <c r="N309" s="5" t="str" cm="1">
        <f t="array" ref="N309">LOOKUP(2,1/($G$8:$G$16&lt;=$V309)/($H$8:$H$16&gt;=$V309),$F$8:$F$16)</f>
        <v>FY23</v>
      </c>
      <c r="O309" s="5" t="str">
        <f>IFERROR(N309&amp;"-"&amp;COUNTIF($N$5:N309,N309),NA())</f>
        <v>FY23-18</v>
      </c>
      <c r="P309" s="5">
        <f>COUNTIF(V$5:V309,"&gt;="&amp;MAX($V:$V)-183)</f>
        <v>0</v>
      </c>
      <c r="Q309" s="5">
        <f>COUNTIF(V$5:V309,"&gt;="&amp;MAX($V:$V)-365)</f>
        <v>0</v>
      </c>
      <c r="R309" s="5" cm="1">
        <f t="array" ref="R309">LOOKUP(2,1/($G$46:$G$50&lt;=$V309)/($H$46:$H$50&gt;=$V309),$F$46:$F$50)</f>
        <v>0</v>
      </c>
      <c r="S309" s="5" t="str" cm="1">
        <f t="array" ref="S309">LOOKUP(2,1/($G$53:$G$56&lt;=$V309)/($H$53:$H$56&gt;=$V309),$F$53:$F$56)</f>
        <v>A2</v>
      </c>
      <c r="T309" s="5" t="e">
        <f>IFERROR(IF($R309&gt;0,$R309&amp;"-"&amp;COUNTIF($R$5:$R309,$R309),NA()),NA())</f>
        <v>#N/A</v>
      </c>
      <c r="U309" s="5" t="str">
        <f>IFERROR(IF($S309&gt;0,$S309&amp;"-"&amp;COUNTIF($S$5:$S309,$S309),NA()),NA())</f>
        <v>A2-8</v>
      </c>
      <c r="V309" s="10">
        <v>44868</v>
      </c>
      <c r="W309" s="9">
        <v>27003392.885375496</v>
      </c>
      <c r="X309" s="9">
        <v>32763216.587826092</v>
      </c>
      <c r="Y309" s="8">
        <v>8000000</v>
      </c>
      <c r="OB309" s="1"/>
    </row>
    <row r="310" spans="13:392" x14ac:dyDescent="0.2">
      <c r="M310" s="5" t="str" cm="1">
        <f t="array" ref="M310">LOOKUP(2,1/($G$19:$G$35&lt;=$V310)/($H$19:$H$35&gt;=$V310),$F$19:$F$35)</f>
        <v>1H23</v>
      </c>
      <c r="N310" s="5" t="str" cm="1">
        <f t="array" ref="N310">LOOKUP(2,1/($G$8:$G$16&lt;=$V310)/($H$8:$H$16&gt;=$V310),$F$8:$F$16)</f>
        <v>FY23</v>
      </c>
      <c r="O310" s="5" t="str">
        <f>IFERROR(N310&amp;"-"&amp;COUNTIF($N$5:N310,N310),NA())</f>
        <v>FY23-19</v>
      </c>
      <c r="P310" s="5">
        <f>COUNTIF(V$5:V310,"&gt;="&amp;MAX($V:$V)-183)</f>
        <v>0</v>
      </c>
      <c r="Q310" s="5">
        <f>COUNTIF(V$5:V310,"&gt;="&amp;MAX($V:$V)-365)</f>
        <v>0</v>
      </c>
      <c r="R310" s="5" cm="1">
        <f t="array" ref="R310">LOOKUP(2,1/($G$46:$G$50&lt;=$V310)/($H$46:$H$50&gt;=$V310),$F$46:$F$50)</f>
        <v>0</v>
      </c>
      <c r="S310" s="5" t="str" cm="1">
        <f t="array" ref="S310">LOOKUP(2,1/($G$53:$G$56&lt;=$V310)/($H$53:$H$56&gt;=$V310),$F$53:$F$56)</f>
        <v>A2</v>
      </c>
      <c r="T310" s="5" t="e">
        <f>IFERROR(IF($R310&gt;0,$R310&amp;"-"&amp;COUNTIF($R$5:$R310,$R310),NA()),NA())</f>
        <v>#N/A</v>
      </c>
      <c r="U310" s="5" t="str">
        <f>IFERROR(IF($S310&gt;0,$S310&amp;"-"&amp;COUNTIF($S$5:$S310,$S310),NA()),NA())</f>
        <v>A2-9</v>
      </c>
      <c r="V310" s="10">
        <v>44875</v>
      </c>
      <c r="W310" s="9">
        <v>44321005.290361807</v>
      </c>
      <c r="X310" s="9">
        <v>53774675.718795985</v>
      </c>
      <c r="Y310" s="8">
        <v>20000000</v>
      </c>
      <c r="OB310" s="1"/>
    </row>
    <row r="311" spans="13:392" x14ac:dyDescent="0.2">
      <c r="M311" s="5" t="str" cm="1">
        <f t="array" ref="M311">LOOKUP(2,1/($G$19:$G$35&lt;=$V311)/($H$19:$H$35&gt;=$V311),$F$19:$F$35)</f>
        <v>1H23</v>
      </c>
      <c r="N311" s="5" t="str" cm="1">
        <f t="array" ref="N311">LOOKUP(2,1/($G$8:$G$16&lt;=$V311)/($H$8:$H$16&gt;=$V311),$F$8:$F$16)</f>
        <v>FY23</v>
      </c>
      <c r="O311" s="5" t="str">
        <f>IFERROR(N311&amp;"-"&amp;COUNTIF($N$5:N311,N311),NA())</f>
        <v>FY23-20</v>
      </c>
      <c r="P311" s="5">
        <f>COUNTIF(V$5:V311,"&gt;="&amp;MAX($V:$V)-183)</f>
        <v>0</v>
      </c>
      <c r="Q311" s="5">
        <f>COUNTIF(V$5:V311,"&gt;="&amp;MAX($V:$V)-365)</f>
        <v>0</v>
      </c>
      <c r="R311" s="5" cm="1">
        <f t="array" ref="R311">LOOKUP(2,1/($G$46:$G$50&lt;=$V311)/($H$46:$H$50&gt;=$V311),$F$46:$F$50)</f>
        <v>0</v>
      </c>
      <c r="S311" s="5" t="str" cm="1">
        <f t="array" ref="S311">LOOKUP(2,1/($G$53:$G$56&lt;=$V311)/($H$53:$H$56&gt;=$V311),$F$53:$F$56)</f>
        <v>A2</v>
      </c>
      <c r="T311" s="5" t="e">
        <f>IFERROR(IF($R311&gt;0,$R311&amp;"-"&amp;COUNTIF($R$5:$R311,$R311),NA()),NA())</f>
        <v>#N/A</v>
      </c>
      <c r="U311" s="5" t="str">
        <f>IFERROR(IF($S311&gt;0,$S311&amp;"-"&amp;COUNTIF($S$5:$S311,$S311),NA()),NA())</f>
        <v>A2-10</v>
      </c>
      <c r="V311" s="10">
        <v>44882</v>
      </c>
      <c r="W311" s="9">
        <v>51026175.37245363</v>
      </c>
      <c r="X311" s="9">
        <v>61910058.579397991</v>
      </c>
      <c r="Y311" s="8">
        <v>30000000</v>
      </c>
      <c r="OB311" s="1"/>
    </row>
    <row r="312" spans="13:392" x14ac:dyDescent="0.2">
      <c r="M312" s="5" t="str" cm="1">
        <f t="array" ref="M312">LOOKUP(2,1/($G$19:$G$35&lt;=$V312)/($H$19:$H$35&gt;=$V312),$F$19:$F$35)</f>
        <v>1H23</v>
      </c>
      <c r="N312" s="5" t="str" cm="1">
        <f t="array" ref="N312">LOOKUP(2,1/($G$8:$G$16&lt;=$V312)/($H$8:$H$16&gt;=$V312),$F$8:$F$16)</f>
        <v>FY23</v>
      </c>
      <c r="O312" s="5" t="str">
        <f>IFERROR(N312&amp;"-"&amp;COUNTIF($N$5:N312,N312),NA())</f>
        <v>FY23-21</v>
      </c>
      <c r="P312" s="5">
        <f>COUNTIF(V$5:V312,"&gt;="&amp;MAX($V:$V)-183)</f>
        <v>0</v>
      </c>
      <c r="Q312" s="5">
        <f>COUNTIF(V$5:V312,"&gt;="&amp;MAX($V:$V)-365)</f>
        <v>0</v>
      </c>
      <c r="R312" s="5" cm="1">
        <f t="array" ref="R312">LOOKUP(2,1/($G$46:$G$50&lt;=$V312)/($H$46:$H$50&gt;=$V312),$F$46:$F$50)</f>
        <v>0</v>
      </c>
      <c r="S312" s="5" t="str" cm="1">
        <f t="array" ref="S312">LOOKUP(2,1/($G$53:$G$56&lt;=$V312)/($H$53:$H$56&gt;=$V312),$F$53:$F$56)</f>
        <v>A2</v>
      </c>
      <c r="T312" s="5" t="e">
        <f>IFERROR(IF($R312&gt;0,$R312&amp;"-"&amp;COUNTIF($R$5:$R312,$R312),NA()),NA())</f>
        <v>#N/A</v>
      </c>
      <c r="U312" s="5" t="str">
        <f>IFERROR(IF($S312&gt;0,$S312&amp;"-"&amp;COUNTIF($S$5:$S312,$S312),NA()),NA())</f>
        <v>A2-11</v>
      </c>
      <c r="V312" s="10">
        <v>44889</v>
      </c>
      <c r="W312" s="9">
        <v>71266594.101550624</v>
      </c>
      <c r="X312" s="9">
        <v>86467758.623411372</v>
      </c>
      <c r="Y312" s="8">
        <v>50000000</v>
      </c>
      <c r="OB312" s="1"/>
    </row>
    <row r="313" spans="13:392" x14ac:dyDescent="0.2">
      <c r="M313" s="5" t="str" cm="1">
        <f t="array" ref="M313">LOOKUP(2,1/($G$19:$G$35&lt;=$V313)/($H$19:$H$35&gt;=$V313),$F$19:$F$35)</f>
        <v>1H23</v>
      </c>
      <c r="N313" s="5" t="str" cm="1">
        <f t="array" ref="N313">LOOKUP(2,1/($G$8:$G$16&lt;=$V313)/($H$8:$H$16&gt;=$V313),$F$8:$F$16)</f>
        <v>FY23</v>
      </c>
      <c r="O313" s="5" t="str">
        <f>IFERROR(N313&amp;"-"&amp;COUNTIF($N$5:N313,N313),NA())</f>
        <v>FY23-22</v>
      </c>
      <c r="P313" s="5">
        <f>COUNTIF(V$5:V313,"&gt;="&amp;MAX($V:$V)-183)</f>
        <v>0</v>
      </c>
      <c r="Q313" s="5">
        <f>COUNTIF(V$5:V313,"&gt;="&amp;MAX($V:$V)-365)</f>
        <v>0</v>
      </c>
      <c r="R313" s="5" cm="1">
        <f t="array" ref="R313">LOOKUP(2,1/($G$46:$G$50&lt;=$V313)/($H$46:$H$50&gt;=$V313),$F$46:$F$50)</f>
        <v>0</v>
      </c>
      <c r="S313" s="5" t="str" cm="1">
        <f t="array" ref="S313">LOOKUP(2,1/($G$53:$G$56&lt;=$V313)/($H$53:$H$56&gt;=$V313),$F$53:$F$56)</f>
        <v>A2</v>
      </c>
      <c r="T313" s="5" t="e">
        <f>IFERROR(IF($R313&gt;0,$R313&amp;"-"&amp;COUNTIF($R$5:$R313,$R313),NA()),NA())</f>
        <v>#N/A</v>
      </c>
      <c r="U313" s="5" t="str">
        <f>IFERROR(IF($S313&gt;0,$S313&amp;"-"&amp;COUNTIF($S$5:$S313,$S313),NA()),NA())</f>
        <v>A2-12</v>
      </c>
      <c r="V313" s="10">
        <v>44896</v>
      </c>
      <c r="W313" s="9">
        <v>25213057.950744905</v>
      </c>
      <c r="X313" s="9">
        <v>30591003.211638793</v>
      </c>
      <c r="Y313" s="8">
        <v>8000000</v>
      </c>
      <c r="OB313" s="1"/>
    </row>
    <row r="314" spans="13:392" x14ac:dyDescent="0.2">
      <c r="M314" s="5" t="str" cm="1">
        <f t="array" ref="M314">LOOKUP(2,1/($G$19:$G$35&lt;=$V314)/($H$19:$H$35&gt;=$V314),$F$19:$F$35)</f>
        <v>1H23</v>
      </c>
      <c r="N314" s="5" t="str" cm="1">
        <f t="array" ref="N314">LOOKUP(2,1/($G$8:$G$16&lt;=$V314)/($H$8:$H$16&gt;=$V314),$F$8:$F$16)</f>
        <v>FY23</v>
      </c>
      <c r="O314" s="5" t="str">
        <f>IFERROR(N314&amp;"-"&amp;COUNTIF($N$5:N314,N314),NA())</f>
        <v>FY23-23</v>
      </c>
      <c r="P314" s="5">
        <f>COUNTIF(V$5:V314,"&gt;="&amp;MAX($V:$V)-183)</f>
        <v>0</v>
      </c>
      <c r="Q314" s="5">
        <f>COUNTIF(V$5:V314,"&gt;="&amp;MAX($V:$V)-365)</f>
        <v>0</v>
      </c>
      <c r="R314" s="5" cm="1">
        <f t="array" ref="R314">LOOKUP(2,1/($G$46:$G$50&lt;=$V314)/($H$46:$H$50&gt;=$V314),$F$46:$F$50)</f>
        <v>0</v>
      </c>
      <c r="S314" s="5" t="str" cm="1">
        <f t="array" ref="S314">LOOKUP(2,1/($G$53:$G$56&lt;=$V314)/($H$53:$H$56&gt;=$V314),$F$53:$F$56)</f>
        <v>A2</v>
      </c>
      <c r="T314" s="5" t="e">
        <f>IFERROR(IF($R314&gt;0,$R314&amp;"-"&amp;COUNTIF($R$5:$R314,$R314),NA()),NA())</f>
        <v>#N/A</v>
      </c>
      <c r="U314" s="5" t="str">
        <f>IFERROR(IF($S314&gt;0,$S314&amp;"-"&amp;COUNTIF($S$5:$S314,$S314),NA()),NA())</f>
        <v>A2-13</v>
      </c>
      <c r="V314" s="10">
        <v>44903</v>
      </c>
      <c r="W314" s="9">
        <v>38341626.147765279</v>
      </c>
      <c r="X314" s="9">
        <v>46519895.005083613</v>
      </c>
      <c r="Y314" s="8">
        <v>20000000</v>
      </c>
      <c r="OB314" s="1"/>
    </row>
    <row r="315" spans="13:392" x14ac:dyDescent="0.2">
      <c r="M315" s="5" t="str" cm="1">
        <f t="array" ref="M315">LOOKUP(2,1/($G$19:$G$35&lt;=$V315)/($H$19:$H$35&gt;=$V315),$F$19:$F$35)</f>
        <v>1H23</v>
      </c>
      <c r="N315" s="5" t="str" cm="1">
        <f t="array" ref="N315">LOOKUP(2,1/($G$8:$G$16&lt;=$V315)/($H$8:$H$16&gt;=$V315),$F$8:$F$16)</f>
        <v>FY23</v>
      </c>
      <c r="O315" s="5" t="str">
        <f>IFERROR(N315&amp;"-"&amp;COUNTIF($N$5:N315,N315),NA())</f>
        <v>FY23-24</v>
      </c>
      <c r="P315" s="5">
        <f>COUNTIF(V$5:V315,"&gt;="&amp;MAX($V:$V)-183)</f>
        <v>0</v>
      </c>
      <c r="Q315" s="5">
        <f>COUNTIF(V$5:V315,"&gt;="&amp;MAX($V:$V)-365)</f>
        <v>0</v>
      </c>
      <c r="R315" s="5" cm="1">
        <f t="array" ref="R315">LOOKUP(2,1/($G$46:$G$50&lt;=$V315)/($H$46:$H$50&gt;=$V315),$F$46:$F$50)</f>
        <v>0</v>
      </c>
      <c r="S315" s="5" t="str" cm="1">
        <f t="array" ref="S315">LOOKUP(2,1/($G$53:$G$56&lt;=$V315)/($H$53:$H$56&gt;=$V315),$F$53:$F$56)</f>
        <v>A2</v>
      </c>
      <c r="T315" s="5" t="e">
        <f>IFERROR(IF($R315&gt;0,$R315&amp;"-"&amp;COUNTIF($R$5:$R315,$R315),NA()),NA())</f>
        <v>#N/A</v>
      </c>
      <c r="U315" s="5" t="str">
        <f>IFERROR(IF($S315&gt;0,$S315&amp;"-"&amp;COUNTIF($S$5:$S315,$S315),NA()),NA())</f>
        <v>A2-14</v>
      </c>
      <c r="V315" s="10">
        <v>44910</v>
      </c>
      <c r="W315" s="9">
        <v>50094358.163575552</v>
      </c>
      <c r="X315" s="9">
        <v>60779484.759866223</v>
      </c>
      <c r="Y315" s="8">
        <v>30000000</v>
      </c>
      <c r="OB315" s="1"/>
    </row>
    <row r="316" spans="13:392" x14ac:dyDescent="0.2">
      <c r="M316" s="5" t="str" cm="1">
        <f t="array" ref="M316">LOOKUP(2,1/($G$19:$G$35&lt;=$V316)/($H$19:$H$35&gt;=$V316),$F$19:$F$35)</f>
        <v>1H23</v>
      </c>
      <c r="N316" s="5" t="str" cm="1">
        <f t="array" ref="N316">LOOKUP(2,1/($G$8:$G$16&lt;=$V316)/($H$8:$H$16&gt;=$V316),$F$8:$F$16)</f>
        <v>FY23</v>
      </c>
      <c r="O316" s="5" t="str">
        <f>IFERROR(N316&amp;"-"&amp;COUNTIF($N$5:N316,N316),NA())</f>
        <v>FY23-25</v>
      </c>
      <c r="P316" s="5">
        <f>COUNTIF(V$5:V316,"&gt;="&amp;MAX($V:$V)-183)</f>
        <v>0</v>
      </c>
      <c r="Q316" s="5">
        <f>COUNTIF(V$5:V316,"&gt;="&amp;MAX($V:$V)-365)</f>
        <v>0</v>
      </c>
      <c r="R316" s="5" cm="1">
        <f t="array" ref="R316">LOOKUP(2,1/($G$46:$G$50&lt;=$V316)/($H$46:$H$50&gt;=$V316),$F$46:$F$50)</f>
        <v>0</v>
      </c>
      <c r="S316" s="5" t="str" cm="1">
        <f t="array" ref="S316">LOOKUP(2,1/($G$53:$G$56&lt;=$V316)/($H$53:$H$56&gt;=$V316),$F$53:$F$56)</f>
        <v>A2</v>
      </c>
      <c r="T316" s="5" t="e">
        <f>IFERROR(IF($R316&gt;0,$R316&amp;"-"&amp;COUNTIF($R$5:$R316,$R316),NA()),NA())</f>
        <v>#N/A</v>
      </c>
      <c r="U316" s="5" t="str">
        <f>IFERROR(IF($S316&gt;0,$S316&amp;"-"&amp;COUNTIF($S$5:$S316,$S316),NA()),NA())</f>
        <v>A2-15</v>
      </c>
      <c r="V316" s="10">
        <v>44917</v>
      </c>
      <c r="W316" s="9">
        <v>75733957.798723027</v>
      </c>
      <c r="X316" s="9">
        <v>91888010.997190654</v>
      </c>
      <c r="Y316" s="8">
        <v>50000000</v>
      </c>
      <c r="OB316" s="1"/>
    </row>
    <row r="317" spans="13:392" x14ac:dyDescent="0.2">
      <c r="M317" s="5" t="str" cm="1">
        <f t="array" ref="M317">LOOKUP(2,1/($G$19:$G$35&lt;=$V317)/($H$19:$H$35&gt;=$V317),$F$19:$F$35)</f>
        <v>1H23</v>
      </c>
      <c r="N317" s="5" t="str" cm="1">
        <f t="array" ref="N317">LOOKUP(2,1/($G$8:$G$16&lt;=$V317)/($H$8:$H$16&gt;=$V317),$F$8:$F$16)</f>
        <v>FY23</v>
      </c>
      <c r="O317" s="5" t="str">
        <f>IFERROR(N317&amp;"-"&amp;COUNTIF($N$5:N317,N317),NA())</f>
        <v>FY23-26</v>
      </c>
      <c r="P317" s="5">
        <f>COUNTIF(V$5:V317,"&gt;="&amp;MAX($V:$V)-183)</f>
        <v>0</v>
      </c>
      <c r="Q317" s="5">
        <f>COUNTIF(V$5:V317,"&gt;="&amp;MAX($V:$V)-365)</f>
        <v>0</v>
      </c>
      <c r="R317" s="5" cm="1">
        <f t="array" ref="R317">LOOKUP(2,1/($G$46:$G$50&lt;=$V317)/($H$46:$H$50&gt;=$V317),$F$46:$F$50)</f>
        <v>0</v>
      </c>
      <c r="S317" s="5" t="str" cm="1">
        <f t="array" ref="S317">LOOKUP(2,1/($G$53:$G$56&lt;=$V317)/($H$53:$H$56&gt;=$V317),$F$53:$F$56)</f>
        <v>A2</v>
      </c>
      <c r="T317" s="5" t="e">
        <f>IFERROR(IF($R317&gt;0,$R317&amp;"-"&amp;COUNTIF($R$5:$R317,$R317),NA()),NA())</f>
        <v>#N/A</v>
      </c>
      <c r="U317" s="5" t="str">
        <f>IFERROR(IF($S317&gt;0,$S317&amp;"-"&amp;COUNTIF($S$5:$S317,$S317),NA()),NA())</f>
        <v>A2-16</v>
      </c>
      <c r="V317" s="10">
        <v>44924</v>
      </c>
      <c r="W317" s="9">
        <v>137554844.39039224</v>
      </c>
      <c r="X317" s="9">
        <v>166895292.69886291</v>
      </c>
      <c r="Y317" s="8">
        <v>100000000</v>
      </c>
      <c r="OB317" s="1"/>
    </row>
    <row r="318" spans="13:392" x14ac:dyDescent="0.2">
      <c r="M318" s="5" t="str" cm="1">
        <f t="array" ref="M318">LOOKUP(2,1/($G$19:$G$35&lt;=$V318)/($H$19:$H$35&gt;=$V318),$F$19:$F$35)</f>
        <v>2H23</v>
      </c>
      <c r="N318" s="5" t="str" cm="1">
        <f t="array" ref="N318">LOOKUP(2,1/($G$8:$G$16&lt;=$V318)/($H$8:$H$16&gt;=$V318),$F$8:$F$16)</f>
        <v>FY23</v>
      </c>
      <c r="O318" s="5" t="str">
        <f>IFERROR(N318&amp;"-"&amp;COUNTIF($N$5:N318,N318),NA())</f>
        <v>FY23-27</v>
      </c>
      <c r="P318" s="5">
        <f>COUNTIF(V$5:V318,"&gt;="&amp;MAX($V:$V)-183)</f>
        <v>0</v>
      </c>
      <c r="Q318" s="5">
        <f>COUNTIF(V$5:V318,"&gt;="&amp;MAX($V:$V)-365)</f>
        <v>0</v>
      </c>
      <c r="R318" s="5" cm="1">
        <f t="array" ref="R318">LOOKUP(2,1/($G$46:$G$50&lt;=$V318)/($H$46:$H$50&gt;=$V318),$F$46:$F$50)</f>
        <v>0</v>
      </c>
      <c r="S318" s="5" cm="1">
        <f t="array" ref="S318">LOOKUP(2,1/($G$53:$G$56&lt;=$V318)/($H$53:$H$56&gt;=$V318),$F$53:$F$56)</f>
        <v>0</v>
      </c>
      <c r="T318" s="5" t="e">
        <f>IFERROR(IF($R318&gt;0,$R318&amp;"-"&amp;COUNTIF($R$5:$R318,$R318),NA()),NA())</f>
        <v>#N/A</v>
      </c>
      <c r="U318" s="5" t="e">
        <f>IFERROR(IF($S318&gt;0,$S318&amp;"-"&amp;COUNTIF($S$5:$S318,$S318),NA()),NA())</f>
        <v>#N/A</v>
      </c>
      <c r="V318" s="10">
        <v>44931</v>
      </c>
      <c r="W318" s="9">
        <v>20659761.872909699</v>
      </c>
      <c r="X318" s="9">
        <v>25066489.080401339</v>
      </c>
      <c r="Y318" s="8">
        <v>4000000</v>
      </c>
      <c r="OB318" s="1"/>
    </row>
    <row r="319" spans="13:392" x14ac:dyDescent="0.2">
      <c r="M319" s="5" t="str" cm="1">
        <f t="array" ref="M319">LOOKUP(2,1/($G$19:$G$35&lt;=$V319)/($H$19:$H$35&gt;=$V319),$F$19:$F$35)</f>
        <v>2H23</v>
      </c>
      <c r="N319" s="5" t="str" cm="1">
        <f t="array" ref="N319">LOOKUP(2,1/($G$8:$G$16&lt;=$V319)/($H$8:$H$16&gt;=$V319),$F$8:$F$16)</f>
        <v>FY23</v>
      </c>
      <c r="O319" s="5" t="str">
        <f>IFERROR(N319&amp;"-"&amp;COUNTIF($N$5:N319,N319),NA())</f>
        <v>FY23-28</v>
      </c>
      <c r="P319" s="5">
        <f>COUNTIF(V$5:V319,"&gt;="&amp;MAX($V:$V)-183)</f>
        <v>0</v>
      </c>
      <c r="Q319" s="5">
        <f>COUNTIF(V$5:V319,"&gt;="&amp;MAX($V:$V)-365)</f>
        <v>0</v>
      </c>
      <c r="R319" s="5" cm="1">
        <f t="array" ref="R319">LOOKUP(2,1/($G$46:$G$50&lt;=$V319)/($H$46:$H$50&gt;=$V319),$F$46:$F$50)</f>
        <v>0</v>
      </c>
      <c r="S319" s="5" cm="1">
        <f t="array" ref="S319">LOOKUP(2,1/($G$53:$G$56&lt;=$V319)/($H$53:$H$56&gt;=$V319),$F$53:$F$56)</f>
        <v>0</v>
      </c>
      <c r="T319" s="5" t="e">
        <f>IFERROR(IF($R319&gt;0,$R319&amp;"-"&amp;COUNTIF($R$5:$R319,$R319),NA()),NA())</f>
        <v>#N/A</v>
      </c>
      <c r="U319" s="5" t="e">
        <f>IFERROR(IF($S319&gt;0,$S319&amp;"-"&amp;COUNTIF($S$5:$S319,$S319),NA()),NA())</f>
        <v>#N/A</v>
      </c>
      <c r="V319" s="10">
        <v>44938</v>
      </c>
      <c r="W319" s="9">
        <v>22177022.316813622</v>
      </c>
      <c r="X319" s="9">
        <v>26907381.176989969</v>
      </c>
      <c r="Y319" s="8">
        <v>4000000</v>
      </c>
      <c r="OB319" s="1"/>
    </row>
    <row r="320" spans="13:392" x14ac:dyDescent="0.2">
      <c r="M320" s="5" t="str" cm="1">
        <f t="array" ref="M320">LOOKUP(2,1/($G$19:$G$35&lt;=$V320)/($H$19:$H$35&gt;=$V320),$F$19:$F$35)</f>
        <v>2H23</v>
      </c>
      <c r="N320" s="5" t="str" cm="1">
        <f t="array" ref="N320">LOOKUP(2,1/($G$8:$G$16&lt;=$V320)/($H$8:$H$16&gt;=$V320),$F$8:$F$16)</f>
        <v>FY23</v>
      </c>
      <c r="O320" s="5" t="str">
        <f>IFERROR(N320&amp;"-"&amp;COUNTIF($N$5:N320,N320),NA())</f>
        <v>FY23-29</v>
      </c>
      <c r="P320" s="5">
        <f>COUNTIF(V$5:V320,"&gt;="&amp;MAX($V:$V)-183)</f>
        <v>0</v>
      </c>
      <c r="Q320" s="5">
        <f>COUNTIF(V$5:V320,"&gt;="&amp;MAX($V:$V)-365)</f>
        <v>0</v>
      </c>
      <c r="R320" s="5" cm="1">
        <f t="array" ref="R320">LOOKUP(2,1/($G$46:$G$50&lt;=$V320)/($H$46:$H$50&gt;=$V320),$F$46:$F$50)</f>
        <v>0</v>
      </c>
      <c r="S320" s="5" cm="1">
        <f t="array" ref="S320">LOOKUP(2,1/($G$53:$G$56&lt;=$V320)/($H$53:$H$56&gt;=$V320),$F$53:$F$56)</f>
        <v>0</v>
      </c>
      <c r="T320" s="5" t="e">
        <f>IFERROR(IF($R320&gt;0,$R320&amp;"-"&amp;COUNTIF($R$5:$R320,$R320),NA()),NA())</f>
        <v>#N/A</v>
      </c>
      <c r="U320" s="5" t="e">
        <f>IFERROR(IF($S320&gt;0,$S320&amp;"-"&amp;COUNTIF($S$5:$S320,$S320),NA()),NA())</f>
        <v>#N/A</v>
      </c>
      <c r="V320" s="10">
        <v>44945</v>
      </c>
      <c r="W320" s="9">
        <v>28696273.517786555</v>
      </c>
      <c r="X320" s="9">
        <v>34817188.659130432</v>
      </c>
      <c r="Y320" s="8">
        <v>8000000</v>
      </c>
      <c r="OB320" s="1"/>
    </row>
    <row r="321" spans="13:392" x14ac:dyDescent="0.2">
      <c r="M321" s="5" t="str" cm="1">
        <f t="array" ref="M321">LOOKUP(2,1/($G$19:$G$35&lt;=$V321)/($H$19:$H$35&gt;=$V321),$F$19:$F$35)</f>
        <v>2H23</v>
      </c>
      <c r="N321" s="5" t="str" cm="1">
        <f t="array" ref="N321">LOOKUP(2,1/($G$8:$G$16&lt;=$V321)/($H$8:$H$16&gt;=$V321),$F$8:$F$16)</f>
        <v>FY23</v>
      </c>
      <c r="O321" s="5" t="str">
        <f>IFERROR(N321&amp;"-"&amp;COUNTIF($N$5:N321,N321),NA())</f>
        <v>FY23-30</v>
      </c>
      <c r="P321" s="5">
        <f>COUNTIF(V$5:V321,"&gt;="&amp;MAX($V:$V)-183)</f>
        <v>0</v>
      </c>
      <c r="Q321" s="5">
        <f>COUNTIF(V$5:V321,"&gt;="&amp;MAX($V:$V)-365)</f>
        <v>0</v>
      </c>
      <c r="R321" s="5" cm="1">
        <f t="array" ref="R321">LOOKUP(2,1/($G$46:$G$50&lt;=$V321)/($H$46:$H$50&gt;=$V321),$F$46:$F$50)</f>
        <v>0</v>
      </c>
      <c r="S321" s="5" cm="1">
        <f t="array" ref="S321">LOOKUP(2,1/($G$53:$G$56&lt;=$V321)/($H$53:$H$56&gt;=$V321),$F$53:$F$56)</f>
        <v>0</v>
      </c>
      <c r="T321" s="5" t="e">
        <f>IFERROR(IF($R321&gt;0,$R321&amp;"-"&amp;COUNTIF($R$5:$R321,$R321),NA()),NA())</f>
        <v>#N/A</v>
      </c>
      <c r="U321" s="5" t="e">
        <f>IFERROR(IF($S321&gt;0,$S321&amp;"-"&amp;COUNTIF($S$5:$S321,$S321),NA()),NA())</f>
        <v>#N/A</v>
      </c>
      <c r="V321" s="10">
        <v>44952</v>
      </c>
      <c r="W321" s="9">
        <v>41976722.529644273</v>
      </c>
      <c r="X321" s="9">
        <v>50930357.445217401</v>
      </c>
      <c r="Y321" s="8">
        <v>20000000</v>
      </c>
      <c r="OB321" s="1"/>
    </row>
    <row r="322" spans="13:392" x14ac:dyDescent="0.2">
      <c r="M322" s="5" t="str" cm="1">
        <f t="array" ref="M322">LOOKUP(2,1/($G$19:$G$35&lt;=$V322)/($H$19:$H$35&gt;=$V322),$F$19:$F$35)</f>
        <v>2H23</v>
      </c>
      <c r="N322" s="5" t="str" cm="1">
        <f t="array" ref="N322">LOOKUP(2,1/($G$8:$G$16&lt;=$V322)/($H$8:$H$16&gt;=$V322),$F$8:$F$16)</f>
        <v>FY23</v>
      </c>
      <c r="O322" s="5" t="str">
        <f>IFERROR(N322&amp;"-"&amp;COUNTIF($N$5:N322,N322),NA())</f>
        <v>FY23-31</v>
      </c>
      <c r="P322" s="5">
        <f>COUNTIF(V$5:V322,"&gt;="&amp;MAX($V:$V)-183)</f>
        <v>0</v>
      </c>
      <c r="Q322" s="5">
        <f>COUNTIF(V$5:V322,"&gt;="&amp;MAX($V:$V)-365)</f>
        <v>0</v>
      </c>
      <c r="R322" s="5" cm="1">
        <f t="array" ref="R322">LOOKUP(2,1/($G$46:$G$50&lt;=$V322)/($H$46:$H$50&gt;=$V322),$F$46:$F$50)</f>
        <v>0</v>
      </c>
      <c r="S322" s="5" cm="1">
        <f t="array" ref="S322">LOOKUP(2,1/($G$53:$G$56&lt;=$V322)/($H$53:$H$56&gt;=$V322),$F$53:$F$56)</f>
        <v>0</v>
      </c>
      <c r="T322" s="5" t="e">
        <f>IFERROR(IF($R322&gt;0,$R322&amp;"-"&amp;COUNTIF($R$5:$R322,$R322),NA()),NA())</f>
        <v>#N/A</v>
      </c>
      <c r="U322" s="5" t="e">
        <f>IFERROR(IF($S322&gt;0,$S322&amp;"-"&amp;COUNTIF($S$5:$S322,$S322),NA()),NA())</f>
        <v>#N/A</v>
      </c>
      <c r="V322" s="10">
        <v>44959</v>
      </c>
      <c r="W322" s="9">
        <v>59808873.700212829</v>
      </c>
      <c r="X322" s="9">
        <v>72566106.460468233</v>
      </c>
      <c r="Y322" s="8">
        <v>40000000</v>
      </c>
      <c r="OB322" s="1"/>
    </row>
    <row r="323" spans="13:392" x14ac:dyDescent="0.2">
      <c r="M323" s="5" t="str" cm="1">
        <f t="array" ref="M323">LOOKUP(2,1/($G$19:$G$35&lt;=$V323)/($H$19:$H$35&gt;=$V323),$F$19:$F$35)</f>
        <v>2H23</v>
      </c>
      <c r="N323" s="5" t="str" cm="1">
        <f t="array" ref="N323">LOOKUP(2,1/($G$8:$G$16&lt;=$V323)/($H$8:$H$16&gt;=$V323),$F$8:$F$16)</f>
        <v>FY23</v>
      </c>
      <c r="O323" s="5" t="str">
        <f>IFERROR(N323&amp;"-"&amp;COUNTIF($N$5:N323,N323),NA())</f>
        <v>FY23-32</v>
      </c>
      <c r="P323" s="5">
        <f>COUNTIF(V$5:V323,"&gt;="&amp;MAX($V:$V)-183)</f>
        <v>0</v>
      </c>
      <c r="Q323" s="5">
        <f>COUNTIF(V$5:V323,"&gt;="&amp;MAX($V:$V)-365)</f>
        <v>0</v>
      </c>
      <c r="R323" s="5" cm="1">
        <f t="array" ref="R323">LOOKUP(2,1/($G$46:$G$50&lt;=$V323)/($H$46:$H$50&gt;=$V323),$F$46:$F$50)</f>
        <v>0</v>
      </c>
      <c r="S323" s="5" cm="1">
        <f t="array" ref="S323">LOOKUP(2,1/($G$53:$G$56&lt;=$V323)/($H$53:$H$56&gt;=$V323),$F$53:$F$56)</f>
        <v>0</v>
      </c>
      <c r="T323" s="5" t="e">
        <f>IFERROR(IF($R323&gt;0,$R323&amp;"-"&amp;COUNTIF($R$5:$R323,$R323),NA()),NA())</f>
        <v>#N/A</v>
      </c>
      <c r="U323" s="5" t="e">
        <f>IFERROR(IF($S323&gt;0,$S323&amp;"-"&amp;COUNTIF($S$5:$S323,$S323),NA()),NA())</f>
        <v>#N/A</v>
      </c>
      <c r="V323" s="10">
        <v>44966</v>
      </c>
      <c r="W323" s="9">
        <v>20069480.4499848</v>
      </c>
      <c r="X323" s="9">
        <v>24350300.629966557</v>
      </c>
      <c r="Y323" s="8">
        <v>4000000</v>
      </c>
      <c r="OB323" s="1"/>
    </row>
    <row r="324" spans="13:392" x14ac:dyDescent="0.2">
      <c r="M324" s="5" t="str" cm="1">
        <f t="array" ref="M324">LOOKUP(2,1/($G$19:$G$35&lt;=$V324)/($H$19:$H$35&gt;=$V324),$F$19:$F$35)</f>
        <v>2H23</v>
      </c>
      <c r="N324" s="5" t="str" cm="1">
        <f t="array" ref="N324">LOOKUP(2,1/($G$8:$G$16&lt;=$V324)/($H$8:$H$16&gt;=$V324),$F$8:$F$16)</f>
        <v>FY23</v>
      </c>
      <c r="O324" s="5" t="str">
        <f>IFERROR(N324&amp;"-"&amp;COUNTIF($N$5:N324,N324),NA())</f>
        <v>FY23-33</v>
      </c>
      <c r="P324" s="5">
        <f>COUNTIF(V$5:V324,"&gt;="&amp;MAX($V:$V)-183)</f>
        <v>0</v>
      </c>
      <c r="Q324" s="5">
        <f>COUNTIF(V$5:V324,"&gt;="&amp;MAX($V:$V)-365)</f>
        <v>0</v>
      </c>
      <c r="R324" s="5" cm="1">
        <f t="array" ref="R324">LOOKUP(2,1/($G$46:$G$50&lt;=$V324)/($H$46:$H$50&gt;=$V324),$F$46:$F$50)</f>
        <v>0</v>
      </c>
      <c r="S324" s="5" cm="1">
        <f t="array" ref="S324">LOOKUP(2,1/($G$53:$G$56&lt;=$V324)/($H$53:$H$56&gt;=$V324),$F$53:$F$56)</f>
        <v>0</v>
      </c>
      <c r="T324" s="5" t="e">
        <f>IFERROR(IF($R324&gt;0,$R324&amp;"-"&amp;COUNTIF($R$5:$R324,$R324),NA()),NA())</f>
        <v>#N/A</v>
      </c>
      <c r="U324" s="5" t="e">
        <f>IFERROR(IF($S324&gt;0,$S324&amp;"-"&amp;COUNTIF($S$5:$S324,$S324),NA()),NA())</f>
        <v>#N/A</v>
      </c>
      <c r="V324" s="10">
        <v>44973</v>
      </c>
      <c r="W324" s="9">
        <v>27295176.771055035</v>
      </c>
      <c r="X324" s="9">
        <v>33117237.976321075</v>
      </c>
      <c r="Y324" s="8">
        <v>8000000</v>
      </c>
      <c r="OB324" s="1"/>
    </row>
    <row r="325" spans="13:392" x14ac:dyDescent="0.2">
      <c r="M325" s="5" t="str" cm="1">
        <f t="array" ref="M325">LOOKUP(2,1/($G$19:$G$35&lt;=$V325)/($H$19:$H$35&gt;=$V325),$F$19:$F$35)</f>
        <v>2H23</v>
      </c>
      <c r="N325" s="5" t="str" cm="1">
        <f t="array" ref="N325">LOOKUP(2,1/($G$8:$G$16&lt;=$V325)/($H$8:$H$16&gt;=$V325),$F$8:$F$16)</f>
        <v>FY23</v>
      </c>
      <c r="O325" s="5" t="str">
        <f>IFERROR(N325&amp;"-"&amp;COUNTIF($N$5:N325,N325),NA())</f>
        <v>FY23-34</v>
      </c>
      <c r="P325" s="5">
        <f>COUNTIF(V$5:V325,"&gt;="&amp;MAX($V:$V)-183)</f>
        <v>0</v>
      </c>
      <c r="Q325" s="5">
        <f>COUNTIF(V$5:V325,"&gt;="&amp;MAX($V:$V)-365)</f>
        <v>0</v>
      </c>
      <c r="R325" s="5" cm="1">
        <f t="array" ref="R325">LOOKUP(2,1/($G$46:$G$50&lt;=$V325)/($H$46:$H$50&gt;=$V325),$F$46:$F$50)</f>
        <v>0</v>
      </c>
      <c r="S325" s="5" cm="1">
        <f t="array" ref="S325">LOOKUP(2,1/($G$53:$G$56&lt;=$V325)/($H$53:$H$56&gt;=$V325),$F$53:$F$56)</f>
        <v>0</v>
      </c>
      <c r="T325" s="5" t="e">
        <f>IFERROR(IF($R325&gt;0,$R325&amp;"-"&amp;COUNTIF($R$5:$R325,$R325),NA()),NA())</f>
        <v>#N/A</v>
      </c>
      <c r="U325" s="5" t="e">
        <f>IFERROR(IF($S325&gt;0,$S325&amp;"-"&amp;COUNTIF($S$5:$S325,$S325),NA()),NA())</f>
        <v>#N/A</v>
      </c>
      <c r="V325" s="10">
        <v>44980</v>
      </c>
      <c r="W325" s="9">
        <v>43788940.346609913</v>
      </c>
      <c r="X325" s="9">
        <v>53129121.322541811</v>
      </c>
      <c r="Y325" s="8">
        <v>20000000</v>
      </c>
      <c r="OB325" s="1"/>
    </row>
    <row r="326" spans="13:392" x14ac:dyDescent="0.2">
      <c r="M326" s="5" t="str" cm="1">
        <f t="array" ref="M326">LOOKUP(2,1/($G$19:$G$35&lt;=$V326)/($H$19:$H$35&gt;=$V326),$F$19:$F$35)</f>
        <v>2H23</v>
      </c>
      <c r="N326" s="5" t="str" cm="1">
        <f t="array" ref="N326">LOOKUP(2,1/($G$8:$G$16&lt;=$V326)/($H$8:$H$16&gt;=$V326),$F$8:$F$16)</f>
        <v>FY23</v>
      </c>
      <c r="O326" s="5" t="str">
        <f>IFERROR(N326&amp;"-"&amp;COUNTIF($N$5:N326,N326),NA())</f>
        <v>FY23-35</v>
      </c>
      <c r="P326" s="5">
        <f>COUNTIF(V$5:V326,"&gt;="&amp;MAX($V:$V)-183)</f>
        <v>0</v>
      </c>
      <c r="Q326" s="5">
        <f>COUNTIF(V$5:V326,"&gt;="&amp;MAX($V:$V)-365)</f>
        <v>0</v>
      </c>
      <c r="R326" s="5" cm="1">
        <f t="array" ref="R326">LOOKUP(2,1/($G$46:$G$50&lt;=$V326)/($H$46:$H$50&gt;=$V326),$F$46:$F$50)</f>
        <v>0</v>
      </c>
      <c r="S326" s="5" cm="1">
        <f t="array" ref="S326">LOOKUP(2,1/($G$53:$G$56&lt;=$V326)/($H$53:$H$56&gt;=$V326),$F$53:$F$56)</f>
        <v>0</v>
      </c>
      <c r="T326" s="5" t="e">
        <f>IFERROR(IF($R326&gt;0,$R326&amp;"-"&amp;COUNTIF($R$5:$R326,$R326),NA()),NA())</f>
        <v>#N/A</v>
      </c>
      <c r="U326" s="5" t="e">
        <f>IFERROR(IF($S326&gt;0,$S326&amp;"-"&amp;COUNTIF($S$5:$S326,$S326),NA()),NA())</f>
        <v>#N/A</v>
      </c>
      <c r="V326" s="10">
        <v>44987</v>
      </c>
      <c r="W326" s="9">
        <v>60656023.107327446</v>
      </c>
      <c r="X326" s="9">
        <v>73593952.836120397</v>
      </c>
      <c r="Y326" s="8">
        <v>40000000</v>
      </c>
      <c r="OB326" s="1"/>
    </row>
    <row r="327" spans="13:392" x14ac:dyDescent="0.2">
      <c r="M327" s="5" t="str" cm="1">
        <f t="array" ref="M327">LOOKUP(2,1/($G$19:$G$35&lt;=$V327)/($H$19:$H$35&gt;=$V327),$F$19:$F$35)</f>
        <v>2H23</v>
      </c>
      <c r="N327" s="5" t="str" cm="1">
        <f t="array" ref="N327">LOOKUP(2,1/($G$8:$G$16&lt;=$V327)/($H$8:$H$16&gt;=$V327),$F$8:$F$16)</f>
        <v>FY23</v>
      </c>
      <c r="O327" s="5" t="str">
        <f>IFERROR(N327&amp;"-"&amp;COUNTIF($N$5:N327,N327),NA())</f>
        <v>FY23-36</v>
      </c>
      <c r="P327" s="5">
        <f>COUNTIF(V$5:V327,"&gt;="&amp;MAX($V:$V)-183)</f>
        <v>0</v>
      </c>
      <c r="Q327" s="5">
        <f>COUNTIF(V$5:V327,"&gt;="&amp;MAX($V:$V)-365)</f>
        <v>0</v>
      </c>
      <c r="R327" s="5" cm="1">
        <f t="array" ref="R327">LOOKUP(2,1/($G$46:$G$50&lt;=$V327)/($H$46:$H$50&gt;=$V327),$F$46:$F$50)</f>
        <v>0</v>
      </c>
      <c r="S327" s="5" cm="1">
        <f t="array" ref="S327">LOOKUP(2,1/($G$53:$G$56&lt;=$V327)/($H$53:$H$56&gt;=$V327),$F$53:$F$56)</f>
        <v>0</v>
      </c>
      <c r="T327" s="5" t="e">
        <f>IFERROR(IF($R327&gt;0,$R327&amp;"-"&amp;COUNTIF($R$5:$R327,$R327),NA()),NA())</f>
        <v>#N/A</v>
      </c>
      <c r="U327" s="5" t="e">
        <f>IFERROR(IF($S327&gt;0,$S327&amp;"-"&amp;COUNTIF($S$5:$S327,$S327),NA()),NA())</f>
        <v>#N/A</v>
      </c>
      <c r="V327" s="10">
        <v>44994</v>
      </c>
      <c r="W327" s="9">
        <v>20922155.062328976</v>
      </c>
      <c r="X327" s="9">
        <v>25384850.737123746</v>
      </c>
      <c r="Y327" s="8">
        <v>4000000</v>
      </c>
      <c r="OB327" s="1"/>
    </row>
    <row r="328" spans="13:392" x14ac:dyDescent="0.2">
      <c r="M328" s="5" t="str" cm="1">
        <f t="array" ref="M328">LOOKUP(2,1/($G$19:$G$35&lt;=$V328)/($H$19:$H$35&gt;=$V328),$F$19:$F$35)</f>
        <v>2H23</v>
      </c>
      <c r="N328" s="5" t="str" cm="1">
        <f t="array" ref="N328">LOOKUP(2,1/($G$8:$G$16&lt;=$V328)/($H$8:$H$16&gt;=$V328),$F$8:$F$16)</f>
        <v>FY23</v>
      </c>
      <c r="O328" s="5" t="str">
        <f>IFERROR(N328&amp;"-"&amp;COUNTIF($N$5:N328,N328),NA())</f>
        <v>FY23-37</v>
      </c>
      <c r="P328" s="5">
        <f>COUNTIF(V$5:V328,"&gt;="&amp;MAX($V:$V)-183)</f>
        <v>0</v>
      </c>
      <c r="Q328" s="5">
        <f>COUNTIF(V$5:V328,"&gt;="&amp;MAX($V:$V)-365)</f>
        <v>0</v>
      </c>
      <c r="R328" s="5" cm="1">
        <f t="array" ref="R328">LOOKUP(2,1/($G$46:$G$50&lt;=$V328)/($H$46:$H$50&gt;=$V328),$F$46:$F$50)</f>
        <v>0</v>
      </c>
      <c r="S328" s="5" cm="1">
        <f t="array" ref="S328">LOOKUP(2,1/($G$53:$G$56&lt;=$V328)/($H$53:$H$56&gt;=$V328),$F$53:$F$56)</f>
        <v>0</v>
      </c>
      <c r="T328" s="5" t="e">
        <f>IFERROR(IF($R328&gt;0,$R328&amp;"-"&amp;COUNTIF($R$5:$R328,$R328),NA()),NA())</f>
        <v>#N/A</v>
      </c>
      <c r="U328" s="5" t="e">
        <f>IFERROR(IF($S328&gt;0,$S328&amp;"-"&amp;COUNTIF($S$5:$S328,$S328),NA()),NA())</f>
        <v>#N/A</v>
      </c>
      <c r="V328" s="10">
        <v>45001</v>
      </c>
      <c r="W328" s="9">
        <v>22050697.598054122</v>
      </c>
      <c r="X328" s="9">
        <v>26754111.395719066</v>
      </c>
      <c r="Y328" s="8">
        <v>4000000</v>
      </c>
      <c r="OB328" s="1"/>
    </row>
    <row r="329" spans="13:392" x14ac:dyDescent="0.2">
      <c r="M329" s="5" t="str" cm="1">
        <f t="array" ref="M329">LOOKUP(2,1/($G$19:$G$35&lt;=$V329)/($H$19:$H$35&gt;=$V329),$F$19:$F$35)</f>
        <v>2H23</v>
      </c>
      <c r="N329" s="5" t="str" cm="1">
        <f t="array" ref="N329">LOOKUP(2,1/($G$8:$G$16&lt;=$V329)/($H$8:$H$16&gt;=$V329),$F$8:$F$16)</f>
        <v>FY23</v>
      </c>
      <c r="O329" s="5" t="str">
        <f>IFERROR(N329&amp;"-"&amp;COUNTIF($N$5:N329,N329),NA())</f>
        <v>FY23-38</v>
      </c>
      <c r="P329" s="5">
        <f>COUNTIF(V$5:V329,"&gt;="&amp;MAX($V:$V)-183)</f>
        <v>0</v>
      </c>
      <c r="Q329" s="5">
        <f>COUNTIF(V$5:V329,"&gt;="&amp;MAX($V:$V)-365)</f>
        <v>0</v>
      </c>
      <c r="R329" s="5" cm="1">
        <f t="array" ref="R329">LOOKUP(2,1/($G$46:$G$50&lt;=$V329)/($H$46:$H$50&gt;=$V329),$F$46:$F$50)</f>
        <v>0</v>
      </c>
      <c r="S329" s="5" cm="1">
        <f t="array" ref="S329">LOOKUP(2,1/($G$53:$G$56&lt;=$V329)/($H$53:$H$56&gt;=$V329),$F$53:$F$56)</f>
        <v>0</v>
      </c>
      <c r="T329" s="5" t="e">
        <f>IFERROR(IF($R329&gt;0,$R329&amp;"-"&amp;COUNTIF($R$5:$R329,$R329),NA()),NA())</f>
        <v>#N/A</v>
      </c>
      <c r="U329" s="5" t="e">
        <f>IFERROR(IF($S329&gt;0,$S329&amp;"-"&amp;COUNTIF($S$5:$S329,$S329),NA()),NA())</f>
        <v>#N/A</v>
      </c>
      <c r="V329" s="10">
        <v>45008</v>
      </c>
      <c r="W329" s="9">
        <v>25902576.588628761</v>
      </c>
      <c r="X329" s="9">
        <v>31427596.174983278</v>
      </c>
      <c r="Y329" s="8">
        <v>8000000</v>
      </c>
      <c r="OB329" s="1"/>
    </row>
    <row r="330" spans="13:392" x14ac:dyDescent="0.2">
      <c r="M330" s="5" t="str" cm="1">
        <f t="array" ref="M330">LOOKUP(2,1/($G$19:$G$35&lt;=$V330)/($H$19:$H$35&gt;=$V330),$F$19:$F$35)</f>
        <v>2H23</v>
      </c>
      <c r="N330" s="5" t="str" cm="1">
        <f t="array" ref="N330">LOOKUP(2,1/($G$8:$G$16&lt;=$V330)/($H$8:$H$16&gt;=$V330),$F$8:$F$16)</f>
        <v>FY23</v>
      </c>
      <c r="O330" s="5" t="str">
        <f>IFERROR(N330&amp;"-"&amp;COUNTIF($N$5:N330,N330),NA())</f>
        <v>FY23-39</v>
      </c>
      <c r="P330" s="5">
        <f>COUNTIF(V$5:V330,"&gt;="&amp;MAX($V:$V)-183)</f>
        <v>0</v>
      </c>
      <c r="Q330" s="5">
        <f>COUNTIF(V$5:V330,"&gt;="&amp;MAX($V:$V)-365)</f>
        <v>0</v>
      </c>
      <c r="R330" s="5" cm="1">
        <f t="array" ref="R330">LOOKUP(2,1/($G$46:$G$50&lt;=$V330)/($H$46:$H$50&gt;=$V330),$F$46:$F$50)</f>
        <v>0</v>
      </c>
      <c r="S330" s="5" cm="1">
        <f t="array" ref="S330">LOOKUP(2,1/($G$53:$G$56&lt;=$V330)/($H$53:$H$56&gt;=$V330),$F$53:$F$56)</f>
        <v>0</v>
      </c>
      <c r="T330" s="5" t="e">
        <f>IFERROR(IF($R330&gt;0,$R330&amp;"-"&amp;COUNTIF($R$5:$R330,$R330),NA()),NA())</f>
        <v>#N/A</v>
      </c>
      <c r="U330" s="5" t="e">
        <f>IFERROR(IF($S330&gt;0,$S330&amp;"-"&amp;COUNTIF($S$5:$S330,$S330),NA()),NA())</f>
        <v>#N/A</v>
      </c>
      <c r="V330" s="10">
        <v>45015</v>
      </c>
      <c r="W330" s="9">
        <v>25590152.994831257</v>
      </c>
      <c r="X330" s="9">
        <v>31048532.628628764</v>
      </c>
      <c r="Y330" s="8">
        <v>8000000</v>
      </c>
      <c r="OB330" s="1"/>
    </row>
    <row r="331" spans="13:392" x14ac:dyDescent="0.2">
      <c r="M331" s="5" t="str" cm="1">
        <f t="array" ref="M331">LOOKUP(2,1/($G$19:$G$35&lt;=$V331)/($H$19:$H$35&gt;=$V331),$F$19:$F$35)</f>
        <v>2H23</v>
      </c>
      <c r="N331" s="5" t="str" cm="1">
        <f t="array" ref="N331">LOOKUP(2,1/($G$8:$G$16&lt;=$V331)/($H$8:$H$16&gt;=$V331),$F$8:$F$16)</f>
        <v>FY23</v>
      </c>
      <c r="O331" s="5" t="str">
        <f>IFERROR(N331&amp;"-"&amp;COUNTIF($N$5:N331,N331),NA())</f>
        <v>FY23-40</v>
      </c>
      <c r="P331" s="5">
        <f>COUNTIF(V$5:V331,"&gt;="&amp;MAX($V:$V)-183)</f>
        <v>0</v>
      </c>
      <c r="Q331" s="5">
        <f>COUNTIF(V$5:V331,"&gt;="&amp;MAX($V:$V)-365)</f>
        <v>0</v>
      </c>
      <c r="R331" s="5" cm="1">
        <f t="array" ref="R331">LOOKUP(2,1/($G$46:$G$50&lt;=$V331)/($H$46:$H$50&gt;=$V331),$F$46:$F$50)</f>
        <v>0</v>
      </c>
      <c r="S331" s="5" cm="1">
        <f t="array" ref="S331">LOOKUP(2,1/($G$53:$G$56&lt;=$V331)/($H$53:$H$56&gt;=$V331),$F$53:$F$56)</f>
        <v>0</v>
      </c>
      <c r="T331" s="5" t="e">
        <f>IFERROR(IF($R331&gt;0,$R331&amp;"-"&amp;COUNTIF($R$5:$R331,$R331),NA()),NA())</f>
        <v>#N/A</v>
      </c>
      <c r="U331" s="5" t="e">
        <f>IFERROR(IF($S331&gt;0,$S331&amp;"-"&amp;COUNTIF($S$5:$S331,$S331),NA()),NA())</f>
        <v>#N/A</v>
      </c>
      <c r="V331" s="10">
        <v>45022</v>
      </c>
      <c r="W331" s="9">
        <v>41047026.208574027</v>
      </c>
      <c r="X331" s="9">
        <v>49802356.898862869</v>
      </c>
      <c r="Y331" s="8">
        <v>20000000</v>
      </c>
      <c r="OB331" s="1"/>
    </row>
    <row r="332" spans="13:392" x14ac:dyDescent="0.2">
      <c r="M332" s="5" t="str" cm="1">
        <f t="array" ref="M332">LOOKUP(2,1/($G$19:$G$35&lt;=$V332)/($H$19:$H$35&gt;=$V332),$F$19:$F$35)</f>
        <v>2H23</v>
      </c>
      <c r="N332" s="5" t="str" cm="1">
        <f t="array" ref="N332">LOOKUP(2,1/($G$8:$G$16&lt;=$V332)/($H$8:$H$16&gt;=$V332),$F$8:$F$16)</f>
        <v>FY23</v>
      </c>
      <c r="O332" s="5" t="str">
        <f>IFERROR(N332&amp;"-"&amp;COUNTIF($N$5:N332,N332),NA())</f>
        <v>FY23-41</v>
      </c>
      <c r="P332" s="5">
        <f>COUNTIF(V$5:V332,"&gt;="&amp;MAX($V:$V)-183)</f>
        <v>0</v>
      </c>
      <c r="Q332" s="5">
        <f>COUNTIF(V$5:V332,"&gt;="&amp;MAX($V:$V)-365)</f>
        <v>0</v>
      </c>
      <c r="R332" s="5" cm="1">
        <f t="array" ref="R332">LOOKUP(2,1/($G$46:$G$50&lt;=$V332)/($H$46:$H$50&gt;=$V332),$F$46:$F$50)</f>
        <v>0</v>
      </c>
      <c r="S332" s="5" cm="1">
        <f t="array" ref="S332">LOOKUP(2,1/($G$53:$G$56&lt;=$V332)/($H$53:$H$56&gt;=$V332),$F$53:$F$56)</f>
        <v>0</v>
      </c>
      <c r="T332" s="5" t="e">
        <f>IFERROR(IF($R332&gt;0,$R332&amp;"-"&amp;COUNTIF($R$5:$R332,$R332),NA()),NA())</f>
        <v>#N/A</v>
      </c>
      <c r="U332" s="5" t="e">
        <f>IFERROR(IF($S332&gt;0,$S332&amp;"-"&amp;COUNTIF($S$5:$S332,$S332),NA()),NA())</f>
        <v>#N/A</v>
      </c>
      <c r="V332" s="10">
        <v>45029</v>
      </c>
      <c r="W332" s="9">
        <v>49471698.145332925</v>
      </c>
      <c r="X332" s="9">
        <v>60024011.359732442</v>
      </c>
      <c r="Y332" s="8">
        <v>30000000</v>
      </c>
      <c r="OB332" s="1"/>
    </row>
    <row r="333" spans="13:392" x14ac:dyDescent="0.2">
      <c r="M333" s="5" t="str" cm="1">
        <f t="array" ref="M333">LOOKUP(2,1/($G$19:$G$35&lt;=$V333)/($H$19:$H$35&gt;=$V333),$F$19:$F$35)</f>
        <v>2H23</v>
      </c>
      <c r="N333" s="5" t="str" cm="1">
        <f t="array" ref="N333">LOOKUP(2,1/($G$8:$G$16&lt;=$V333)/($H$8:$H$16&gt;=$V333),$F$8:$F$16)</f>
        <v>FY23</v>
      </c>
      <c r="O333" s="5" t="str">
        <f>IFERROR(N333&amp;"-"&amp;COUNTIF($N$5:N333,N333),NA())</f>
        <v>FY23-42</v>
      </c>
      <c r="P333" s="5">
        <f>COUNTIF(V$5:V333,"&gt;="&amp;MAX($V:$V)-183)</f>
        <v>0</v>
      </c>
      <c r="Q333" s="5">
        <f>COUNTIF(V$5:V333,"&gt;="&amp;MAX($V:$V)-365)</f>
        <v>0</v>
      </c>
      <c r="R333" s="5" cm="1">
        <f t="array" ref="R333">LOOKUP(2,1/($G$46:$G$50&lt;=$V333)/($H$46:$H$50&gt;=$V333),$F$46:$F$50)</f>
        <v>0</v>
      </c>
      <c r="S333" s="5" cm="1">
        <f t="array" ref="S333">LOOKUP(2,1/($G$53:$G$56&lt;=$V333)/($H$53:$H$56&gt;=$V333),$F$53:$F$56)</f>
        <v>0</v>
      </c>
      <c r="T333" s="5" t="e">
        <f>IFERROR(IF($R333&gt;0,$R333&amp;"-"&amp;COUNTIF($R$5:$R333,$R333),NA()),NA())</f>
        <v>#N/A</v>
      </c>
      <c r="U333" s="5" t="e">
        <f>IFERROR(IF($S333&gt;0,$S333&amp;"-"&amp;COUNTIF($S$5:$S333,$S333),NA()),NA())</f>
        <v>#N/A</v>
      </c>
      <c r="V333" s="10">
        <v>45036</v>
      </c>
      <c r="W333" s="9">
        <v>21741040.681058068</v>
      </c>
      <c r="X333" s="9">
        <v>26378404.658327755</v>
      </c>
      <c r="Y333" s="8">
        <v>4000000</v>
      </c>
      <c r="OB333" s="1"/>
    </row>
    <row r="334" spans="13:392" x14ac:dyDescent="0.2">
      <c r="M334" s="5" t="str" cm="1">
        <f t="array" ref="M334">LOOKUP(2,1/($G$19:$G$35&lt;=$V334)/($H$19:$H$35&gt;=$V334),$F$19:$F$35)</f>
        <v>2H23</v>
      </c>
      <c r="N334" s="5" t="str" cm="1">
        <f t="array" ref="N334">LOOKUP(2,1/($G$8:$G$16&lt;=$V334)/($H$8:$H$16&gt;=$V334),$F$8:$F$16)</f>
        <v>FY23</v>
      </c>
      <c r="O334" s="5" t="str">
        <f>IFERROR(N334&amp;"-"&amp;COUNTIF($N$5:N334,N334),NA())</f>
        <v>FY23-43</v>
      </c>
      <c r="P334" s="5">
        <f>COUNTIF(V$5:V334,"&gt;="&amp;MAX($V:$V)-183)</f>
        <v>0</v>
      </c>
      <c r="Q334" s="5">
        <f>COUNTIF(V$5:V334,"&gt;="&amp;MAX($V:$V)-365)</f>
        <v>0</v>
      </c>
      <c r="R334" s="5" cm="1">
        <f t="array" ref="R334">LOOKUP(2,1/($G$46:$G$50&lt;=$V334)/($H$46:$H$50&gt;=$V334),$F$46:$F$50)</f>
        <v>0</v>
      </c>
      <c r="S334" s="5" cm="1">
        <f t="array" ref="S334">LOOKUP(2,1/($G$53:$G$56&lt;=$V334)/($H$53:$H$56&gt;=$V334),$F$53:$F$56)</f>
        <v>0</v>
      </c>
      <c r="T334" s="5" t="e">
        <f>IFERROR(IF($R334&gt;0,$R334&amp;"-"&amp;COUNTIF($R$5:$R334,$R334),NA()),NA())</f>
        <v>#N/A</v>
      </c>
      <c r="U334" s="5" t="e">
        <f>IFERROR(IF($S334&gt;0,$S334&amp;"-"&amp;COUNTIF($S$5:$S334,$S334),NA()),NA())</f>
        <v>#N/A</v>
      </c>
      <c r="V334" s="10">
        <v>45043</v>
      </c>
      <c r="W334" s="9">
        <v>27045895.28732137</v>
      </c>
      <c r="X334" s="9">
        <v>32814784.75210702</v>
      </c>
      <c r="Y334" s="8">
        <v>8000000</v>
      </c>
      <c r="OB334" s="1"/>
    </row>
    <row r="335" spans="13:392" x14ac:dyDescent="0.2">
      <c r="M335" s="5" t="str" cm="1">
        <f t="array" ref="M335">LOOKUP(2,1/($G$19:$G$35&lt;=$V335)/($H$19:$H$35&gt;=$V335),$F$19:$F$35)</f>
        <v>2H23</v>
      </c>
      <c r="N335" s="5" t="str" cm="1">
        <f t="array" ref="N335">LOOKUP(2,1/($G$8:$G$16&lt;=$V335)/($H$8:$H$16&gt;=$V335),$F$8:$F$16)</f>
        <v>FY23</v>
      </c>
      <c r="O335" s="5" t="str">
        <f>IFERROR(N335&amp;"-"&amp;COUNTIF($N$5:N335,N335),NA())</f>
        <v>FY23-44</v>
      </c>
      <c r="P335" s="5">
        <f>COUNTIF(V$5:V335,"&gt;="&amp;MAX($V:$V)-183)</f>
        <v>0</v>
      </c>
      <c r="Q335" s="5">
        <f>COUNTIF(V$5:V335,"&gt;="&amp;MAX($V:$V)-365)</f>
        <v>0</v>
      </c>
      <c r="R335" s="5" cm="1">
        <f t="array" ref="R335">LOOKUP(2,1/($G$46:$G$50&lt;=$V335)/($H$46:$H$50&gt;=$V335),$F$46:$F$50)</f>
        <v>0</v>
      </c>
      <c r="S335" s="5" cm="1">
        <f t="array" ref="S335">LOOKUP(2,1/($G$53:$G$56&lt;=$V335)/($H$53:$H$56&gt;=$V335),$F$53:$F$56)</f>
        <v>0</v>
      </c>
      <c r="T335" s="5" t="e">
        <f>IFERROR(IF($R335&gt;0,$R335&amp;"-"&amp;COUNTIF($R$5:$R335,$R335),NA()),NA())</f>
        <v>#N/A</v>
      </c>
      <c r="U335" s="5" t="e">
        <f>IFERROR(IF($S335&gt;0,$S335&amp;"-"&amp;COUNTIF($S$5:$S335,$S335),NA()),NA())</f>
        <v>#N/A</v>
      </c>
      <c r="V335" s="10">
        <v>45050</v>
      </c>
      <c r="W335" s="9">
        <v>41813564.487686224</v>
      </c>
      <c r="X335" s="9">
        <v>50732397.792909697</v>
      </c>
      <c r="Y335" s="8">
        <v>20000000</v>
      </c>
      <c r="OB335" s="1"/>
    </row>
    <row r="336" spans="13:392" x14ac:dyDescent="0.2">
      <c r="M336" s="5" t="str" cm="1">
        <f t="array" ref="M336">LOOKUP(2,1/($G$19:$G$35&lt;=$V336)/($H$19:$H$35&gt;=$V336),$F$19:$F$35)</f>
        <v>2H23</v>
      </c>
      <c r="N336" s="5" t="str" cm="1">
        <f t="array" ref="N336">LOOKUP(2,1/($G$8:$G$16&lt;=$V336)/($H$8:$H$16&gt;=$V336),$F$8:$F$16)</f>
        <v>FY23</v>
      </c>
      <c r="O336" s="5" t="str">
        <f>IFERROR(N336&amp;"-"&amp;COUNTIF($N$5:N336,N336),NA())</f>
        <v>FY23-45</v>
      </c>
      <c r="P336" s="5">
        <f>COUNTIF(V$5:V336,"&gt;="&amp;MAX($V:$V)-183)</f>
        <v>0</v>
      </c>
      <c r="Q336" s="5">
        <f>COUNTIF(V$5:V336,"&gt;="&amp;MAX($V:$V)-365)</f>
        <v>0</v>
      </c>
      <c r="R336" s="5" cm="1">
        <f t="array" ref="R336">LOOKUP(2,1/($G$46:$G$50&lt;=$V336)/($H$46:$H$50&gt;=$V336),$F$46:$F$50)</f>
        <v>0</v>
      </c>
      <c r="S336" s="5" cm="1">
        <f t="array" ref="S336">LOOKUP(2,1/($G$53:$G$56&lt;=$V336)/($H$53:$H$56&gt;=$V336),$F$53:$F$56)</f>
        <v>0</v>
      </c>
      <c r="T336" s="5" t="e">
        <f>IFERROR(IF($R336&gt;0,$R336&amp;"-"&amp;COUNTIF($R$5:$R336,$R336),NA()),NA())</f>
        <v>#N/A</v>
      </c>
      <c r="U336" s="5" t="e">
        <f>IFERROR(IF($S336&gt;0,$S336&amp;"-"&amp;COUNTIF($S$5:$S336,$S336),NA()),NA())</f>
        <v>#N/A</v>
      </c>
      <c r="V336" s="10">
        <v>45057</v>
      </c>
      <c r="W336" s="9">
        <v>19348700.760109454</v>
      </c>
      <c r="X336" s="9">
        <v>23475778.632240802</v>
      </c>
      <c r="Y336" s="8">
        <v>4000000</v>
      </c>
      <c r="OB336" s="1"/>
    </row>
    <row r="337" spans="13:392" x14ac:dyDescent="0.2">
      <c r="M337" s="5" t="str" cm="1">
        <f t="array" ref="M337">LOOKUP(2,1/($G$19:$G$35&lt;=$V337)/($H$19:$H$35&gt;=$V337),$F$19:$F$35)</f>
        <v>2H23</v>
      </c>
      <c r="N337" s="5" t="str" cm="1">
        <f t="array" ref="N337">LOOKUP(2,1/($G$8:$G$16&lt;=$V337)/($H$8:$H$16&gt;=$V337),$F$8:$F$16)</f>
        <v>FY23</v>
      </c>
      <c r="O337" s="5" t="str">
        <f>IFERROR(N337&amp;"-"&amp;COUNTIF($N$5:N337,N337),NA())</f>
        <v>FY23-46</v>
      </c>
      <c r="P337" s="5">
        <f>COUNTIF(V$5:V337,"&gt;="&amp;MAX($V:$V)-183)</f>
        <v>0</v>
      </c>
      <c r="Q337" s="5">
        <f>COUNTIF(V$5:V337,"&gt;="&amp;MAX($V:$V)-365)</f>
        <v>0</v>
      </c>
      <c r="R337" s="5" cm="1">
        <f t="array" ref="R337">LOOKUP(2,1/($G$46:$G$50&lt;=$V337)/($H$46:$H$50&gt;=$V337),$F$46:$F$50)</f>
        <v>0</v>
      </c>
      <c r="S337" s="5" cm="1">
        <f t="array" ref="S337">LOOKUP(2,1/($G$53:$G$56&lt;=$V337)/($H$53:$H$56&gt;=$V337),$F$53:$F$56)</f>
        <v>0</v>
      </c>
      <c r="T337" s="5" t="e">
        <f>IFERROR(IF($R337&gt;0,$R337&amp;"-"&amp;COUNTIF($R$5:$R337,$R337),NA()),NA())</f>
        <v>#N/A</v>
      </c>
      <c r="U337" s="5" t="e">
        <f>IFERROR(IF($S337&gt;0,$S337&amp;"-"&amp;COUNTIF($S$5:$S337,$S337),NA()),NA())</f>
        <v>#N/A</v>
      </c>
      <c r="V337" s="10">
        <v>45064</v>
      </c>
      <c r="W337" s="9">
        <v>19409982.487078138</v>
      </c>
      <c r="X337" s="9">
        <v>23550131.751571905</v>
      </c>
      <c r="Y337" s="8">
        <v>4000000</v>
      </c>
      <c r="OB337" s="1"/>
    </row>
    <row r="338" spans="13:392" x14ac:dyDescent="0.2">
      <c r="M338" s="5" t="str" cm="1">
        <f t="array" ref="M338">LOOKUP(2,1/($G$19:$G$35&lt;=$V338)/($H$19:$H$35&gt;=$V338),$F$19:$F$35)</f>
        <v>2H23</v>
      </c>
      <c r="N338" s="5" t="str" cm="1">
        <f t="array" ref="N338">LOOKUP(2,1/($G$8:$G$16&lt;=$V338)/($H$8:$H$16&gt;=$V338),$F$8:$F$16)</f>
        <v>FY23</v>
      </c>
      <c r="O338" s="5" t="str">
        <f>IFERROR(N338&amp;"-"&amp;COUNTIF($N$5:N338,N338),NA())</f>
        <v>FY23-47</v>
      </c>
      <c r="P338" s="5">
        <f>COUNTIF(V$5:V338,"&gt;="&amp;MAX($V:$V)-183)</f>
        <v>0</v>
      </c>
      <c r="Q338" s="5">
        <f>COUNTIF(V$5:V338,"&gt;="&amp;MAX($V:$V)-365)</f>
        <v>0</v>
      </c>
      <c r="R338" s="5" cm="1">
        <f t="array" ref="R338">LOOKUP(2,1/($G$46:$G$50&lt;=$V338)/($H$46:$H$50&gt;=$V338),$F$46:$F$50)</f>
        <v>0</v>
      </c>
      <c r="S338" s="5" cm="1">
        <f t="array" ref="S338">LOOKUP(2,1/($G$53:$G$56&lt;=$V338)/($H$53:$H$56&gt;=$V338),$F$53:$F$56)</f>
        <v>0</v>
      </c>
      <c r="T338" s="5" t="e">
        <f>IFERROR(IF($R338&gt;0,$R338&amp;"-"&amp;COUNTIF($R$5:$R338,$R338),NA()),NA())</f>
        <v>#N/A</v>
      </c>
      <c r="U338" s="5" t="e">
        <f>IFERROR(IF($S338&gt;0,$S338&amp;"-"&amp;COUNTIF($S$5:$S338,$S338),NA()),NA())</f>
        <v>#N/A</v>
      </c>
      <c r="V338" s="10">
        <v>45071</v>
      </c>
      <c r="W338" s="9">
        <v>30887849.079219788</v>
      </c>
      <c r="X338" s="9">
        <v>41624465.419156581</v>
      </c>
      <c r="Y338" s="8">
        <v>12000000</v>
      </c>
      <c r="OB338" s="1"/>
    </row>
    <row r="339" spans="13:392" x14ac:dyDescent="0.2">
      <c r="M339" s="5" t="str" cm="1">
        <f t="array" ref="M339">LOOKUP(2,1/($G$19:$G$35&lt;=$V339)/($H$19:$H$35&gt;=$V339),$F$19:$F$35)</f>
        <v>2H23</v>
      </c>
      <c r="N339" s="5" t="str" cm="1">
        <f t="array" ref="N339">LOOKUP(2,1/($G$8:$G$16&lt;=$V339)/($H$8:$H$16&gt;=$V339),$F$8:$F$16)</f>
        <v>FY23</v>
      </c>
      <c r="O339" s="5" t="str">
        <f>IFERROR(N339&amp;"-"&amp;COUNTIF($N$5:N339,N339),NA())</f>
        <v>FY23-48</v>
      </c>
      <c r="P339" s="5">
        <f>COUNTIF(V$5:V339,"&gt;="&amp;MAX($V:$V)-183)</f>
        <v>0</v>
      </c>
      <c r="Q339" s="5">
        <f>COUNTIF(V$5:V339,"&gt;="&amp;MAX($V:$V)-365)</f>
        <v>0</v>
      </c>
      <c r="R339" s="5" cm="1">
        <f t="array" ref="R339">LOOKUP(2,1/($G$46:$G$50&lt;=$V339)/($H$46:$H$50&gt;=$V339),$F$46:$F$50)</f>
        <v>0</v>
      </c>
      <c r="S339" s="5" cm="1">
        <f t="array" ref="S339">LOOKUP(2,1/($G$53:$G$56&lt;=$V339)/($H$53:$H$56&gt;=$V339),$F$53:$F$56)</f>
        <v>0</v>
      </c>
      <c r="T339" s="5" t="e">
        <f>IFERROR(IF($R339&gt;0,$R339&amp;"-"&amp;COUNTIF($R$5:$R339,$R339),NA()),NA())</f>
        <v>#N/A</v>
      </c>
      <c r="U339" s="5" t="e">
        <f>IFERROR(IF($S339&gt;0,$S339&amp;"-"&amp;COUNTIF($S$5:$S339,$S339),NA()),NA())</f>
        <v>#N/A</v>
      </c>
      <c r="V339" s="10">
        <v>45078</v>
      </c>
      <c r="W339" s="9">
        <v>40719506.810504526</v>
      </c>
      <c r="X339" s="9">
        <v>54873607.377835892</v>
      </c>
      <c r="Y339" s="8">
        <v>20000000</v>
      </c>
      <c r="OB339" s="1"/>
    </row>
    <row r="340" spans="13:392" x14ac:dyDescent="0.2">
      <c r="M340" s="5" t="str" cm="1">
        <f t="array" ref="M340">LOOKUP(2,1/($G$19:$G$35&lt;=$V340)/($H$19:$H$35&gt;=$V340),$F$19:$F$35)</f>
        <v>2H23</v>
      </c>
      <c r="N340" s="5" t="str" cm="1">
        <f t="array" ref="N340">LOOKUP(2,1/($G$8:$G$16&lt;=$V340)/($H$8:$H$16&gt;=$V340),$F$8:$F$16)</f>
        <v>FY23</v>
      </c>
      <c r="O340" s="5" t="str">
        <f>IFERROR(N340&amp;"-"&amp;COUNTIF($N$5:N340,N340),NA())</f>
        <v>FY23-49</v>
      </c>
      <c r="P340" s="5">
        <f>COUNTIF(V$5:V340,"&gt;="&amp;MAX($V:$V)-183)</f>
        <v>0</v>
      </c>
      <c r="Q340" s="5">
        <f>COUNTIF(V$5:V340,"&gt;="&amp;MAX($V:$V)-365)</f>
        <v>0</v>
      </c>
      <c r="R340" s="5" cm="1">
        <f t="array" ref="R340">LOOKUP(2,1/($G$46:$G$50&lt;=$V340)/($H$46:$H$50&gt;=$V340),$F$46:$F$50)</f>
        <v>0</v>
      </c>
      <c r="S340" s="5" cm="1">
        <f t="array" ref="S340">LOOKUP(2,1/($G$53:$G$56&lt;=$V340)/($H$53:$H$56&gt;=$V340),$F$53:$F$56)</f>
        <v>0</v>
      </c>
      <c r="T340" s="5" t="e">
        <f>IFERROR(IF($R340&gt;0,$R340&amp;"-"&amp;COUNTIF($R$5:$R340,$R340),NA()),NA())</f>
        <v>#N/A</v>
      </c>
      <c r="U340" s="5" t="e">
        <f>IFERROR(IF($S340&gt;0,$S340&amp;"-"&amp;COUNTIF($S$5:$S340,$S340),NA()),NA())</f>
        <v>#N/A</v>
      </c>
      <c r="V340" s="10">
        <v>45085</v>
      </c>
      <c r="W340" s="9">
        <v>56400732.701318517</v>
      </c>
      <c r="X340" s="9">
        <v>76005627.388296828</v>
      </c>
      <c r="Y340" s="8">
        <v>40000000</v>
      </c>
      <c r="OB340" s="1"/>
    </row>
    <row r="341" spans="13:392" x14ac:dyDescent="0.2">
      <c r="M341" s="5" t="str" cm="1">
        <f t="array" ref="M341">LOOKUP(2,1/($G$19:$G$35&lt;=$V341)/($H$19:$H$35&gt;=$V341),$F$19:$F$35)</f>
        <v>2H23</v>
      </c>
      <c r="N341" s="5" t="str" cm="1">
        <f t="array" ref="N341">LOOKUP(2,1/($G$8:$G$16&lt;=$V341)/($H$8:$H$16&gt;=$V341),$F$8:$F$16)</f>
        <v>FY23</v>
      </c>
      <c r="O341" s="5" t="str">
        <f>IFERROR(N341&amp;"-"&amp;COUNTIF($N$5:N341,N341),NA())</f>
        <v>FY23-50</v>
      </c>
      <c r="P341" s="5">
        <f>COUNTIF(V$5:V341,"&gt;="&amp;MAX($V:$V)-183)</f>
        <v>0</v>
      </c>
      <c r="Q341" s="5">
        <f>COUNTIF(V$5:V341,"&gt;="&amp;MAX($V:$V)-365)</f>
        <v>0</v>
      </c>
      <c r="R341" s="5" cm="1">
        <f t="array" ref="R341">LOOKUP(2,1/($G$46:$G$50&lt;=$V341)/($H$46:$H$50&gt;=$V341),$F$46:$F$50)</f>
        <v>0</v>
      </c>
      <c r="S341" s="5" cm="1">
        <f t="array" ref="S341">LOOKUP(2,1/($G$53:$G$56&lt;=$V341)/($H$53:$H$56&gt;=$V341),$F$53:$F$56)</f>
        <v>0</v>
      </c>
      <c r="T341" s="5" t="e">
        <f>IFERROR(IF($R341&gt;0,$R341&amp;"-"&amp;COUNTIF($R$5:$R341,$R341),NA()),NA())</f>
        <v>#N/A</v>
      </c>
      <c r="U341" s="5" t="e">
        <f>IFERROR(IF($S341&gt;0,$S341&amp;"-"&amp;COUNTIF($S$5:$S341,$S341),NA()),NA())</f>
        <v>#N/A</v>
      </c>
      <c r="V341" s="10">
        <v>45092</v>
      </c>
      <c r="W341" s="9">
        <v>87731429.334205076</v>
      </c>
      <c r="X341" s="9">
        <v>118226874.17077476</v>
      </c>
      <c r="Y341" s="8">
        <v>60000000</v>
      </c>
      <c r="OB341" s="1"/>
    </row>
    <row r="342" spans="13:392" x14ac:dyDescent="0.2">
      <c r="M342" s="5" t="str" cm="1">
        <f t="array" ref="M342">LOOKUP(2,1/($G$19:$G$35&lt;=$V342)/($H$19:$H$35&gt;=$V342),$F$19:$F$35)</f>
        <v>2H23</v>
      </c>
      <c r="N342" s="5" t="str" cm="1">
        <f t="array" ref="N342">LOOKUP(2,1/($G$8:$G$16&lt;=$V342)/($H$8:$H$16&gt;=$V342),$F$8:$F$16)</f>
        <v>FY23</v>
      </c>
      <c r="O342" s="5" t="str">
        <f>IFERROR(N342&amp;"-"&amp;COUNTIF($N$5:N342,N342),NA())</f>
        <v>FY23-51</v>
      </c>
      <c r="P342" s="5">
        <f>COUNTIF(V$5:V342,"&gt;="&amp;MAX($V:$V)-183)</f>
        <v>0</v>
      </c>
      <c r="Q342" s="5">
        <f>COUNTIF(V$5:V342,"&gt;="&amp;MAX($V:$V)-365)</f>
        <v>0</v>
      </c>
      <c r="R342" s="5" cm="1">
        <f t="array" ref="R342">LOOKUP(2,1/($G$46:$G$50&lt;=$V342)/($H$46:$H$50&gt;=$V342),$F$46:$F$50)</f>
        <v>0</v>
      </c>
      <c r="S342" s="5" cm="1">
        <f t="array" ref="S342">LOOKUP(2,1/($G$53:$G$56&lt;=$V342)/($H$53:$H$56&gt;=$V342),$F$53:$F$56)</f>
        <v>0</v>
      </c>
      <c r="T342" s="5" t="e">
        <f>IFERROR(IF($R342&gt;0,$R342&amp;"-"&amp;COUNTIF($R$5:$R342,$R342),NA()),NA())</f>
        <v>#N/A</v>
      </c>
      <c r="U342" s="5" t="e">
        <f>IFERROR(IF($S342&gt;0,$S342&amp;"-"&amp;COUNTIF($S$5:$S342,$S342),NA()),NA())</f>
        <v>#N/A</v>
      </c>
      <c r="V342" s="10">
        <v>45099</v>
      </c>
      <c r="W342" s="9">
        <v>169147583.30609131</v>
      </c>
      <c r="X342" s="9">
        <v>227943283.26328865</v>
      </c>
      <c r="Y342" s="8">
        <v>100000000</v>
      </c>
      <c r="OB342" s="1"/>
    </row>
    <row r="343" spans="13:392" x14ac:dyDescent="0.2">
      <c r="M343" s="5" t="str" cm="1">
        <f t="array" ref="M343">LOOKUP(2,1/($G$19:$G$35&lt;=$V343)/($H$19:$H$35&gt;=$V343),$F$19:$F$35)</f>
        <v>2H23</v>
      </c>
      <c r="N343" s="5" t="str" cm="1">
        <f t="array" ref="N343">LOOKUP(2,1/($G$8:$G$16&lt;=$V343)/($H$8:$H$16&gt;=$V343),$F$8:$F$16)</f>
        <v>FY23</v>
      </c>
      <c r="O343" s="5" t="str">
        <f>IFERROR(N343&amp;"-"&amp;COUNTIF($N$5:N343,N343),NA())</f>
        <v>FY23-52</v>
      </c>
      <c r="P343" s="5">
        <f>COUNTIF(V$5:V343,"&gt;="&amp;MAX($V:$V)-183)</f>
        <v>0</v>
      </c>
      <c r="Q343" s="5">
        <f>COUNTIF(V$5:V343,"&gt;="&amp;MAX($V:$V)-365)</f>
        <v>1</v>
      </c>
      <c r="R343" s="5" cm="1">
        <f t="array" ref="R343">LOOKUP(2,1/($G$46:$G$50&lt;=$V343)/($H$46:$H$50&gt;=$V343),$F$46:$F$50)</f>
        <v>0</v>
      </c>
      <c r="S343" s="5" cm="1">
        <f t="array" ref="S343">LOOKUP(2,1/($G$53:$G$56&lt;=$V343)/($H$53:$H$56&gt;=$V343),$F$53:$F$56)</f>
        <v>0</v>
      </c>
      <c r="T343" s="5" t="e">
        <f>IFERROR(IF($R343&gt;0,$R343&amp;"-"&amp;COUNTIF($R$5:$R343,$R343),NA()),NA())</f>
        <v>#N/A</v>
      </c>
      <c r="U343" s="5" t="e">
        <f>IFERROR(IF($S343&gt;0,$S343&amp;"-"&amp;COUNTIF($S$5:$S343,$S343),NA()),NA())</f>
        <v>#N/A</v>
      </c>
      <c r="V343" s="10">
        <v>45106</v>
      </c>
      <c r="W343" s="9">
        <v>19524423.123024959</v>
      </c>
      <c r="X343" s="9">
        <v>26311112.600588433</v>
      </c>
      <c r="Y343" s="8">
        <v>4000000</v>
      </c>
      <c r="OB343" s="1"/>
    </row>
    <row r="344" spans="13:392" x14ac:dyDescent="0.2">
      <c r="M344" s="5" t="str" cm="1">
        <f t="array" ref="M344">LOOKUP(2,1/($G$19:$G$35&lt;=$V344)/($H$19:$H$35&gt;=$V344),$F$19:$F$35)</f>
        <v>1H24</v>
      </c>
      <c r="N344" s="5" t="str" cm="1">
        <f t="array" ref="N344">LOOKUP(2,1/($G$8:$G$16&lt;=$V344)/($H$8:$H$16&gt;=$V344),$F$8:$F$16)</f>
        <v>FY24</v>
      </c>
      <c r="O344" s="5" t="str">
        <f>IFERROR(N344&amp;"-"&amp;COUNTIF($N$5:N344,N344),NA())</f>
        <v>FY24-1</v>
      </c>
      <c r="P344" s="5">
        <f>COUNTIF(V$5:V344,"&gt;="&amp;MAX($V:$V)-183)</f>
        <v>0</v>
      </c>
      <c r="Q344" s="5">
        <f>COUNTIF(V$5:V344,"&gt;="&amp;MAX($V:$V)-365)</f>
        <v>2</v>
      </c>
      <c r="R344" s="5" cm="1">
        <f t="array" ref="R344">LOOKUP(2,1/($G$46:$G$50&lt;=$V344)/($H$46:$H$50&gt;=$V344),$F$46:$F$50)</f>
        <v>0</v>
      </c>
      <c r="S344" s="5" cm="1">
        <f t="array" ref="S344">LOOKUP(2,1/($G$53:$G$56&lt;=$V344)/($H$53:$H$56&gt;=$V344),$F$53:$F$56)</f>
        <v>0</v>
      </c>
      <c r="T344" s="5" t="e">
        <f>IFERROR(IF($R344&gt;0,$R344&amp;"-"&amp;COUNTIF($R$5:$R344,$R344),NA()),NA())</f>
        <v>#N/A</v>
      </c>
      <c r="U344" s="5" t="e">
        <f>IFERROR(IF($S344&gt;0,$S344&amp;"-"&amp;COUNTIF($S$5:$S344,$S344),NA()),NA())</f>
        <v>#N/A</v>
      </c>
      <c r="V344" s="10">
        <v>45113</v>
      </c>
      <c r="W344" s="9">
        <v>31154789.255748071</v>
      </c>
      <c r="X344" s="9">
        <v>41984194.001046099</v>
      </c>
      <c r="Y344" s="8">
        <v>12000000</v>
      </c>
      <c r="OB344" s="1"/>
    </row>
    <row r="345" spans="13:392" x14ac:dyDescent="0.2">
      <c r="M345" s="5" t="str" cm="1">
        <f t="array" ref="M345">LOOKUP(2,1/($G$19:$G$35&lt;=$V345)/($H$19:$H$35&gt;=$V345),$F$19:$F$35)</f>
        <v>1H24</v>
      </c>
      <c r="N345" s="5" t="str" cm="1">
        <f t="array" ref="N345">LOOKUP(2,1/($G$8:$G$16&lt;=$V345)/($H$8:$H$16&gt;=$V345),$F$8:$F$16)</f>
        <v>FY24</v>
      </c>
      <c r="O345" s="5" t="str">
        <f>IFERROR(N345&amp;"-"&amp;COUNTIF($N$5:N345,N345),NA())</f>
        <v>FY24-2</v>
      </c>
      <c r="P345" s="5">
        <f>COUNTIF(V$5:V345,"&gt;="&amp;MAX($V:$V)-183)</f>
        <v>0</v>
      </c>
      <c r="Q345" s="5">
        <f>COUNTIF(V$5:V345,"&gt;="&amp;MAX($V:$V)-365)</f>
        <v>3</v>
      </c>
      <c r="R345" s="5" cm="1">
        <f t="array" ref="R345">LOOKUP(2,1/($G$46:$G$50&lt;=$V345)/($H$46:$H$50&gt;=$V345),$F$46:$F$50)</f>
        <v>0</v>
      </c>
      <c r="S345" s="5" cm="1">
        <f t="array" ref="S345">LOOKUP(2,1/($G$53:$G$56&lt;=$V345)/($H$53:$H$56&gt;=$V345),$F$53:$F$56)</f>
        <v>0</v>
      </c>
      <c r="T345" s="5" t="e">
        <f>IFERROR(IF($R345&gt;0,$R345&amp;"-"&amp;COUNTIF($R$5:$R345,$R345),NA()),NA())</f>
        <v>#N/A</v>
      </c>
      <c r="U345" s="5" t="e">
        <f>IFERROR(IF($S345&gt;0,$S345&amp;"-"&amp;COUNTIF($S$5:$S345,$S345),NA()),NA())</f>
        <v>#N/A</v>
      </c>
      <c r="V345" s="10">
        <v>45120</v>
      </c>
      <c r="W345" s="9">
        <v>40570238.531110391</v>
      </c>
      <c r="X345" s="9">
        <v>54672453.444524363</v>
      </c>
      <c r="Y345" s="8">
        <v>20000000</v>
      </c>
      <c r="OB345" s="1"/>
    </row>
    <row r="346" spans="13:392" x14ac:dyDescent="0.2">
      <c r="M346" s="5" t="str" cm="1">
        <f t="array" ref="M346">LOOKUP(2,1/($G$19:$G$35&lt;=$V346)/($H$19:$H$35&gt;=$V346),$F$19:$F$35)</f>
        <v>1H24</v>
      </c>
      <c r="N346" s="5" t="str" cm="1">
        <f t="array" ref="N346">LOOKUP(2,1/($G$8:$G$16&lt;=$V346)/($H$8:$H$16&gt;=$V346),$F$8:$F$16)</f>
        <v>FY24</v>
      </c>
      <c r="O346" s="5" t="str">
        <f>IFERROR(N346&amp;"-"&amp;COUNTIF($N$5:N346,N346),NA())</f>
        <v>FY24-3</v>
      </c>
      <c r="P346" s="5">
        <f>COUNTIF(V$5:V346,"&gt;="&amp;MAX($V:$V)-183)</f>
        <v>0</v>
      </c>
      <c r="Q346" s="5">
        <f>COUNTIF(V$5:V346,"&gt;="&amp;MAX($V:$V)-365)</f>
        <v>4</v>
      </c>
      <c r="R346" s="5" cm="1">
        <f t="array" ref="R346">LOOKUP(2,1/($G$46:$G$50&lt;=$V346)/($H$46:$H$50&gt;=$V346),$F$46:$F$50)</f>
        <v>0</v>
      </c>
      <c r="S346" s="5" cm="1">
        <f t="array" ref="S346">LOOKUP(2,1/($G$53:$G$56&lt;=$V346)/($H$53:$H$56&gt;=$V346),$F$53:$F$56)</f>
        <v>0</v>
      </c>
      <c r="T346" s="5" t="e">
        <f>IFERROR(IF($R346&gt;0,$R346&amp;"-"&amp;COUNTIF($R$5:$R346,$R346),NA()),NA())</f>
        <v>#N/A</v>
      </c>
      <c r="U346" s="5" t="e">
        <f>IFERROR(IF($S346&gt;0,$S346&amp;"-"&amp;COUNTIF($S$5:$S346,$S346),NA()),NA())</f>
        <v>#N/A</v>
      </c>
      <c r="V346" s="10">
        <v>45127</v>
      </c>
      <c r="W346" s="9">
        <v>60836962.188078903</v>
      </c>
      <c r="X346" s="9">
        <v>81983890.244655117</v>
      </c>
      <c r="Y346" s="8">
        <v>40000000</v>
      </c>
      <c r="OB346" s="1"/>
    </row>
    <row r="347" spans="13:392" x14ac:dyDescent="0.2">
      <c r="M347" s="5" t="str" cm="1">
        <f t="array" ref="M347">LOOKUP(2,1/($G$19:$G$35&lt;=$V347)/($H$19:$H$35&gt;=$V347),$F$19:$F$35)</f>
        <v>1H24</v>
      </c>
      <c r="N347" s="5" t="str" cm="1">
        <f t="array" ref="N347">LOOKUP(2,1/($G$8:$G$16&lt;=$V347)/($H$8:$H$16&gt;=$V347),$F$8:$F$16)</f>
        <v>FY24</v>
      </c>
      <c r="O347" s="5" t="str">
        <f>IFERROR(N347&amp;"-"&amp;COUNTIF($N$5:N347,N347),NA())</f>
        <v>FY24-4</v>
      </c>
      <c r="P347" s="5">
        <f>COUNTIF(V$5:V347,"&gt;="&amp;MAX($V:$V)-183)</f>
        <v>0</v>
      </c>
      <c r="Q347" s="5">
        <f>COUNTIF(V$5:V347,"&gt;="&amp;MAX($V:$V)-365)</f>
        <v>5</v>
      </c>
      <c r="R347" s="5" cm="1">
        <f t="array" ref="R347">LOOKUP(2,1/($G$46:$G$50&lt;=$V347)/($H$46:$H$50&gt;=$V347),$F$46:$F$50)</f>
        <v>0</v>
      </c>
      <c r="S347" s="5" cm="1">
        <f t="array" ref="S347">LOOKUP(2,1/($G$53:$G$56&lt;=$V347)/($H$53:$H$56&gt;=$V347),$F$53:$F$56)</f>
        <v>0</v>
      </c>
      <c r="T347" s="5" t="e">
        <f>IFERROR(IF($R347&gt;0,$R347&amp;"-"&amp;COUNTIF($R$5:$R347,$R347),NA()),NA())</f>
        <v>#N/A</v>
      </c>
      <c r="U347" s="5" t="e">
        <f>IFERROR(IF($S347&gt;0,$S347&amp;"-"&amp;COUNTIF($S$5:$S347,$S347),NA()),NA())</f>
        <v>#N/A</v>
      </c>
      <c r="V347" s="10">
        <v>45134</v>
      </c>
      <c r="W347" s="9">
        <v>84639629.07268171</v>
      </c>
      <c r="X347" s="9">
        <v>114060364.13834587</v>
      </c>
      <c r="Y347" s="8">
        <v>60000000</v>
      </c>
      <c r="OB347" s="1"/>
    </row>
    <row r="348" spans="13:392" x14ac:dyDescent="0.2">
      <c r="M348" s="5" t="str" cm="1">
        <f t="array" ref="M348">LOOKUP(2,1/($G$19:$G$35&lt;=$V348)/($H$19:$H$35&gt;=$V348),$F$19:$F$35)</f>
        <v>1H24</v>
      </c>
      <c r="N348" s="5" t="str" cm="1">
        <f t="array" ref="N348">LOOKUP(2,1/($G$8:$G$16&lt;=$V348)/($H$8:$H$16&gt;=$V348),$F$8:$F$16)</f>
        <v>FY24</v>
      </c>
      <c r="O348" s="5" t="str">
        <f>IFERROR(N348&amp;"-"&amp;COUNTIF($N$5:N348,N348),NA())</f>
        <v>FY24-5</v>
      </c>
      <c r="P348" s="5">
        <f>COUNTIF(V$5:V348,"&gt;="&amp;MAX($V:$V)-183)</f>
        <v>0</v>
      </c>
      <c r="Q348" s="5">
        <f>COUNTIF(V$5:V348,"&gt;="&amp;MAX($V:$V)-365)</f>
        <v>6</v>
      </c>
      <c r="R348" s="5" cm="1">
        <f t="array" ref="R348">LOOKUP(2,1/($G$46:$G$50&lt;=$V348)/($H$46:$H$50&gt;=$V348),$F$46:$F$50)</f>
        <v>0</v>
      </c>
      <c r="S348" s="5" cm="1">
        <f t="array" ref="S348">LOOKUP(2,1/($G$53:$G$56&lt;=$V348)/($H$53:$H$56&gt;=$V348),$F$53:$F$56)</f>
        <v>0</v>
      </c>
      <c r="T348" s="5" t="e">
        <f>IFERROR(IF($R348&gt;0,$R348&amp;"-"&amp;COUNTIF($R$5:$R348,$R348),NA()),NA())</f>
        <v>#N/A</v>
      </c>
      <c r="U348" s="5" t="e">
        <f>IFERROR(IF($S348&gt;0,$S348&amp;"-"&amp;COUNTIF($S$5:$S348,$S348),NA()),NA())</f>
        <v>#N/A</v>
      </c>
      <c r="V348" s="10">
        <v>45141</v>
      </c>
      <c r="W348" s="9">
        <v>156823488.17696416</v>
      </c>
      <c r="X348" s="9">
        <v>211335332.66727689</v>
      </c>
      <c r="Y348" s="8">
        <v>100000000</v>
      </c>
      <c r="OB348" s="1"/>
    </row>
    <row r="349" spans="13:392" x14ac:dyDescent="0.2">
      <c r="M349" s="5" t="str" cm="1">
        <f t="array" ref="M349">LOOKUP(2,1/($G$19:$G$35&lt;=$V349)/($H$19:$H$35&gt;=$V349),$F$19:$F$35)</f>
        <v>1H24</v>
      </c>
      <c r="N349" s="5" t="str" cm="1">
        <f t="array" ref="N349">LOOKUP(2,1/($G$8:$G$16&lt;=$V349)/($H$8:$H$16&gt;=$V349),$F$8:$F$16)</f>
        <v>FY24</v>
      </c>
      <c r="O349" s="5" t="str">
        <f>IFERROR(N349&amp;"-"&amp;COUNTIF($N$5:N349,N349),NA())</f>
        <v>FY24-6</v>
      </c>
      <c r="P349" s="5">
        <f>COUNTIF(V$5:V349,"&gt;="&amp;MAX($V:$V)-183)</f>
        <v>0</v>
      </c>
      <c r="Q349" s="5">
        <f>COUNTIF(V$5:V349,"&gt;="&amp;MAX($V:$V)-365)</f>
        <v>7</v>
      </c>
      <c r="R349" s="5" cm="1">
        <f t="array" ref="R349">LOOKUP(2,1/($G$46:$G$50&lt;=$V349)/($H$46:$H$50&gt;=$V349),$F$46:$F$50)</f>
        <v>0</v>
      </c>
      <c r="S349" s="5" cm="1">
        <f t="array" ref="S349">LOOKUP(2,1/($G$53:$G$56&lt;=$V349)/($H$53:$H$56&gt;=$V349),$F$53:$F$56)</f>
        <v>0</v>
      </c>
      <c r="T349" s="5" t="e">
        <f>IFERROR(IF($R349&gt;0,$R349&amp;"-"&amp;COUNTIF($R$5:$R349,$R349),NA()),NA())</f>
        <v>#N/A</v>
      </c>
      <c r="U349" s="5" t="e">
        <f>IFERROR(IF($S349&gt;0,$S349&amp;"-"&amp;COUNTIF($S$5:$S349,$S349),NA()),NA())</f>
        <v>#N/A</v>
      </c>
      <c r="V349" s="10">
        <v>45148</v>
      </c>
      <c r="W349" s="9">
        <v>20677774.436090227</v>
      </c>
      <c r="X349" s="9">
        <v>27865368.830075189</v>
      </c>
      <c r="Y349" s="8">
        <v>4000000</v>
      </c>
      <c r="OB349" s="1"/>
    </row>
    <row r="350" spans="13:392" x14ac:dyDescent="0.2">
      <c r="M350" s="5" t="str" cm="1">
        <f t="array" ref="M350">LOOKUP(2,1/($G$19:$G$35&lt;=$V350)/($H$19:$H$35&gt;=$V350),$F$19:$F$35)</f>
        <v>1H24</v>
      </c>
      <c r="N350" s="5" t="str" cm="1">
        <f t="array" ref="N350">LOOKUP(2,1/($G$8:$G$16&lt;=$V350)/($H$8:$H$16&gt;=$V350),$F$8:$F$16)</f>
        <v>FY24</v>
      </c>
      <c r="O350" s="5" t="str">
        <f>IFERROR(N350&amp;"-"&amp;COUNTIF($N$5:N350,N350),NA())</f>
        <v>FY24-7</v>
      </c>
      <c r="P350" s="5">
        <f>COUNTIF(V$5:V350,"&gt;="&amp;MAX($V:$V)-183)</f>
        <v>0</v>
      </c>
      <c r="Q350" s="5">
        <f>COUNTIF(V$5:V350,"&gt;="&amp;MAX($V:$V)-365)</f>
        <v>8</v>
      </c>
      <c r="R350" s="5" cm="1">
        <f t="array" ref="R350">LOOKUP(2,1/($G$46:$G$50&lt;=$V350)/($H$46:$H$50&gt;=$V350),$F$46:$F$50)</f>
        <v>0</v>
      </c>
      <c r="S350" s="5" cm="1">
        <f t="array" ref="S350">LOOKUP(2,1/($G$53:$G$56&lt;=$V350)/($H$53:$H$56&gt;=$V350),$F$53:$F$56)</f>
        <v>0</v>
      </c>
      <c r="T350" s="5" t="e">
        <f>IFERROR(IF($R350&gt;0,$R350&amp;"-"&amp;COUNTIF($R$5:$R350,$R350),NA()),NA())</f>
        <v>#N/A</v>
      </c>
      <c r="U350" s="5" t="e">
        <f>IFERROR(IF($S350&gt;0,$S350&amp;"-"&amp;COUNTIF($S$5:$S350,$S350),NA()),NA())</f>
        <v>#N/A</v>
      </c>
      <c r="V350" s="10">
        <v>45155</v>
      </c>
      <c r="W350" s="9">
        <v>30840203.334423013</v>
      </c>
      <c r="X350" s="9">
        <v>41560258.013468452</v>
      </c>
      <c r="Y350" s="8">
        <v>12000000</v>
      </c>
      <c r="OB350" s="1"/>
    </row>
    <row r="351" spans="13:392" x14ac:dyDescent="0.2">
      <c r="M351" s="5" t="str" cm="1">
        <f t="array" ref="M351">LOOKUP(2,1/($G$19:$G$35&lt;=$V351)/($H$19:$H$35&gt;=$V351),$F$19:$F$35)</f>
        <v>1H24</v>
      </c>
      <c r="N351" s="5" t="str" cm="1">
        <f t="array" ref="N351">LOOKUP(2,1/($G$8:$G$16&lt;=$V351)/($H$8:$H$16&gt;=$V351),$F$8:$F$16)</f>
        <v>FY24</v>
      </c>
      <c r="O351" s="5" t="str">
        <f>IFERROR(N351&amp;"-"&amp;COUNTIF($N$5:N351,N351),NA())</f>
        <v>FY24-8</v>
      </c>
      <c r="P351" s="5">
        <f>COUNTIF(V$5:V351,"&gt;="&amp;MAX($V:$V)-183)</f>
        <v>0</v>
      </c>
      <c r="Q351" s="5">
        <f>COUNTIF(V$5:V351,"&gt;="&amp;MAX($V:$V)-365)</f>
        <v>9</v>
      </c>
      <c r="R351" s="5" cm="1">
        <f t="array" ref="R351">LOOKUP(2,1/($G$46:$G$50&lt;=$V351)/($H$46:$H$50&gt;=$V351),$F$46:$F$50)</f>
        <v>0</v>
      </c>
      <c r="S351" s="5" cm="1">
        <f t="array" ref="S351">LOOKUP(2,1/($G$53:$G$56&lt;=$V351)/($H$53:$H$56&gt;=$V351),$F$53:$F$56)</f>
        <v>0</v>
      </c>
      <c r="T351" s="5" t="e">
        <f>IFERROR(IF($R351&gt;0,$R351&amp;"-"&amp;COUNTIF($R$5:$R351,$R351),NA()),NA())</f>
        <v>#N/A</v>
      </c>
      <c r="U351" s="5" t="e">
        <f>IFERROR(IF($S351&gt;0,$S351&amp;"-"&amp;COUNTIF($S$5:$S351,$S351),NA()),NA())</f>
        <v>#N/A</v>
      </c>
      <c r="V351" s="10">
        <v>45162</v>
      </c>
      <c r="W351" s="9">
        <v>42995307.072027899</v>
      </c>
      <c r="X351" s="9">
        <v>57940475.810264796</v>
      </c>
      <c r="Y351" s="8">
        <v>20000000</v>
      </c>
      <c r="OB351" s="1"/>
    </row>
    <row r="352" spans="13:392" x14ac:dyDescent="0.2">
      <c r="M352" s="5" t="str" cm="1">
        <f t="array" ref="M352">LOOKUP(2,1/($G$19:$G$35&lt;=$V352)/($H$19:$H$35&gt;=$V352),$F$19:$F$35)</f>
        <v>1H24</v>
      </c>
      <c r="N352" s="5" t="str" cm="1">
        <f t="array" ref="N352">LOOKUP(2,1/($G$8:$G$16&lt;=$V352)/($H$8:$H$16&gt;=$V352),$F$8:$F$16)</f>
        <v>FY24</v>
      </c>
      <c r="O352" s="5" t="str">
        <f>IFERROR(N352&amp;"-"&amp;COUNTIF($N$5:N352,N352),NA())</f>
        <v>FY24-9</v>
      </c>
      <c r="P352" s="5">
        <f>COUNTIF(V$5:V352,"&gt;="&amp;MAX($V:$V)-183)</f>
        <v>0</v>
      </c>
      <c r="Q352" s="5">
        <f>COUNTIF(V$5:V352,"&gt;="&amp;MAX($V:$V)-365)</f>
        <v>10</v>
      </c>
      <c r="R352" s="5" cm="1">
        <f t="array" ref="R352">LOOKUP(2,1/($G$46:$G$50&lt;=$V352)/($H$46:$H$50&gt;=$V352),$F$46:$F$50)</f>
        <v>0</v>
      </c>
      <c r="S352" s="5" cm="1">
        <f t="array" ref="S352">LOOKUP(2,1/($G$53:$G$56&lt;=$V352)/($H$53:$H$56&gt;=$V352),$F$53:$F$56)</f>
        <v>0</v>
      </c>
      <c r="T352" s="5" t="e">
        <f>IFERROR(IF($R352&gt;0,$R352&amp;"-"&amp;COUNTIF($R$5:$R352,$R352),NA()),NA())</f>
        <v>#N/A</v>
      </c>
      <c r="U352" s="5" t="e">
        <f>IFERROR(IF($S352&gt;0,$S352&amp;"-"&amp;COUNTIF($S$5:$S352,$S352),NA()),NA())</f>
        <v>#N/A</v>
      </c>
      <c r="V352" s="10">
        <v>45169</v>
      </c>
      <c r="W352" s="9">
        <v>59703342.595619485</v>
      </c>
      <c r="X352" s="9">
        <v>80456224.481856808</v>
      </c>
      <c r="Y352" s="8">
        <v>40000000</v>
      </c>
      <c r="OB352" s="1"/>
    </row>
    <row r="353" spans="13:392" x14ac:dyDescent="0.2">
      <c r="M353" s="5" t="str" cm="1">
        <f t="array" ref="M353">LOOKUP(2,1/($G$19:$G$35&lt;=$V353)/($H$19:$H$35&gt;=$V353),$F$19:$F$35)</f>
        <v>1H24</v>
      </c>
      <c r="N353" s="5" t="str" cm="1">
        <f t="array" ref="N353">LOOKUP(2,1/($G$8:$G$16&lt;=$V353)/($H$8:$H$16&gt;=$V353),$F$8:$F$16)</f>
        <v>FY24</v>
      </c>
      <c r="O353" s="5" t="str">
        <f>IFERROR(N353&amp;"-"&amp;COUNTIF($N$5:N353,N353),NA())</f>
        <v>FY24-10</v>
      </c>
      <c r="P353" s="5">
        <f>COUNTIF(V$5:V353,"&gt;="&amp;MAX($V:$V)-183)</f>
        <v>0</v>
      </c>
      <c r="Q353" s="5">
        <f>COUNTIF(V$5:V353,"&gt;="&amp;MAX($V:$V)-365)</f>
        <v>11</v>
      </c>
      <c r="R353" s="5" cm="1">
        <f t="array" ref="R353">LOOKUP(2,1/($G$46:$G$50&lt;=$V353)/($H$46:$H$50&gt;=$V353),$F$46:$F$50)</f>
        <v>0</v>
      </c>
      <c r="S353" s="5" cm="1">
        <f t="array" ref="S353">LOOKUP(2,1/($G$53:$G$56&lt;=$V353)/($H$53:$H$56&gt;=$V353),$F$53:$F$56)</f>
        <v>0</v>
      </c>
      <c r="T353" s="5" t="e">
        <f>IFERROR(IF($R353&gt;0,$R353&amp;"-"&amp;COUNTIF($R$5:$R353,$R353),NA()),NA())</f>
        <v>#N/A</v>
      </c>
      <c r="U353" s="5" t="e">
        <f>IFERROR(IF($S353&gt;0,$S353&amp;"-"&amp;COUNTIF($S$5:$S353,$S353),NA()),NA())</f>
        <v>#N/A</v>
      </c>
      <c r="V353" s="10">
        <v>45176</v>
      </c>
      <c r="W353" s="9">
        <v>20222166.06734227</v>
      </c>
      <c r="X353" s="9">
        <v>27251390.99235044</v>
      </c>
      <c r="Y353" s="8">
        <v>4000000</v>
      </c>
      <c r="OB353" s="1"/>
    </row>
    <row r="354" spans="13:392" x14ac:dyDescent="0.2">
      <c r="M354" s="5" t="str" cm="1">
        <f t="array" ref="M354">LOOKUP(2,1/($G$19:$G$35&lt;=$V354)/($H$19:$H$35&gt;=$V354),$F$19:$F$35)</f>
        <v>1H24</v>
      </c>
      <c r="N354" s="5" t="str" cm="1">
        <f t="array" ref="N354">LOOKUP(2,1/($G$8:$G$16&lt;=$V354)/($H$8:$H$16&gt;=$V354),$F$8:$F$16)</f>
        <v>FY24</v>
      </c>
      <c r="O354" s="5" t="str">
        <f>IFERROR(N354&amp;"-"&amp;COUNTIF($N$5:N354,N354),NA())</f>
        <v>FY24-11</v>
      </c>
      <c r="P354" s="5">
        <f>COUNTIF(V$5:V354,"&gt;="&amp;MAX($V:$V)-183)</f>
        <v>0</v>
      </c>
      <c r="Q354" s="5">
        <f>COUNTIF(V$5:V354,"&gt;="&amp;MAX($V:$V)-365)</f>
        <v>12</v>
      </c>
      <c r="R354" s="5" cm="1">
        <f t="array" ref="R354">LOOKUP(2,1/($G$46:$G$50&lt;=$V354)/($H$46:$H$50&gt;=$V354),$F$46:$F$50)</f>
        <v>0</v>
      </c>
      <c r="S354" s="5" cm="1">
        <f t="array" ref="S354">LOOKUP(2,1/($G$53:$G$56&lt;=$V354)/($H$53:$H$56&gt;=$V354),$F$53:$F$56)</f>
        <v>0</v>
      </c>
      <c r="T354" s="5" t="e">
        <f>IFERROR(IF($R354&gt;0,$R354&amp;"-"&amp;COUNTIF($R$5:$R354,$R354),NA()),NA())</f>
        <v>#N/A</v>
      </c>
      <c r="U354" s="5" t="e">
        <f>IFERROR(IF($S354&gt;0,$S354&amp;"-"&amp;COUNTIF($S$5:$S354,$S354),NA()),NA())</f>
        <v>#N/A</v>
      </c>
      <c r="V354" s="10">
        <v>45183</v>
      </c>
      <c r="W354" s="9">
        <v>32237415.277323749</v>
      </c>
      <c r="X354" s="9">
        <v>43443140.827721484</v>
      </c>
      <c r="Y354" s="8">
        <v>12000000</v>
      </c>
      <c r="OB354" s="1"/>
    </row>
    <row r="355" spans="13:392" x14ac:dyDescent="0.25">
      <c r="M355" s="5" t="str" cm="1">
        <f t="array" ref="M355">LOOKUP(2,1/($G$19:$G$35&lt;=$V355)/($H$19:$H$35&gt;=$V355),$F$19:$F$35)</f>
        <v>1H24</v>
      </c>
      <c r="N355" s="5" t="str" cm="1">
        <f t="array" ref="N355">LOOKUP(2,1/($G$8:$G$16&lt;=$V355)/($H$8:$H$16&gt;=$V355),$F$8:$F$16)</f>
        <v>FY24</v>
      </c>
      <c r="O355" s="5" t="str">
        <f>IFERROR(N355&amp;"-"&amp;COUNTIF($N$5:N355,N355),NA())</f>
        <v>FY24-12</v>
      </c>
      <c r="P355" s="5">
        <f>COUNTIF(V$5:V355,"&gt;="&amp;MAX($V:$V)-183)</f>
        <v>0</v>
      </c>
      <c r="Q355" s="5">
        <f>COUNTIF(V$5:V355,"&gt;="&amp;MAX($V:$V)-365)</f>
        <v>13</v>
      </c>
      <c r="R355" s="5" cm="1">
        <f t="array" ref="R355">LOOKUP(2,1/($G$46:$G$50&lt;=$V355)/($H$46:$H$50&gt;=$V355),$F$46:$F$50)</f>
        <v>0</v>
      </c>
      <c r="S355" s="5" cm="1">
        <f t="array" ref="S355">LOOKUP(2,1/($G$53:$G$56&lt;=$V355)/($H$53:$H$56&gt;=$V355),$F$53:$F$56)</f>
        <v>0</v>
      </c>
      <c r="T355" s="5" t="e">
        <f>IFERROR(IF($R355&gt;0,$R355&amp;"-"&amp;COUNTIF($R$5:$R355,$R355),NA()),NA())</f>
        <v>#N/A</v>
      </c>
      <c r="U355" s="5" t="e">
        <f>IFERROR(IF($S355&gt;0,$S355&amp;"-"&amp;COUNTIF($S$5:$S355,$S355),NA()),NA())</f>
        <v>#N/A</v>
      </c>
      <c r="V355" s="10">
        <v>45190</v>
      </c>
      <c r="W355" s="9">
        <v>41746812.901819773</v>
      </c>
      <c r="X355" s="9">
        <v>56258005.066492319</v>
      </c>
      <c r="Y355" s="8">
        <v>20000000</v>
      </c>
    </row>
    <row r="356" spans="13:392" x14ac:dyDescent="0.25">
      <c r="M356" s="5" t="str" cm="1">
        <f t="array" ref="M356">LOOKUP(2,1/($G$19:$G$35&lt;=$V356)/($H$19:$H$35&gt;=$V356),$F$19:$F$35)</f>
        <v>1H24</v>
      </c>
      <c r="N356" s="5" t="str" cm="1">
        <f t="array" ref="N356">LOOKUP(2,1/($G$8:$G$16&lt;=$V356)/($H$8:$H$16&gt;=$V356),$F$8:$F$16)</f>
        <v>FY24</v>
      </c>
      <c r="O356" s="5" t="str">
        <f>IFERROR(N356&amp;"-"&amp;COUNTIF($N$5:N356,N356),NA())</f>
        <v>FY24-13</v>
      </c>
      <c r="P356" s="5">
        <f>COUNTIF(V$5:V356,"&gt;="&amp;MAX($V:$V)-183)</f>
        <v>0</v>
      </c>
      <c r="Q356" s="5">
        <f>COUNTIF(V$5:V356,"&gt;="&amp;MAX($V:$V)-365)</f>
        <v>14</v>
      </c>
      <c r="R356" s="5" cm="1">
        <f t="array" ref="R356">LOOKUP(2,1/($G$46:$G$50&lt;=$V356)/($H$46:$H$50&gt;=$V356),$F$46:$F$50)</f>
        <v>0</v>
      </c>
      <c r="S356" s="5" cm="1">
        <f t="array" ref="S356">LOOKUP(2,1/($G$53:$G$56&lt;=$V356)/($H$53:$H$56&gt;=$V356),$F$53:$F$56)</f>
        <v>0</v>
      </c>
      <c r="T356" s="5" t="e">
        <f>IFERROR(IF($R356&gt;0,$R356&amp;"-"&amp;COUNTIF($R$5:$R356,$R356),NA()),NA())</f>
        <v>#N/A</v>
      </c>
      <c r="U356" s="5" t="e">
        <f>IFERROR(IF($S356&gt;0,$S356&amp;"-"&amp;COUNTIF($S$5:$S356,$S356),NA()),NA())</f>
        <v>#N/A</v>
      </c>
      <c r="V356" s="10">
        <v>45197</v>
      </c>
      <c r="W356" s="9">
        <v>56641298.899422474</v>
      </c>
      <c r="X356" s="9">
        <v>76329814.396861717</v>
      </c>
      <c r="Y356" s="8">
        <v>40000000</v>
      </c>
    </row>
    <row r="357" spans="13:392" x14ac:dyDescent="0.25">
      <c r="M357" s="5" t="str" cm="1">
        <f t="array" ref="M357">LOOKUP(2,1/($G$19:$G$35&lt;=$V357)/($H$19:$H$35&gt;=$V357),$F$19:$F$35)</f>
        <v>1H24</v>
      </c>
      <c r="N357" s="5" t="str" cm="1">
        <f t="array" ref="N357">LOOKUP(2,1/($G$8:$G$16&lt;=$V357)/($H$8:$H$16&gt;=$V357),$F$8:$F$16)</f>
        <v>FY24</v>
      </c>
      <c r="O357" s="5" t="str">
        <f>IFERROR(N357&amp;"-"&amp;COUNTIF($N$5:N357,N357),NA())</f>
        <v>FY24-14</v>
      </c>
      <c r="P357" s="5">
        <f>COUNTIF(V$5:V357,"&gt;="&amp;MAX($V:$V)-183)</f>
        <v>0</v>
      </c>
      <c r="Q357" s="5">
        <f>COUNTIF(V$5:V357,"&gt;="&amp;MAX($V:$V)-365)</f>
        <v>15</v>
      </c>
      <c r="R357" s="5" cm="1">
        <f t="array" ref="R357">LOOKUP(2,1/($G$46:$G$50&lt;=$V357)/($H$46:$H$50&gt;=$V357),$F$46:$F$50)</f>
        <v>0</v>
      </c>
      <c r="S357" s="5" cm="1">
        <f t="array" ref="S357">LOOKUP(2,1/($G$53:$G$56&lt;=$V357)/($H$53:$H$56&gt;=$V357),$F$53:$F$56)</f>
        <v>0</v>
      </c>
      <c r="T357" s="5" t="e">
        <f>IFERROR(IF($R357&gt;0,$R357&amp;"-"&amp;COUNTIF($R$5:$R357,$R357),NA()),NA())</f>
        <v>#N/A</v>
      </c>
      <c r="U357" s="5" t="e">
        <f>IFERROR(IF($S357&gt;0,$S357&amp;"-"&amp;COUNTIF($S$5:$S357,$S357),NA()),NA())</f>
        <v>#N/A</v>
      </c>
      <c r="V357" s="10">
        <v>45204</v>
      </c>
      <c r="W357" s="9">
        <v>85385106.4618067</v>
      </c>
      <c r="X357" s="9">
        <v>115064969.4679307</v>
      </c>
      <c r="Y357" s="8">
        <v>60000000</v>
      </c>
    </row>
    <row r="358" spans="13:392" x14ac:dyDescent="0.25">
      <c r="M358" s="5" t="str" cm="1">
        <f t="array" ref="M358">LOOKUP(2,1/($G$19:$G$35&lt;=$V358)/($H$19:$H$35&gt;=$V358),$F$19:$F$35)</f>
        <v>1H24</v>
      </c>
      <c r="N358" s="5" t="str" cm="1">
        <f t="array" ref="N358">LOOKUP(2,1/($G$8:$G$16&lt;=$V358)/($H$8:$H$16&gt;=$V358),$F$8:$F$16)</f>
        <v>FY24</v>
      </c>
      <c r="O358" s="5" t="str">
        <f>IFERROR(N358&amp;"-"&amp;COUNTIF($N$5:N358,N358),NA())</f>
        <v>FY24-15</v>
      </c>
      <c r="P358" s="5">
        <f>COUNTIF(V$5:V358,"&gt;="&amp;MAX($V:$V)-183)</f>
        <v>0</v>
      </c>
      <c r="Q358" s="5">
        <f>COUNTIF(V$5:V358,"&gt;="&amp;MAX($V:$V)-365)</f>
        <v>16</v>
      </c>
      <c r="R358" s="5" cm="1">
        <f t="array" ref="R358">LOOKUP(2,1/($G$46:$G$50&lt;=$V358)/($H$46:$H$50&gt;=$V358),$F$46:$F$50)</f>
        <v>0</v>
      </c>
      <c r="S358" s="5" cm="1">
        <f t="array" ref="S358">LOOKUP(2,1/($G$53:$G$56&lt;=$V358)/($H$53:$H$56&gt;=$V358),$F$53:$F$56)</f>
        <v>0</v>
      </c>
      <c r="T358" s="5" t="e">
        <f>IFERROR(IF($R358&gt;0,$R358&amp;"-"&amp;COUNTIF($R$5:$R358,$R358),NA()),NA())</f>
        <v>#N/A</v>
      </c>
      <c r="U358" s="5" t="e">
        <f>IFERROR(IF($S358&gt;0,$S358&amp;"-"&amp;COUNTIF($S$5:$S358,$S358),NA()),NA())</f>
        <v>#N/A</v>
      </c>
      <c r="V358" s="10">
        <v>45211</v>
      </c>
      <c r="W358" s="9">
        <v>19942564.454614796</v>
      </c>
      <c r="X358" s="9">
        <v>26874599.859038897</v>
      </c>
      <c r="Y358" s="8">
        <v>4000000</v>
      </c>
    </row>
    <row r="359" spans="13:392" x14ac:dyDescent="0.25">
      <c r="M359" s="5" t="str" cm="1">
        <f t="array" ref="M359">LOOKUP(2,1/($G$19:$G$35&lt;=$V359)/($H$19:$H$35&gt;=$V359),$F$19:$F$35)</f>
        <v>1H24</v>
      </c>
      <c r="N359" s="5" t="str" cm="1">
        <f t="array" ref="N359">LOOKUP(2,1/($G$8:$G$16&lt;=$V359)/($H$8:$H$16&gt;=$V359),$F$8:$F$16)</f>
        <v>FY24</v>
      </c>
      <c r="O359" s="5" t="str">
        <f>IFERROR(N359&amp;"-"&amp;COUNTIF($N$5:N359,N359),NA())</f>
        <v>FY24-16</v>
      </c>
      <c r="P359" s="5">
        <f>COUNTIF(V$5:V359,"&gt;="&amp;MAX($V:$V)-183)</f>
        <v>0</v>
      </c>
      <c r="Q359" s="5">
        <f>COUNTIF(V$5:V359,"&gt;="&amp;MAX($V:$V)-365)</f>
        <v>17</v>
      </c>
      <c r="R359" s="5" cm="1">
        <f t="array" ref="R359">LOOKUP(2,1/($G$46:$G$50&lt;=$V359)/($H$46:$H$50&gt;=$V359),$F$46:$F$50)</f>
        <v>0</v>
      </c>
      <c r="S359" s="5" cm="1">
        <f t="array" ref="S359">LOOKUP(2,1/($G$53:$G$56&lt;=$V359)/($H$53:$H$56&gt;=$V359),$F$53:$F$56)</f>
        <v>0</v>
      </c>
      <c r="T359" s="5" t="e">
        <f>IFERROR(IF($R359&gt;0,$R359&amp;"-"&amp;COUNTIF($R$5:$R359,$R359),NA()),NA())</f>
        <v>#N/A</v>
      </c>
      <c r="U359" s="5" t="e">
        <f>IFERROR(IF($S359&gt;0,$S359&amp;"-"&amp;COUNTIF($S$5:$S359,$S359),NA()),NA())</f>
        <v>#N/A</v>
      </c>
      <c r="V359" s="10">
        <v>45218</v>
      </c>
      <c r="W359" s="9">
        <v>28337262.286150157</v>
      </c>
      <c r="X359" s="9">
        <v>38187294.656815946</v>
      </c>
      <c r="Y359" s="8">
        <v>12000000</v>
      </c>
    </row>
    <row r="360" spans="13:392" x14ac:dyDescent="0.25">
      <c r="M360" s="5" t="str" cm="1">
        <f t="array" ref="M360">LOOKUP(2,1/($G$19:$G$35&lt;=$V360)/($H$19:$H$35&gt;=$V360),$F$19:$F$35)</f>
        <v>1H24</v>
      </c>
      <c r="N360" s="5" t="str" cm="1">
        <f t="array" ref="N360">LOOKUP(2,1/($G$8:$G$16&lt;=$V360)/($H$8:$H$16&gt;=$V360),$F$8:$F$16)</f>
        <v>FY24</v>
      </c>
      <c r="O360" s="5" t="str">
        <f>IFERROR(N360&amp;"-"&amp;COUNTIF($N$5:N360,N360),NA())</f>
        <v>FY24-17</v>
      </c>
      <c r="P360" s="5">
        <f>COUNTIF(V$5:V360,"&gt;="&amp;MAX($V:$V)-183)</f>
        <v>0</v>
      </c>
      <c r="Q360" s="5">
        <f>COUNTIF(V$5:V360,"&gt;="&amp;MAX($V:$V)-365)</f>
        <v>18</v>
      </c>
      <c r="R360" s="5" cm="1">
        <f t="array" ref="R360">LOOKUP(2,1/($G$46:$G$50&lt;=$V360)/($H$46:$H$50&gt;=$V360),$F$46:$F$50)</f>
        <v>0</v>
      </c>
      <c r="S360" s="5" cm="1">
        <f t="array" ref="S360">LOOKUP(2,1/($G$53:$G$56&lt;=$V360)/($H$53:$H$56&gt;=$V360),$F$53:$F$56)</f>
        <v>0</v>
      </c>
      <c r="T360" s="5" t="e">
        <f>IFERROR(IF($R360&gt;0,$R360&amp;"-"&amp;COUNTIF($R$5:$R360,$R360),NA()),NA())</f>
        <v>#N/A</v>
      </c>
      <c r="U360" s="5" t="e">
        <f>IFERROR(IF($S360&gt;0,$S360&amp;"-"&amp;COUNTIF($S$5:$S360,$S360),NA()),NA())</f>
        <v>#N/A</v>
      </c>
      <c r="V360" s="10">
        <v>45225</v>
      </c>
      <c r="W360" s="9">
        <v>41102714.394682363</v>
      </c>
      <c r="X360" s="9">
        <v>55390017.918273948</v>
      </c>
      <c r="Y360" s="8">
        <v>20000000</v>
      </c>
    </row>
    <row r="361" spans="13:392" x14ac:dyDescent="0.25">
      <c r="M361" s="5" t="str" cm="1">
        <f t="array" ref="M361">LOOKUP(2,1/($G$19:$G$35&lt;=$V361)/($H$19:$H$35&gt;=$V361),$F$19:$F$35)</f>
        <v>1H24</v>
      </c>
      <c r="N361" s="5" t="str" cm="1">
        <f t="array" ref="N361">LOOKUP(2,1/($G$8:$G$16&lt;=$V361)/($H$8:$H$16&gt;=$V361),$F$8:$F$16)</f>
        <v>FY24</v>
      </c>
      <c r="O361" s="5" t="str">
        <f>IFERROR(N361&amp;"-"&amp;COUNTIF($N$5:N361,N361),NA())</f>
        <v>FY24-18</v>
      </c>
      <c r="P361" s="5">
        <f>COUNTIF(V$5:V361,"&gt;="&amp;MAX($V:$V)-183)</f>
        <v>0</v>
      </c>
      <c r="Q361" s="5">
        <f>COUNTIF(V$5:V361,"&gt;="&amp;MAX($V:$V)-365)</f>
        <v>19</v>
      </c>
      <c r="R361" s="5" cm="1">
        <f t="array" ref="R361">LOOKUP(2,1/($G$46:$G$50&lt;=$V361)/($H$46:$H$50&gt;=$V361),$F$46:$F$50)</f>
        <v>0</v>
      </c>
      <c r="S361" s="5" cm="1">
        <f t="array" ref="S361">LOOKUP(2,1/($G$53:$G$56&lt;=$V361)/($H$53:$H$56&gt;=$V361),$F$53:$F$56)</f>
        <v>0</v>
      </c>
      <c r="T361" s="5" t="e">
        <f>IFERROR(IF($R361&gt;0,$R361&amp;"-"&amp;COUNTIF($R$5:$R361,$R361),NA()),NA())</f>
        <v>#N/A</v>
      </c>
      <c r="U361" s="5" t="e">
        <f>IFERROR(IF($S361&gt;0,$S361&amp;"-"&amp;COUNTIF($S$5:$S361,$S361),NA()),NA())</f>
        <v>#N/A</v>
      </c>
      <c r="V361" s="10">
        <v>45232</v>
      </c>
      <c r="W361" s="9">
        <v>58296434.782608703</v>
      </c>
      <c r="X361" s="9">
        <v>78560275.513043478</v>
      </c>
      <c r="Y361" s="8">
        <v>40000000</v>
      </c>
    </row>
    <row r="362" spans="13:392" x14ac:dyDescent="0.25">
      <c r="M362" s="5" t="str" cm="1">
        <f t="array" ref="M362">LOOKUP(2,1/($G$19:$G$35&lt;=$V362)/($H$19:$H$35&gt;=$V362),$F$19:$F$35)</f>
        <v>1H24</v>
      </c>
      <c r="N362" s="5" t="str" cm="1">
        <f t="array" ref="N362">LOOKUP(2,1/($G$8:$G$16&lt;=$V362)/($H$8:$H$16&gt;=$V362),$F$8:$F$16)</f>
        <v>FY24</v>
      </c>
      <c r="O362" s="5" t="str">
        <f>IFERROR(N362&amp;"-"&amp;COUNTIF($N$5:N362,N362),NA())</f>
        <v>FY24-19</v>
      </c>
      <c r="P362" s="5">
        <f>COUNTIF(V$5:V362,"&gt;="&amp;MAX($V:$V)-183)</f>
        <v>0</v>
      </c>
      <c r="Q362" s="5">
        <f>COUNTIF(V$5:V362,"&gt;="&amp;MAX($V:$V)-365)</f>
        <v>20</v>
      </c>
      <c r="R362" s="5" cm="1">
        <f t="array" ref="R362">LOOKUP(2,1/($G$46:$G$50&lt;=$V362)/($H$46:$H$50&gt;=$V362),$F$46:$F$50)</f>
        <v>0</v>
      </c>
      <c r="S362" s="5" cm="1">
        <f t="array" ref="S362">LOOKUP(2,1/($G$53:$G$56&lt;=$V362)/($H$53:$H$56&gt;=$V362),$F$53:$F$56)</f>
        <v>0</v>
      </c>
      <c r="T362" s="5" t="e">
        <f>IFERROR(IF($R362&gt;0,$R362&amp;"-"&amp;COUNTIF($R$5:$R362,$R362),NA()),NA())</f>
        <v>#N/A</v>
      </c>
      <c r="U362" s="5" t="e">
        <f>IFERROR(IF($S362&gt;0,$S362&amp;"-"&amp;COUNTIF($S$5:$S362,$S362),NA()),NA())</f>
        <v>#N/A</v>
      </c>
      <c r="V362" s="10">
        <v>45239</v>
      </c>
      <c r="W362" s="9">
        <v>24487517.27143947</v>
      </c>
      <c r="X362" s="9">
        <v>32999378.274991829</v>
      </c>
      <c r="Y362" s="8">
        <v>8000000</v>
      </c>
    </row>
    <row r="363" spans="13:392" x14ac:dyDescent="0.25">
      <c r="M363" s="5" t="str" cm="1">
        <f t="array" ref="M363">LOOKUP(2,1/($G$19:$G$35&lt;=$V363)/($H$19:$H$35&gt;=$V363),$F$19:$F$35)</f>
        <v>1H24</v>
      </c>
      <c r="N363" s="5" t="str" cm="1">
        <f t="array" ref="N363">LOOKUP(2,1/($G$8:$G$16&lt;=$V363)/($H$8:$H$16&gt;=$V363),$F$8:$F$16)</f>
        <v>FY24</v>
      </c>
      <c r="O363" s="5" t="str">
        <f>IFERROR(N363&amp;"-"&amp;COUNTIF($N$5:N363,N363),NA())</f>
        <v>FY24-20</v>
      </c>
      <c r="P363" s="5">
        <f>COUNTIF(V$5:V363,"&gt;="&amp;MAX($V:$V)-183)</f>
        <v>0</v>
      </c>
      <c r="Q363" s="5">
        <f>COUNTIF(V$5:V363,"&gt;="&amp;MAX($V:$V)-365)</f>
        <v>21</v>
      </c>
      <c r="R363" s="5" cm="1">
        <f t="array" ref="R363">LOOKUP(2,1/($G$46:$G$50&lt;=$V363)/($H$46:$H$50&gt;=$V363),$F$46:$F$50)</f>
        <v>0</v>
      </c>
      <c r="S363" s="5" cm="1">
        <f t="array" ref="S363">LOOKUP(2,1/($G$53:$G$56&lt;=$V363)/($H$53:$H$56&gt;=$V363),$F$53:$F$56)</f>
        <v>0</v>
      </c>
      <c r="T363" s="5" t="e">
        <f>IFERROR(IF($R363&gt;0,$R363&amp;"-"&amp;COUNTIF($R$5:$R363,$R363),NA()),NA())</f>
        <v>#N/A</v>
      </c>
      <c r="U363" s="5" t="e">
        <f>IFERROR(IF($S363&gt;0,$S363&amp;"-"&amp;COUNTIF($S$5:$S363,$S363),NA()),NA())</f>
        <v>#N/A</v>
      </c>
      <c r="V363" s="10">
        <v>45246</v>
      </c>
      <c r="W363" s="9">
        <v>25126546.256946716</v>
      </c>
      <c r="X363" s="9">
        <v>33860533.735861391</v>
      </c>
      <c r="Y363" s="8">
        <v>8000000</v>
      </c>
    </row>
    <row r="364" spans="13:392" x14ac:dyDescent="0.25">
      <c r="M364" s="5" t="str" cm="1">
        <f t="array" ref="M364">LOOKUP(2,1/($G$19:$G$35&lt;=$V364)/($H$19:$H$35&gt;=$V364),$F$19:$F$35)</f>
        <v>1H24</v>
      </c>
      <c r="N364" s="5" t="str" cm="1">
        <f t="array" ref="N364">LOOKUP(2,1/($G$8:$G$16&lt;=$V364)/($H$8:$H$16&gt;=$V364),$F$8:$F$16)</f>
        <v>FY24</v>
      </c>
      <c r="O364" s="5" t="str">
        <f>IFERROR(N364&amp;"-"&amp;COUNTIF($N$5:N364,N364),NA())</f>
        <v>FY24-21</v>
      </c>
      <c r="P364" s="5">
        <f>COUNTIF(V$5:V364,"&gt;="&amp;MAX($V:$V)-183)</f>
        <v>0</v>
      </c>
      <c r="Q364" s="5">
        <f>COUNTIF(V$5:V364,"&gt;="&amp;MAX($V:$V)-365)</f>
        <v>22</v>
      </c>
      <c r="R364" s="5" cm="1">
        <f t="array" ref="R364">LOOKUP(2,1/($G$46:$G$50&lt;=$V364)/($H$46:$H$50&gt;=$V364),$F$46:$F$50)</f>
        <v>0</v>
      </c>
      <c r="S364" s="5" cm="1">
        <f t="array" ref="S364">LOOKUP(2,1/($G$53:$G$56&lt;=$V364)/($H$53:$H$56&gt;=$V364),$F$53:$F$56)</f>
        <v>0</v>
      </c>
      <c r="T364" s="5" t="e">
        <f>IFERROR(IF($R364&gt;0,$R364&amp;"-"&amp;COUNTIF($R$5:$R364,$R364),NA()),NA())</f>
        <v>#N/A</v>
      </c>
      <c r="U364" s="5" t="e">
        <f>IFERROR(IF($S364&gt;0,$S364&amp;"-"&amp;COUNTIF($S$5:$S364,$S364),NA()),NA())</f>
        <v>#N/A</v>
      </c>
      <c r="V364" s="10">
        <v>45253</v>
      </c>
      <c r="W364" s="9">
        <v>37695077.694235586</v>
      </c>
      <c r="X364" s="9">
        <v>50797886.700751871</v>
      </c>
      <c r="Y364" s="8">
        <v>20000000</v>
      </c>
    </row>
    <row r="365" spans="13:392" x14ac:dyDescent="0.25">
      <c r="M365" s="5" t="str" cm="1">
        <f t="array" ref="M365">LOOKUP(2,1/($G$19:$G$35&lt;=$V365)/($H$19:$H$35&gt;=$V365),$F$19:$F$35)</f>
        <v>1H24</v>
      </c>
      <c r="N365" s="5" t="str" cm="1">
        <f t="array" ref="N365">LOOKUP(2,1/($G$8:$G$16&lt;=$V365)/($H$8:$H$16&gt;=$V365),$F$8:$F$16)</f>
        <v>FY24</v>
      </c>
      <c r="O365" s="5" t="str">
        <f>IFERROR(N365&amp;"-"&amp;COUNTIF($N$5:N365,N365),NA())</f>
        <v>FY24-22</v>
      </c>
      <c r="P365" s="5">
        <f>COUNTIF(V$5:V365,"&gt;="&amp;MAX($V:$V)-183)</f>
        <v>0</v>
      </c>
      <c r="Q365" s="5">
        <f>COUNTIF(V$5:V365,"&gt;="&amp;MAX($V:$V)-365)</f>
        <v>23</v>
      </c>
      <c r="R365" s="5" cm="1">
        <f t="array" ref="R365">LOOKUP(2,1/($G$46:$G$50&lt;=$V365)/($H$46:$H$50&gt;=$V365),$F$46:$F$50)</f>
        <v>0</v>
      </c>
      <c r="S365" s="5" cm="1">
        <f t="array" ref="S365">LOOKUP(2,1/($G$53:$G$56&lt;=$V365)/($H$53:$H$56&gt;=$V365),$F$53:$F$56)</f>
        <v>0</v>
      </c>
      <c r="T365" s="5" t="e">
        <f>IFERROR(IF($R365&gt;0,$R365&amp;"-"&amp;COUNTIF($R$5:$R365,$R365),NA()),NA())</f>
        <v>#N/A</v>
      </c>
      <c r="U365" s="5" t="e">
        <f>IFERROR(IF($S365&gt;0,$S365&amp;"-"&amp;COUNTIF($S$5:$S365,$S365),NA()),NA())</f>
        <v>#N/A</v>
      </c>
      <c r="V365" s="10">
        <v>45260</v>
      </c>
      <c r="W365" s="9">
        <v>23402584.504740112</v>
      </c>
      <c r="X365" s="9">
        <v>31537322.878587771</v>
      </c>
      <c r="Y365" s="8">
        <v>8000000</v>
      </c>
    </row>
    <row r="366" spans="13:392" x14ac:dyDescent="0.25">
      <c r="M366" s="5" t="str" cm="1">
        <f t="array" ref="M366">LOOKUP(2,1/($G$19:$G$35&lt;=$V366)/($H$19:$H$35&gt;=$V366),$F$19:$F$35)</f>
        <v>1H24</v>
      </c>
      <c r="N366" s="5" t="str" cm="1">
        <f t="array" ref="N366">LOOKUP(2,1/($G$8:$G$16&lt;=$V366)/($H$8:$H$16&gt;=$V366),$F$8:$F$16)</f>
        <v>FY24</v>
      </c>
      <c r="O366" s="5" t="str">
        <f>IFERROR(N366&amp;"-"&amp;COUNTIF($N$5:N366,N366),NA())</f>
        <v>FY24-23</v>
      </c>
      <c r="P366" s="5">
        <f>COUNTIF(V$5:V366,"&gt;="&amp;MAX($V:$V)-183)</f>
        <v>0</v>
      </c>
      <c r="Q366" s="5">
        <f>COUNTIF(V$5:V366,"&gt;="&amp;MAX($V:$V)-365)</f>
        <v>24</v>
      </c>
      <c r="R366" s="5" cm="1">
        <f t="array" ref="R366">LOOKUP(2,1/($G$46:$G$50&lt;=$V366)/($H$46:$H$50&gt;=$V366),$F$46:$F$50)</f>
        <v>0</v>
      </c>
      <c r="S366" s="5" cm="1">
        <f t="array" ref="S366">LOOKUP(2,1/($G$53:$G$56&lt;=$V366)/($H$53:$H$56&gt;=$V366),$F$53:$F$56)</f>
        <v>0</v>
      </c>
      <c r="T366" s="5" t="e">
        <f>IFERROR(IF($R366&gt;0,$R366&amp;"-"&amp;COUNTIF($R$5:$R366,$R366),NA()),NA())</f>
        <v>#N/A</v>
      </c>
      <c r="U366" s="5" t="e">
        <f>IFERROR(IF($S366&gt;0,$S366&amp;"-"&amp;COUNTIF($S$5:$S366,$S366),NA()),NA())</f>
        <v>#N/A</v>
      </c>
      <c r="V366" s="10">
        <v>45267</v>
      </c>
      <c r="W366" s="9">
        <v>34302016.781083152</v>
      </c>
      <c r="X366" s="9">
        <v>46225397.814187653</v>
      </c>
      <c r="Y366" s="8">
        <v>20000000</v>
      </c>
    </row>
    <row r="367" spans="13:392" x14ac:dyDescent="0.25">
      <c r="M367" s="5" t="str" cm="1">
        <f t="array" ref="M367">LOOKUP(2,1/($G$19:$G$35&lt;=$V367)/($H$19:$H$35&gt;=$V367),$F$19:$F$35)</f>
        <v>1H24</v>
      </c>
      <c r="N367" s="5" t="str" cm="1">
        <f t="array" ref="N367">LOOKUP(2,1/($G$8:$G$16&lt;=$V367)/($H$8:$H$16&gt;=$V367),$F$8:$F$16)</f>
        <v>FY24</v>
      </c>
      <c r="O367" s="5" t="str">
        <f>IFERROR(N367&amp;"-"&amp;COUNTIF($N$5:N367,N367),NA())</f>
        <v>FY24-24</v>
      </c>
      <c r="P367" s="5">
        <f>COUNTIF(V$5:V367,"&gt;="&amp;MAX($V:$V)-183)</f>
        <v>0</v>
      </c>
      <c r="Q367" s="5">
        <f>COUNTIF(V$5:V367,"&gt;="&amp;MAX($V:$V)-365)</f>
        <v>25</v>
      </c>
      <c r="R367" s="5" cm="1">
        <f t="array" ref="R367">LOOKUP(2,1/($G$46:$G$50&lt;=$V367)/($H$46:$H$50&gt;=$V367),$F$46:$F$50)</f>
        <v>0</v>
      </c>
      <c r="S367" s="5" cm="1">
        <f t="array" ref="S367">LOOKUP(2,1/($G$53:$G$56&lt;=$V367)/($H$53:$H$56&gt;=$V367),$F$53:$F$56)</f>
        <v>0</v>
      </c>
      <c r="T367" s="5" t="e">
        <f>IFERROR(IF($R367&gt;0,$R367&amp;"-"&amp;COUNTIF($R$5:$R367,$R367),NA()),NA())</f>
        <v>#N/A</v>
      </c>
      <c r="U367" s="5" t="e">
        <f>IFERROR(IF($S367&gt;0,$S367&amp;"-"&amp;COUNTIF($S$5:$S367,$S367),NA()),NA())</f>
        <v>#N/A</v>
      </c>
      <c r="V367" s="10">
        <v>45274</v>
      </c>
      <c r="W367" s="9">
        <v>41358095.020159096</v>
      </c>
      <c r="X367" s="9">
        <v>55734168.849166393</v>
      </c>
      <c r="Y367" s="8">
        <v>30000000</v>
      </c>
    </row>
    <row r="368" spans="13:392" x14ac:dyDescent="0.25">
      <c r="M368" s="5" t="str" cm="1">
        <f t="array" ref="M368">LOOKUP(2,1/($G$19:$G$35&lt;=$V368)/($H$19:$H$35&gt;=$V368),$F$19:$F$35)</f>
        <v>1H24</v>
      </c>
      <c r="N368" s="5" t="str" cm="1">
        <f t="array" ref="N368">LOOKUP(2,1/($G$8:$G$16&lt;=$V368)/($H$8:$H$16&gt;=$V368),$F$8:$F$16)</f>
        <v>FY24</v>
      </c>
      <c r="O368" s="5" t="str">
        <f>IFERROR(N368&amp;"-"&amp;COUNTIF($N$5:N368,N368),NA())</f>
        <v>FY24-25</v>
      </c>
      <c r="P368" s="5">
        <f>COUNTIF(V$5:V368,"&gt;="&amp;MAX($V:$V)-183)</f>
        <v>0</v>
      </c>
      <c r="Q368" s="5">
        <f>COUNTIF(V$5:V368,"&gt;="&amp;MAX($V:$V)-365)</f>
        <v>26</v>
      </c>
      <c r="R368" s="5" cm="1">
        <f t="array" ref="R368">LOOKUP(2,1/($G$46:$G$50&lt;=$V368)/($H$46:$H$50&gt;=$V368),$F$46:$F$50)</f>
        <v>0</v>
      </c>
      <c r="S368" s="5" cm="1">
        <f t="array" ref="S368">LOOKUP(2,1/($G$53:$G$56&lt;=$V368)/($H$53:$H$56&gt;=$V368),$F$53:$F$56)</f>
        <v>0</v>
      </c>
      <c r="T368" s="5" t="e">
        <f>IFERROR(IF($R368&gt;0,$R368&amp;"-"&amp;COUNTIF($R$5:$R368,$R368),NA()),NA())</f>
        <v>#N/A</v>
      </c>
      <c r="U368" s="5" t="e">
        <f>IFERROR(IF($S368&gt;0,$S368&amp;"-"&amp;COUNTIF($S$5:$S368,$S368),NA()),NA())</f>
        <v>#N/A</v>
      </c>
      <c r="V368" s="10">
        <v>45281</v>
      </c>
      <c r="W368" s="9">
        <v>23530717.990628749</v>
      </c>
      <c r="X368" s="9">
        <v>31709995.564171299</v>
      </c>
      <c r="Y368" s="8">
        <v>8000000</v>
      </c>
    </row>
    <row r="369" spans="13:25" x14ac:dyDescent="0.25">
      <c r="M369" s="5" t="str" cm="1">
        <f t="array" ref="M369">LOOKUP(2,1/($G$19:$G$35&lt;=$V369)/($H$19:$H$35&gt;=$V369),$F$19:$F$35)</f>
        <v>1H24</v>
      </c>
      <c r="N369" s="5" t="str" cm="1">
        <f t="array" ref="N369">LOOKUP(2,1/($G$8:$G$16&lt;=$V369)/($H$8:$H$16&gt;=$V369),$F$8:$F$16)</f>
        <v>FY24</v>
      </c>
      <c r="O369" s="5" t="str">
        <f>IFERROR(N369&amp;"-"&amp;COUNTIF($N$5:N369,N369),NA())</f>
        <v>FY24-26</v>
      </c>
      <c r="P369" s="5">
        <f>COUNTIF(V$5:V369,"&gt;="&amp;MAX($V:$V)-183)</f>
        <v>1</v>
      </c>
      <c r="Q369" s="5">
        <f>COUNTIF(V$5:V369,"&gt;="&amp;MAX($V:$V)-365)</f>
        <v>27</v>
      </c>
      <c r="R369" s="5" cm="1">
        <f t="array" ref="R369">LOOKUP(2,1/($G$46:$G$50&lt;=$V369)/($H$46:$H$50&gt;=$V369),$F$46:$F$50)</f>
        <v>0</v>
      </c>
      <c r="S369" s="5" cm="1">
        <f t="array" ref="S369">LOOKUP(2,1/($G$53:$G$56&lt;=$V369)/($H$53:$H$56&gt;=$V369),$F$53:$F$56)</f>
        <v>0</v>
      </c>
      <c r="T369" s="5" t="e">
        <f>IFERROR(IF($R369&gt;0,$R369&amp;"-"&amp;COUNTIF($R$5:$R369,$R369),NA()),NA())</f>
        <v>#N/A</v>
      </c>
      <c r="U369" s="5" t="e">
        <f>IFERROR(IF($S369&gt;0,$S369&amp;"-"&amp;COUNTIF($S$5:$S369,$S369),NA()),NA())</f>
        <v>#N/A</v>
      </c>
      <c r="V369" s="10">
        <v>45288</v>
      </c>
      <c r="W369" s="9">
        <v>34197531.001416586</v>
      </c>
      <c r="X369" s="9">
        <v>46084592.777508989</v>
      </c>
      <c r="Y369" s="8">
        <v>20000000</v>
      </c>
    </row>
    <row r="370" spans="13:25" x14ac:dyDescent="0.25">
      <c r="M370" s="5" t="str" cm="1">
        <f t="array" ref="M370">LOOKUP(2,1/($G$19:$G$35&lt;=$V370)/($H$19:$H$35&gt;=$V370),$F$19:$F$35)</f>
        <v>2H24</v>
      </c>
      <c r="N370" s="5" t="str" cm="1">
        <f t="array" ref="N370">LOOKUP(2,1/($G$8:$G$16&lt;=$V370)/($H$8:$H$16&gt;=$V370),$F$8:$F$16)</f>
        <v>FY24</v>
      </c>
      <c r="O370" s="5" t="str">
        <f>IFERROR(N370&amp;"-"&amp;COUNTIF($N$5:N370,N370),NA())</f>
        <v>FY24-27</v>
      </c>
      <c r="P370" s="5">
        <f>COUNTIF(V$5:V370,"&gt;="&amp;MAX($V:$V)-183)</f>
        <v>2</v>
      </c>
      <c r="Q370" s="5">
        <f>COUNTIF(V$5:V370,"&gt;="&amp;MAX($V:$V)-365)</f>
        <v>28</v>
      </c>
      <c r="R370" s="5" cm="1">
        <f t="array" ref="R370">LOOKUP(2,1/($G$46:$G$50&lt;=$V370)/($H$46:$H$50&gt;=$V370),$F$46:$F$50)</f>
        <v>0</v>
      </c>
      <c r="S370" s="5" cm="1">
        <f t="array" ref="S370">LOOKUP(2,1/($G$53:$G$56&lt;=$V370)/($H$53:$H$56&gt;=$V370),$F$53:$F$56)</f>
        <v>0</v>
      </c>
      <c r="T370" s="5" t="e">
        <f>IFERROR(IF($R370&gt;0,$R370&amp;"-"&amp;COUNTIF($R$5:$R370,$R370),NA()),NA())</f>
        <v>#N/A</v>
      </c>
      <c r="U370" s="5" t="e">
        <f>IFERROR(IF($S370&gt;0,$S370&amp;"-"&amp;COUNTIF($S$5:$S370,$S370),NA()),NA())</f>
        <v>#N/A</v>
      </c>
      <c r="V370" s="10">
        <v>45295</v>
      </c>
      <c r="W370" s="9">
        <v>45025587.337910004</v>
      </c>
      <c r="X370" s="9">
        <v>60676481.496567518</v>
      </c>
      <c r="Y370" s="8">
        <v>30000000</v>
      </c>
    </row>
    <row r="371" spans="13:25" x14ac:dyDescent="0.25">
      <c r="M371" s="5" t="str" cm="1">
        <f t="array" ref="M371">LOOKUP(2,1/($G$19:$G$35&lt;=$V371)/($H$19:$H$35&gt;=$V371),$F$19:$F$35)</f>
        <v>2H24</v>
      </c>
      <c r="N371" s="5" t="str" cm="1">
        <f t="array" ref="N371">LOOKUP(2,1/($G$8:$G$16&lt;=$V371)/($H$8:$H$16&gt;=$V371),$F$8:$F$16)</f>
        <v>FY24</v>
      </c>
      <c r="O371" s="5" t="str">
        <f>IFERROR(N371&amp;"-"&amp;COUNTIF($N$5:N371,N371),NA())</f>
        <v>FY24-28</v>
      </c>
      <c r="P371" s="5">
        <f>COUNTIF(V$5:V371,"&gt;="&amp;MAX($V:$V)-183)</f>
        <v>3</v>
      </c>
      <c r="Q371" s="5">
        <f>COUNTIF(V$5:V371,"&gt;="&amp;MAX($V:$V)-365)</f>
        <v>29</v>
      </c>
      <c r="R371" s="5" cm="1">
        <f t="array" ref="R371">LOOKUP(2,1/($G$46:$G$50&lt;=$V371)/($H$46:$H$50&gt;=$V371),$F$46:$F$50)</f>
        <v>0</v>
      </c>
      <c r="S371" s="5" cm="1">
        <f t="array" ref="S371">LOOKUP(2,1/($G$53:$G$56&lt;=$V371)/($H$53:$H$56&gt;=$V371),$F$53:$F$56)</f>
        <v>0</v>
      </c>
      <c r="T371" s="5" t="e">
        <f>IFERROR(IF($R371&gt;0,$R371&amp;"-"&amp;COUNTIF($R$5:$R371,$R371),NA()),NA())</f>
        <v>#N/A</v>
      </c>
      <c r="U371" s="5" t="e">
        <f>IFERROR(IF($S371&gt;0,$S371&amp;"-"&amp;COUNTIF($S$5:$S371,$S371),NA()),NA())</f>
        <v>#N/A</v>
      </c>
      <c r="V371" s="10">
        <v>45302</v>
      </c>
      <c r="W371" s="9">
        <v>67199002.942137957</v>
      </c>
      <c r="X371" s="9">
        <v>90557376.3648251</v>
      </c>
      <c r="Y371" s="8">
        <v>50000000</v>
      </c>
    </row>
    <row r="372" spans="13:25" x14ac:dyDescent="0.25">
      <c r="M372" s="5" t="str" cm="1">
        <f t="array" ref="M372">LOOKUP(2,1/($G$19:$G$35&lt;=$V372)/($H$19:$H$35&gt;=$V372),$F$19:$F$35)</f>
        <v>2H24</v>
      </c>
      <c r="N372" s="5" t="str" cm="1">
        <f t="array" ref="N372">LOOKUP(2,1/($G$8:$G$16&lt;=$V372)/($H$8:$H$16&gt;=$V372),$F$8:$F$16)</f>
        <v>FY24</v>
      </c>
      <c r="O372" s="5" t="str">
        <f>IFERROR(N372&amp;"-"&amp;COUNTIF($N$5:N372,N372),NA())</f>
        <v>FY24-29</v>
      </c>
      <c r="P372" s="5">
        <f>COUNTIF(V$5:V372,"&gt;="&amp;MAX($V:$V)-183)</f>
        <v>4</v>
      </c>
      <c r="Q372" s="5">
        <f>COUNTIF(V$5:V372,"&gt;="&amp;MAX($V:$V)-365)</f>
        <v>30</v>
      </c>
      <c r="R372" s="5" cm="1">
        <f t="array" ref="R372">LOOKUP(2,1/($G$46:$G$50&lt;=$V372)/($H$46:$H$50&gt;=$V372),$F$46:$F$50)</f>
        <v>0</v>
      </c>
      <c r="S372" s="5" cm="1">
        <f t="array" ref="S372">LOOKUP(2,1/($G$53:$G$56&lt;=$V372)/($H$53:$H$56&gt;=$V372),$F$53:$F$56)</f>
        <v>0</v>
      </c>
      <c r="T372" s="5" t="e">
        <f>IFERROR(IF($R372&gt;0,$R372&amp;"-"&amp;COUNTIF($R$5:$R372,$R372),NA()),NA())</f>
        <v>#N/A</v>
      </c>
      <c r="U372" s="5" t="e">
        <f>IFERROR(IF($S372&gt;0,$S372&amp;"-"&amp;COUNTIF($S$5:$S372,$S372),NA()),NA())</f>
        <v>#N/A</v>
      </c>
      <c r="V372" s="10">
        <v>45309</v>
      </c>
      <c r="W372" s="9">
        <v>155083141.44055796</v>
      </c>
      <c r="X372" s="9">
        <v>208990041.40529588</v>
      </c>
      <c r="Y372" s="8">
        <v>100000000</v>
      </c>
    </row>
    <row r="373" spans="13:25" x14ac:dyDescent="0.25">
      <c r="M373" s="5" t="str" cm="1">
        <f t="array" ref="M373">LOOKUP(2,1/($G$19:$G$35&lt;=$V373)/($H$19:$H$35&gt;=$V373),$F$19:$F$35)</f>
        <v>2H24</v>
      </c>
      <c r="N373" s="5" t="str" cm="1">
        <f t="array" ref="N373">LOOKUP(2,1/($G$8:$G$16&lt;=$V373)/($H$8:$H$16&gt;=$V373),$F$8:$F$16)</f>
        <v>FY24</v>
      </c>
      <c r="O373" s="5" t="str">
        <f>IFERROR(N373&amp;"-"&amp;COUNTIF($N$5:N373,N373),NA())</f>
        <v>FY24-30</v>
      </c>
      <c r="P373" s="5">
        <f>COUNTIF(V$5:V373,"&gt;="&amp;MAX($V:$V)-183)</f>
        <v>5</v>
      </c>
      <c r="Q373" s="5">
        <f>COUNTIF(V$5:V373,"&gt;="&amp;MAX($V:$V)-365)</f>
        <v>31</v>
      </c>
      <c r="R373" s="5" cm="1">
        <f t="array" ref="R373">LOOKUP(2,1/($G$46:$G$50&lt;=$V373)/($H$46:$H$50&gt;=$V373),$F$46:$F$50)</f>
        <v>0</v>
      </c>
      <c r="S373" s="5" cm="1">
        <f t="array" ref="S373">LOOKUP(2,1/($G$53:$G$56&lt;=$V373)/($H$53:$H$56&gt;=$V373),$F$53:$F$56)</f>
        <v>0</v>
      </c>
      <c r="T373" s="5" t="e">
        <f>IFERROR(IF($R373&gt;0,$R373&amp;"-"&amp;COUNTIF($R$5:$R373,$R373),NA()),NA())</f>
        <v>#N/A</v>
      </c>
      <c r="U373" s="5" t="e">
        <f>IFERROR(IF($S373&gt;0,$S373&amp;"-"&amp;COUNTIF($S$5:$S373,$S373),NA()),NA())</f>
        <v>#N/A</v>
      </c>
      <c r="V373" s="10">
        <v>45316</v>
      </c>
      <c r="W373" s="9">
        <v>224519188.18786097</v>
      </c>
      <c r="X373" s="9">
        <v>302562058.00196141</v>
      </c>
      <c r="Y373" s="8">
        <v>150000000</v>
      </c>
    </row>
    <row r="374" spans="13:25" x14ac:dyDescent="0.25">
      <c r="M374" s="5" t="str" cm="1">
        <f t="array" ref="M374">LOOKUP(2,1/($G$19:$G$35&lt;=$V374)/($H$19:$H$35&gt;=$V374),$F$19:$F$35)</f>
        <v>2H24</v>
      </c>
      <c r="N374" s="5" t="str" cm="1">
        <f t="array" ref="N374">LOOKUP(2,1/($G$8:$G$16&lt;=$V374)/($H$8:$H$16&gt;=$V374),$F$8:$F$16)</f>
        <v>FY24</v>
      </c>
      <c r="O374" s="5" t="str">
        <f>IFERROR(N374&amp;"-"&amp;COUNTIF($N$5:N374,N374),NA())</f>
        <v>FY24-31</v>
      </c>
      <c r="P374" s="5">
        <f>COUNTIF(V$5:V374,"&gt;="&amp;MAX($V:$V)-183)</f>
        <v>6</v>
      </c>
      <c r="Q374" s="5">
        <f>COUNTIF(V$5:V374,"&gt;="&amp;MAX($V:$V)-365)</f>
        <v>32</v>
      </c>
      <c r="R374" s="5" cm="1">
        <f t="array" ref="R374">LOOKUP(2,1/($G$46:$G$50&lt;=$V374)/($H$46:$H$50&gt;=$V374),$F$46:$F$50)</f>
        <v>0</v>
      </c>
      <c r="S374" s="5" cm="1">
        <f t="array" ref="S374">LOOKUP(2,1/($G$53:$G$56&lt;=$V374)/($H$53:$H$56&gt;=$V374),$F$53:$F$56)</f>
        <v>0</v>
      </c>
      <c r="T374" s="5" t="e">
        <f>IFERROR(IF($R374&gt;0,$R374&amp;"-"&amp;COUNTIF($R$5:$R374,$R374),NA()),NA())</f>
        <v>#N/A</v>
      </c>
      <c r="U374" s="5" t="e">
        <f>IFERROR(IF($S374&gt;0,$S374&amp;"-"&amp;COUNTIF($S$5:$S374,$S374),NA()),NA())</f>
        <v>#N/A</v>
      </c>
      <c r="V374" s="10">
        <v>45323</v>
      </c>
      <c r="W374" s="9">
        <v>305330546.25694674</v>
      </c>
      <c r="X374" s="9">
        <v>411463444.1358614</v>
      </c>
      <c r="Y374" s="8">
        <v>200000000</v>
      </c>
    </row>
    <row r="375" spans="13:25" x14ac:dyDescent="0.25">
      <c r="M375" s="5" t="str" cm="1">
        <f t="array" ref="M375">LOOKUP(2,1/($G$19:$G$35&lt;=$V375)/($H$19:$H$35&gt;=$V375),$F$19:$F$35)</f>
        <v>2H24</v>
      </c>
      <c r="N375" s="5" t="str" cm="1">
        <f t="array" ref="N375">LOOKUP(2,1/($G$8:$G$16&lt;=$V375)/($H$8:$H$16&gt;=$V375),$F$8:$F$16)</f>
        <v>FY24</v>
      </c>
      <c r="O375" s="5" t="str">
        <f>IFERROR(N375&amp;"-"&amp;COUNTIF($N$5:N375,N375),NA())</f>
        <v>FY24-32</v>
      </c>
      <c r="P375" s="5">
        <f>COUNTIF(V$5:V375,"&gt;="&amp;MAX($V:$V)-183)</f>
        <v>7</v>
      </c>
      <c r="Q375" s="5">
        <f>COUNTIF(V$5:V375,"&gt;="&amp;MAX($V:$V)-365)</f>
        <v>33</v>
      </c>
      <c r="R375" s="5" cm="1">
        <f t="array" ref="R375">LOOKUP(2,1/($G$46:$G$50&lt;=$V375)/($H$46:$H$50&gt;=$V375),$F$46:$F$50)</f>
        <v>0</v>
      </c>
      <c r="S375" s="5" cm="1">
        <f t="array" ref="S375">LOOKUP(2,1/($G$53:$G$56&lt;=$V375)/($H$53:$H$56&gt;=$V375),$F$53:$F$56)</f>
        <v>0</v>
      </c>
      <c r="T375" s="5" t="e">
        <f>IFERROR(IF($R375&gt;0,$R375&amp;"-"&amp;COUNTIF($R$5:$R375,$R375),NA()),NA())</f>
        <v>#N/A</v>
      </c>
      <c r="U375" s="5" t="e">
        <f>IFERROR(IF($S375&gt;0,$S375&amp;"-"&amp;COUNTIF($S$5:$S375,$S375),NA()),NA())</f>
        <v>#N/A</v>
      </c>
      <c r="V375" s="10">
        <v>45330</v>
      </c>
      <c r="W375" s="9">
        <v>22032789.03781192</v>
      </c>
      <c r="X375" s="9">
        <v>29691386.50735534</v>
      </c>
      <c r="Y375" s="8">
        <v>4000000</v>
      </c>
    </row>
    <row r="376" spans="13:25" x14ac:dyDescent="0.25">
      <c r="M376" s="5" t="str" cm="1">
        <f t="array" ref="M376">LOOKUP(2,1/($G$19:$G$35&lt;=$V376)/($H$19:$H$35&gt;=$V376),$F$19:$F$35)</f>
        <v>2H24</v>
      </c>
      <c r="N376" s="5" t="str" cm="1">
        <f t="array" ref="N376">LOOKUP(2,1/($G$8:$G$16&lt;=$V376)/($H$8:$H$16&gt;=$V376),$F$8:$F$16)</f>
        <v>FY24</v>
      </c>
      <c r="O376" s="5" t="str">
        <f>IFERROR(N376&amp;"-"&amp;COUNTIF($N$5:N376,N376),NA())</f>
        <v>FY24-33</v>
      </c>
      <c r="P376" s="5">
        <f>COUNTIF(V$5:V376,"&gt;="&amp;MAX($V:$V)-183)</f>
        <v>8</v>
      </c>
      <c r="Q376" s="5">
        <f>COUNTIF(V$5:V376,"&gt;="&amp;MAX($V:$V)-365)</f>
        <v>34</v>
      </c>
      <c r="R376" s="5" cm="1">
        <f t="array" ref="R376">LOOKUP(2,1/($G$46:$G$50&lt;=$V376)/($H$46:$H$50&gt;=$V376),$F$46:$F$50)</f>
        <v>0</v>
      </c>
      <c r="S376" s="5" cm="1">
        <f t="array" ref="S376">LOOKUP(2,1/($G$53:$G$56&lt;=$V376)/($H$53:$H$56&gt;=$V376),$F$53:$F$56)</f>
        <v>0</v>
      </c>
      <c r="T376" s="5" t="e">
        <f>IFERROR(IF($R376&gt;0,$R376&amp;"-"&amp;COUNTIF($R$5:$R376,$R376),NA()),NA())</f>
        <v>#N/A</v>
      </c>
      <c r="U376" s="5" t="e">
        <f>IFERROR(IF($S376&gt;0,$S376&amp;"-"&amp;COUNTIF($S$5:$S376,$S376),NA()),NA())</f>
        <v>#N/A</v>
      </c>
      <c r="V376" s="10">
        <v>45337</v>
      </c>
      <c r="W376" s="9">
        <v>21269048.05491991</v>
      </c>
      <c r="X376" s="9">
        <v>28662169.158810068</v>
      </c>
      <c r="Y376" s="8">
        <v>4000000</v>
      </c>
    </row>
    <row r="377" spans="13:25" x14ac:dyDescent="0.25">
      <c r="M377" s="5" t="str" cm="1">
        <f t="array" ref="M377">LOOKUP(2,1/($G$19:$G$35&lt;=$V377)/($H$19:$H$35&gt;=$V377),$F$19:$F$35)</f>
        <v>2H24</v>
      </c>
      <c r="N377" s="5" t="str" cm="1">
        <f t="array" ref="N377">LOOKUP(2,1/($G$8:$G$16&lt;=$V377)/($H$8:$H$16&gt;=$V377),$F$8:$F$16)</f>
        <v>FY24</v>
      </c>
      <c r="O377" s="5" t="str">
        <f>IFERROR(N377&amp;"-"&amp;COUNTIF($N$5:N377,N377),NA())</f>
        <v>FY24-34</v>
      </c>
      <c r="P377" s="5">
        <f>COUNTIF(V$5:V377,"&gt;="&amp;MAX($V:$V)-183)</f>
        <v>9</v>
      </c>
      <c r="Q377" s="5">
        <f>COUNTIF(V$5:V377,"&gt;="&amp;MAX($V:$V)-365)</f>
        <v>35</v>
      </c>
      <c r="R377" s="5" cm="1">
        <f t="array" ref="R377">LOOKUP(2,1/($G$46:$G$50&lt;=$V377)/($H$46:$H$50&gt;=$V377),$F$46:$F$50)</f>
        <v>0</v>
      </c>
      <c r="S377" s="5" cm="1">
        <f t="array" ref="S377">LOOKUP(2,1/($G$53:$G$56&lt;=$V377)/($H$53:$H$56&gt;=$V377),$F$53:$F$56)</f>
        <v>0</v>
      </c>
      <c r="T377" s="5" t="e">
        <f>IFERROR(IF($R377&gt;0,$R377&amp;"-"&amp;COUNTIF($R$5:$R377,$R377),NA()),NA())</f>
        <v>#N/A</v>
      </c>
      <c r="U377" s="5" t="e">
        <f>IFERROR(IF($S377&gt;0,$S377&amp;"-"&amp;COUNTIF($S$5:$S377,$S377),NA()),NA())</f>
        <v>#N/A</v>
      </c>
      <c r="V377" s="10">
        <v>45344</v>
      </c>
      <c r="W377" s="9">
        <v>20955573.934837092</v>
      </c>
      <c r="X377" s="9">
        <v>28239731.434586462</v>
      </c>
      <c r="Y377" s="8">
        <v>4000000</v>
      </c>
    </row>
    <row r="378" spans="13:25" x14ac:dyDescent="0.25">
      <c r="M378" s="5" t="str" cm="1">
        <f t="array" ref="M378">LOOKUP(2,1/($G$19:$G$35&lt;=$V378)/($H$19:$H$35&gt;=$V378),$F$19:$F$35)</f>
        <v>2H24</v>
      </c>
      <c r="N378" s="5" t="str" cm="1">
        <f t="array" ref="N378">LOOKUP(2,1/($G$8:$G$16&lt;=$V378)/($H$8:$H$16&gt;=$V378),$F$8:$F$16)</f>
        <v>FY24</v>
      </c>
      <c r="O378" s="5" t="str">
        <f>IFERROR(N378&amp;"-"&amp;COUNTIF($N$5:N378,N378),NA())</f>
        <v>FY24-35</v>
      </c>
      <c r="P378" s="5">
        <f>COUNTIF(V$5:V378,"&gt;="&amp;MAX($V:$V)-183)</f>
        <v>10</v>
      </c>
      <c r="Q378" s="5">
        <f>COUNTIF(V$5:V378,"&gt;="&amp;MAX($V:$V)-365)</f>
        <v>36</v>
      </c>
      <c r="R378" s="5" cm="1">
        <f t="array" ref="R378">LOOKUP(2,1/($G$46:$G$50&lt;=$V378)/($H$46:$H$50&gt;=$V378),$F$46:$F$50)</f>
        <v>0</v>
      </c>
      <c r="S378" s="5" cm="1">
        <f t="array" ref="S378">LOOKUP(2,1/($G$53:$G$56&lt;=$V378)/($H$53:$H$56&gt;=$V378),$F$53:$F$56)</f>
        <v>0</v>
      </c>
      <c r="T378" s="5" t="e">
        <f>IFERROR(IF($R378&gt;0,$R378&amp;"-"&amp;COUNTIF($R$5:$R378,$R378),NA()),NA())</f>
        <v>#N/A</v>
      </c>
      <c r="U378" s="5" t="e">
        <f>IFERROR(IF($S378&gt;0,$S378&amp;"-"&amp;COUNTIF($S$5:$S378,$S378),NA()),NA())</f>
        <v>#N/A</v>
      </c>
      <c r="V378" s="10">
        <v>45351</v>
      </c>
      <c r="W378" s="9">
        <v>33186050.670153648</v>
      </c>
      <c r="X378" s="9">
        <v>44721521.883099049</v>
      </c>
      <c r="Y378" s="8">
        <v>12000000</v>
      </c>
    </row>
    <row r="379" spans="13:25" x14ac:dyDescent="0.25">
      <c r="M379" s="5" t="str" cm="1">
        <f t="array" ref="M379">LOOKUP(2,1/($G$19:$G$35&lt;=$V379)/($H$19:$H$35&gt;=$V379),$F$19:$F$35)</f>
        <v>2H24</v>
      </c>
      <c r="N379" s="5" t="str" cm="1">
        <f t="array" ref="N379">LOOKUP(2,1/($G$8:$G$16&lt;=$V379)/($H$8:$H$16&gt;=$V379),$F$8:$F$16)</f>
        <v>FY24</v>
      </c>
      <c r="O379" s="5" t="str">
        <f>IFERROR(N379&amp;"-"&amp;COUNTIF($N$5:N379,N379),NA())</f>
        <v>FY24-36</v>
      </c>
      <c r="P379" s="5">
        <f>COUNTIF(V$5:V379,"&gt;="&amp;MAX($V:$V)-183)</f>
        <v>11</v>
      </c>
      <c r="Q379" s="5">
        <f>COUNTIF(V$5:V379,"&gt;="&amp;MAX($V:$V)-365)</f>
        <v>37</v>
      </c>
      <c r="R379" s="5" cm="1">
        <f t="array" ref="R379">LOOKUP(2,1/($G$46:$G$50&lt;=$V379)/($H$46:$H$50&gt;=$V379),$F$46:$F$50)</f>
        <v>0</v>
      </c>
      <c r="S379" s="5" cm="1">
        <f t="array" ref="S379">LOOKUP(2,1/($G$53:$G$56&lt;=$V379)/($H$53:$H$56&gt;=$V379),$F$53:$F$56)</f>
        <v>0</v>
      </c>
      <c r="T379" s="5" t="e">
        <f>IFERROR(IF($R379&gt;0,$R379&amp;"-"&amp;COUNTIF($R$5:$R379,$R379),NA()),NA())</f>
        <v>#N/A</v>
      </c>
      <c r="U379" s="5" t="e">
        <f>IFERROR(IF($S379&gt;0,$S379&amp;"-"&amp;COUNTIF($S$5:$S379,$S379),NA()),NA())</f>
        <v>#N/A</v>
      </c>
      <c r="V379" s="10">
        <v>45358</v>
      </c>
      <c r="W379" s="9">
        <v>40790859.104282446</v>
      </c>
      <c r="X379" s="9">
        <v>54969761.728931017</v>
      </c>
      <c r="Y379" s="8">
        <v>20000000</v>
      </c>
    </row>
    <row r="380" spans="13:25" x14ac:dyDescent="0.25">
      <c r="M380" s="5" t="str" cm="1">
        <f t="array" ref="M380">LOOKUP(2,1/($G$19:$G$35&lt;=$V380)/($H$19:$H$35&gt;=$V380),$F$19:$F$35)</f>
        <v>2H24</v>
      </c>
      <c r="N380" s="5" t="str" cm="1">
        <f t="array" ref="N380">LOOKUP(2,1/($G$8:$G$16&lt;=$V380)/($H$8:$H$16&gt;=$V380),$F$8:$F$16)</f>
        <v>FY24</v>
      </c>
      <c r="O380" s="5" t="str">
        <f>IFERROR(N380&amp;"-"&amp;COUNTIF($N$5:N380,N380),NA())</f>
        <v>FY24-37</v>
      </c>
      <c r="P380" s="5">
        <f>COUNTIF(V$5:V380,"&gt;="&amp;MAX($V:$V)-183)</f>
        <v>12</v>
      </c>
      <c r="Q380" s="5">
        <f>COUNTIF(V$5:V380,"&gt;="&amp;MAX($V:$V)-365)</f>
        <v>38</v>
      </c>
      <c r="R380" s="5" cm="1">
        <f t="array" ref="R380">LOOKUP(2,1/($G$46:$G$50&lt;=$V380)/($H$46:$H$50&gt;=$V380),$F$46:$F$50)</f>
        <v>0</v>
      </c>
      <c r="S380" s="5" cm="1">
        <f t="array" ref="S380">LOOKUP(2,1/($G$53:$G$56&lt;=$V380)/($H$53:$H$56&gt;=$V380),$F$53:$F$56)</f>
        <v>0</v>
      </c>
      <c r="T380" s="5" t="e">
        <f>IFERROR(IF($R380&gt;0,$R380&amp;"-"&amp;COUNTIF($R$5:$R380,$R380),NA()),NA())</f>
        <v>#N/A</v>
      </c>
      <c r="U380" s="5" t="e">
        <f>IFERROR(IF($S380&gt;0,$S380&amp;"-"&amp;COUNTIF($S$5:$S380,$S380),NA()),NA())</f>
        <v>#N/A</v>
      </c>
      <c r="V380" s="10">
        <v>45365</v>
      </c>
      <c r="W380" s="9">
        <v>52908046.96523919</v>
      </c>
      <c r="X380" s="9">
        <v>71298884.09035632</v>
      </c>
      <c r="Y380" s="8">
        <v>40000000</v>
      </c>
    </row>
    <row r="381" spans="13:25" x14ac:dyDescent="0.25">
      <c r="M381" s="5" t="str" cm="1">
        <f t="array" ref="M381">LOOKUP(2,1/($G$19:$G$35&lt;=$V381)/($H$19:$H$35&gt;=$V381),$F$19:$F$35)</f>
        <v>2H24</v>
      </c>
      <c r="N381" s="5" t="str" cm="1">
        <f t="array" ref="N381">LOOKUP(2,1/($G$8:$G$16&lt;=$V381)/($H$8:$H$16&gt;=$V381),$F$8:$F$16)</f>
        <v>FY24</v>
      </c>
      <c r="O381" s="5" t="str">
        <f>IFERROR(N381&amp;"-"&amp;COUNTIF($N$5:N381,N381),NA())</f>
        <v>FY24-38</v>
      </c>
      <c r="P381" s="5">
        <f>COUNTIF(V$5:V381,"&gt;="&amp;MAX($V:$V)-183)</f>
        <v>13</v>
      </c>
      <c r="Q381" s="5">
        <f>COUNTIF(V$5:V381,"&gt;="&amp;MAX($V:$V)-365)</f>
        <v>39</v>
      </c>
      <c r="R381" s="5" cm="1">
        <f t="array" ref="R381">LOOKUP(2,1/($G$46:$G$50&lt;=$V381)/($H$46:$H$50&gt;=$V381),$F$46:$F$50)</f>
        <v>0</v>
      </c>
      <c r="S381" s="5" cm="1">
        <f t="array" ref="S381">LOOKUP(2,1/($G$53:$G$56&lt;=$V381)/($H$53:$H$56&gt;=$V381),$F$53:$F$56)</f>
        <v>0</v>
      </c>
      <c r="T381" s="5" t="e">
        <f>IFERROR(IF($R381&gt;0,$R381&amp;"-"&amp;COUNTIF($R$5:$R381,$R381),NA()),NA())</f>
        <v>#N/A</v>
      </c>
      <c r="U381" s="5" t="e">
        <f>IFERROR(IF($S381&gt;0,$S381&amp;"-"&amp;COUNTIF($S$5:$S381,$S381),NA()),NA())</f>
        <v>#N/A</v>
      </c>
      <c r="V381" s="10">
        <v>45372</v>
      </c>
      <c r="W381" s="9">
        <v>19763648.7959028</v>
      </c>
      <c r="X381" s="9">
        <v>26633493.11735861</v>
      </c>
      <c r="Y381" s="8">
        <v>4000000</v>
      </c>
    </row>
    <row r="382" spans="13:25" x14ac:dyDescent="0.25">
      <c r="M382" s="5" t="str" cm="1">
        <f t="array" ref="M382">LOOKUP(2,1/($G$19:$G$35&lt;=$V382)/($H$19:$H$35&gt;=$V382),$F$19:$F$35)</f>
        <v>2H24</v>
      </c>
      <c r="N382" s="5" t="str" cm="1">
        <f t="array" ref="N382">LOOKUP(2,1/($G$8:$G$16&lt;=$V382)/($H$8:$H$16&gt;=$V382),$F$8:$F$16)</f>
        <v>FY24</v>
      </c>
      <c r="O382" s="5" t="str">
        <f>IFERROR(N382&amp;"-"&amp;COUNTIF($N$5:N382,N382),NA())</f>
        <v>FY24-39</v>
      </c>
      <c r="P382" s="5">
        <f>COUNTIF(V$5:V382,"&gt;="&amp;MAX($V:$V)-183)</f>
        <v>14</v>
      </c>
      <c r="Q382" s="5">
        <f>COUNTIF(V$5:V382,"&gt;="&amp;MAX($V:$V)-365)</f>
        <v>40</v>
      </c>
      <c r="R382" s="5" cm="1">
        <f t="array" ref="R382">LOOKUP(2,1/($G$46:$G$50&lt;=$V382)/($H$46:$H$50&gt;=$V382),$F$46:$F$50)</f>
        <v>0</v>
      </c>
      <c r="S382" s="5" cm="1">
        <f t="array" ref="S382">LOOKUP(2,1/($G$53:$G$56&lt;=$V382)/($H$53:$H$56&gt;=$V382),$F$53:$F$56)</f>
        <v>0</v>
      </c>
      <c r="T382" s="5" t="e">
        <f>IFERROR(IF($R382&gt;0,$R382&amp;"-"&amp;COUNTIF($R$5:$R382,$R382),NA()),NA())</f>
        <v>#N/A</v>
      </c>
      <c r="U382" s="5" t="e">
        <f>IFERROR(IF($S382&gt;0,$S382&amp;"-"&amp;COUNTIF($S$5:$S382,$S382),NA()),NA())</f>
        <v>#N/A</v>
      </c>
      <c r="V382" s="10">
        <v>45379</v>
      </c>
      <c r="W382" s="9">
        <v>28780959.790781304</v>
      </c>
      <c r="X382" s="9">
        <v>38785221.414056882</v>
      </c>
      <c r="Y382" s="8">
        <v>12000000</v>
      </c>
    </row>
    <row r="383" spans="13:25" x14ac:dyDescent="0.25">
      <c r="M383" s="5" t="str" cm="1">
        <f t="array" ref="M383">LOOKUP(2,1/($G$19:$G$35&lt;=$V383)/($H$19:$H$35&gt;=$V383),$F$19:$F$35)</f>
        <v>2H24</v>
      </c>
      <c r="N383" s="5" t="str" cm="1">
        <f t="array" ref="N383">LOOKUP(2,1/($G$8:$G$16&lt;=$V383)/($H$8:$H$16&gt;=$V383),$F$8:$F$16)</f>
        <v>FY24</v>
      </c>
      <c r="O383" s="5" t="str">
        <f>IFERROR(N383&amp;"-"&amp;COUNTIF($N$5:N383,N383),NA())</f>
        <v>FY24-40</v>
      </c>
      <c r="P383" s="5">
        <f>COUNTIF(V$5:V383,"&gt;="&amp;MAX($V:$V)-183)</f>
        <v>15</v>
      </c>
      <c r="Q383" s="5">
        <f>COUNTIF(V$5:V383,"&gt;="&amp;MAX($V:$V)-365)</f>
        <v>41</v>
      </c>
      <c r="R383" s="5" cm="1">
        <f t="array" ref="R383">LOOKUP(2,1/($G$46:$G$50&lt;=$V383)/($H$46:$H$50&gt;=$V383),$F$46:$F$50)</f>
        <v>0</v>
      </c>
      <c r="S383" s="5" cm="1">
        <f t="array" ref="S383">LOOKUP(2,1/($G$53:$G$56&lt;=$V383)/($H$53:$H$56&gt;=$V383),$F$53:$F$56)</f>
        <v>0</v>
      </c>
      <c r="T383" s="5" t="e">
        <f>IFERROR(IF($R383&gt;0,$R383&amp;"-"&amp;COUNTIF($R$5:$R383,$R383),NA()),NA())</f>
        <v>#N/A</v>
      </c>
      <c r="U383" s="5" t="e">
        <f>IFERROR(IF($S383&gt;0,$S383&amp;"-"&amp;COUNTIF($S$5:$S383,$S383),NA()),NA())</f>
        <v>#N/A</v>
      </c>
      <c r="V383" s="10">
        <v>45386</v>
      </c>
      <c r="W383" s="9">
        <v>33664848.752315573</v>
      </c>
      <c r="X383" s="9">
        <v>45366750.178620465</v>
      </c>
      <c r="Y383" s="8">
        <v>20000000</v>
      </c>
    </row>
    <row r="384" spans="13:25" x14ac:dyDescent="0.25">
      <c r="M384" s="5" t="str" cm="1">
        <f t="array" ref="M384">LOOKUP(2,1/($G$19:$G$35&lt;=$V384)/($H$19:$H$35&gt;=$V384),$F$19:$F$35)</f>
        <v>2H24</v>
      </c>
      <c r="N384" s="5" t="str" cm="1">
        <f t="array" ref="N384">LOOKUP(2,1/($G$8:$G$16&lt;=$V384)/($H$8:$H$16&gt;=$V384),$F$8:$F$16)</f>
        <v>FY24</v>
      </c>
      <c r="O384" s="5" t="str">
        <f>IFERROR(N384&amp;"-"&amp;COUNTIF($N$5:N384,N384),NA())</f>
        <v>FY24-41</v>
      </c>
      <c r="P384" s="5">
        <f>COUNTIF(V$5:V384,"&gt;="&amp;MAX($V:$V)-183)</f>
        <v>16</v>
      </c>
      <c r="Q384" s="5">
        <f>COUNTIF(V$5:V384,"&gt;="&amp;MAX($V:$V)-365)</f>
        <v>42</v>
      </c>
      <c r="R384" s="5" cm="1">
        <f t="array" ref="R384">LOOKUP(2,1/($G$46:$G$50&lt;=$V384)/($H$46:$H$50&gt;=$V384),$F$46:$F$50)</f>
        <v>0</v>
      </c>
      <c r="S384" s="5" cm="1">
        <f t="array" ref="S384">LOOKUP(2,1/($G$53:$G$56&lt;=$V384)/($H$53:$H$56&gt;=$V384),$F$53:$F$56)</f>
        <v>0</v>
      </c>
      <c r="T384" s="5" t="e">
        <f>IFERROR(IF($R384&gt;0,$R384&amp;"-"&amp;COUNTIF($R$5:$R384,$R384),NA()),NA())</f>
        <v>#N/A</v>
      </c>
      <c r="U384" s="5" t="e">
        <f>IFERROR(IF($S384&gt;0,$S384&amp;"-"&amp;COUNTIF($S$5:$S384,$S384),NA()),NA())</f>
        <v>#N/A</v>
      </c>
      <c r="V384" s="10">
        <v>45393</v>
      </c>
      <c r="W384" s="9">
        <v>19709566.198103961</v>
      </c>
      <c r="X384" s="9">
        <v>26560611.408564895</v>
      </c>
      <c r="Y384" s="8">
        <v>4000000</v>
      </c>
    </row>
    <row r="385" spans="13:25" x14ac:dyDescent="0.25">
      <c r="M385" s="5" t="str" cm="1">
        <f t="array" ref="M385">LOOKUP(2,1/($G$19:$G$35&lt;=$V385)/($H$19:$H$35&gt;=$V385),$F$19:$F$35)</f>
        <v>2H24</v>
      </c>
      <c r="N385" s="5" t="str" cm="1">
        <f t="array" ref="N385">LOOKUP(2,1/($G$8:$G$16&lt;=$V385)/($H$8:$H$16&gt;=$V385),$F$8:$F$16)</f>
        <v>FY24</v>
      </c>
      <c r="O385" s="5" t="str">
        <f>IFERROR(N385&amp;"-"&amp;COUNTIF($N$5:N385,N385),NA())</f>
        <v>FY24-42</v>
      </c>
      <c r="P385" s="5">
        <f>COUNTIF(V$5:V385,"&gt;="&amp;MAX($V:$V)-183)</f>
        <v>17</v>
      </c>
      <c r="Q385" s="5">
        <f>COUNTIF(V$5:V385,"&gt;="&amp;MAX($V:$V)-365)</f>
        <v>43</v>
      </c>
      <c r="R385" s="5" cm="1">
        <f t="array" ref="R385">LOOKUP(2,1/($G$46:$G$50&lt;=$V385)/($H$46:$H$50&gt;=$V385),$F$46:$F$50)</f>
        <v>0</v>
      </c>
      <c r="S385" s="5" cm="1">
        <f t="array" ref="S385">LOOKUP(2,1/($G$53:$G$56&lt;=$V385)/($H$53:$H$56&gt;=$V385),$F$53:$F$56)</f>
        <v>0</v>
      </c>
      <c r="T385" s="5" t="e">
        <f>IFERROR(IF($R385&gt;0,$R385&amp;"-"&amp;COUNTIF($R$5:$R385,$R385),NA()),NA())</f>
        <v>#N/A</v>
      </c>
      <c r="U385" s="5" t="e">
        <f>IFERROR(IF($S385&gt;0,$S385&amp;"-"&amp;COUNTIF($S$5:$S385,$S385),NA()),NA())</f>
        <v>#N/A</v>
      </c>
      <c r="V385" s="10">
        <v>45400</v>
      </c>
      <c r="W385" s="9">
        <v>30895473.575242456</v>
      </c>
      <c r="X385" s="9">
        <v>41634740.189996734</v>
      </c>
      <c r="Y385" s="8">
        <v>12000000</v>
      </c>
    </row>
    <row r="386" spans="13:25" x14ac:dyDescent="0.25">
      <c r="M386" s="5" t="str" cm="1">
        <f t="array" ref="M386">LOOKUP(2,1/($G$19:$G$35&lt;=$V386)/($H$19:$H$35&gt;=$V386),$F$19:$F$35)</f>
        <v>2H24</v>
      </c>
      <c r="N386" s="5" t="str" cm="1">
        <f t="array" ref="N386">LOOKUP(2,1/($G$8:$G$16&lt;=$V386)/($H$8:$H$16&gt;=$V386),$F$8:$F$16)</f>
        <v>FY24</v>
      </c>
      <c r="O386" s="5" t="str">
        <f>IFERROR(N386&amp;"-"&amp;COUNTIF($N$5:N386,N386),NA())</f>
        <v>FY24-43</v>
      </c>
      <c r="P386" s="5">
        <f>COUNTIF(V$5:V386,"&gt;="&amp;MAX($V:$V)-183)</f>
        <v>18</v>
      </c>
      <c r="Q386" s="5">
        <f>COUNTIF(V$5:V386,"&gt;="&amp;MAX($V:$V)-365)</f>
        <v>44</v>
      </c>
      <c r="R386" s="5" cm="1">
        <f t="array" ref="R386">LOOKUP(2,1/($G$46:$G$50&lt;=$V386)/($H$46:$H$50&gt;=$V386),$F$46:$F$50)</f>
        <v>0</v>
      </c>
      <c r="S386" s="5" cm="1">
        <f t="array" ref="S386">LOOKUP(2,1/($G$53:$G$56&lt;=$V386)/($H$53:$H$56&gt;=$V386),$F$53:$F$56)</f>
        <v>0</v>
      </c>
      <c r="T386" s="5" t="e">
        <f>IFERROR(IF($R386&gt;0,$R386&amp;"-"&amp;COUNTIF($R$5:$R386,$R386),NA()),NA())</f>
        <v>#N/A</v>
      </c>
      <c r="U386" s="5" t="e">
        <f>IFERROR(IF($S386&gt;0,$S386&amp;"-"&amp;COUNTIF($S$5:$S386,$S386),NA()),NA())</f>
        <v>#N/A</v>
      </c>
      <c r="V386" s="10">
        <v>45407</v>
      </c>
      <c r="W386" s="9">
        <v>37208673.640623301</v>
      </c>
      <c r="X386" s="9">
        <v>50142408.598103955</v>
      </c>
      <c r="Y386" s="8">
        <v>20000000</v>
      </c>
    </row>
    <row r="387" spans="13:25" x14ac:dyDescent="0.25">
      <c r="M387" s="5" t="str" cm="1">
        <f t="array" ref="M387">LOOKUP(2,1/($G$19:$G$35&lt;=$V387)/($H$19:$H$35&gt;=$V387),$F$19:$F$35)</f>
        <v>2H24</v>
      </c>
      <c r="N387" s="5" t="str" cm="1">
        <f t="array" ref="N387">LOOKUP(2,1/($G$8:$G$16&lt;=$V387)/($H$8:$H$16&gt;=$V387),$F$8:$F$16)</f>
        <v>FY24</v>
      </c>
      <c r="O387" s="5" t="str">
        <f>IFERROR(N387&amp;"-"&amp;COUNTIF($N$5:N387,N387),NA())</f>
        <v>FY24-44</v>
      </c>
      <c r="P387" s="5">
        <f>COUNTIF(V$5:V387,"&gt;="&amp;MAX($V:$V)-183)</f>
        <v>19</v>
      </c>
      <c r="Q387" s="5">
        <f>COUNTIF(V$5:V387,"&gt;="&amp;MAX($V:$V)-365)</f>
        <v>45</v>
      </c>
      <c r="R387" s="5" cm="1">
        <f t="array" ref="R387">LOOKUP(2,1/($G$46:$G$50&lt;=$V387)/($H$46:$H$50&gt;=$V387),$F$46:$F$50)</f>
        <v>0</v>
      </c>
      <c r="S387" s="5" cm="1">
        <f t="array" ref="S387">LOOKUP(2,1/($G$53:$G$56&lt;=$V387)/($H$53:$H$56&gt;=$V387),$F$53:$F$56)</f>
        <v>0</v>
      </c>
      <c r="T387" s="5" t="e">
        <f>IFERROR(IF($R387&gt;0,$R387&amp;"-"&amp;COUNTIF($R$5:$R387,$R387),NA()),NA())</f>
        <v>#N/A</v>
      </c>
      <c r="U387" s="5" t="e">
        <f>IFERROR(IF($S387&gt;0,$S387&amp;"-"&amp;COUNTIF($S$5:$S387,$S387),NA()),NA())</f>
        <v>#N/A</v>
      </c>
      <c r="V387" s="10">
        <v>45414</v>
      </c>
      <c r="W387" s="9">
        <v>54983203.443391085</v>
      </c>
      <c r="X387" s="9">
        <v>74095364.960313827</v>
      </c>
      <c r="Y387" s="8">
        <v>40000000</v>
      </c>
    </row>
    <row r="388" spans="13:25" x14ac:dyDescent="0.25">
      <c r="M388" s="5" t="str" cm="1">
        <f t="array" ref="M388">LOOKUP(2,1/($G$19:$G$35&lt;=$V388)/($H$19:$H$35&gt;=$V388),$F$19:$F$35)</f>
        <v>2H24</v>
      </c>
      <c r="N388" s="5" t="str" cm="1">
        <f t="array" ref="N388">LOOKUP(2,1/($G$8:$G$16&lt;=$V388)/($H$8:$H$16&gt;=$V388),$F$8:$F$16)</f>
        <v>FY24</v>
      </c>
      <c r="O388" s="5" t="str">
        <f>IFERROR(N388&amp;"-"&amp;COUNTIF($N$5:N388,N388),NA())</f>
        <v>FY24-45</v>
      </c>
      <c r="P388" s="5">
        <f>COUNTIF(V$5:V388,"&gt;="&amp;MAX($V:$V)-183)</f>
        <v>20</v>
      </c>
      <c r="Q388" s="5">
        <f>COUNTIF(V$5:V388,"&gt;="&amp;MAX($V:$V)-365)</f>
        <v>46</v>
      </c>
      <c r="R388" s="5" cm="1">
        <f t="array" ref="R388">LOOKUP(2,1/($G$46:$G$50&lt;=$V388)/($H$46:$H$50&gt;=$V388),$F$46:$F$50)</f>
        <v>0</v>
      </c>
      <c r="S388" s="5" cm="1">
        <f t="array" ref="S388">LOOKUP(2,1/($G$53:$G$56&lt;=$V388)/($H$53:$H$56&gt;=$V388),$F$53:$F$56)</f>
        <v>0</v>
      </c>
      <c r="T388" s="5" t="e">
        <f>IFERROR(IF($R388&gt;0,$R388&amp;"-"&amp;COUNTIF($R$5:$R388,$R388),NA()),NA())</f>
        <v>#N/A</v>
      </c>
      <c r="U388" s="5" t="e">
        <f>IFERROR(IF($S388&gt;0,$S388&amp;"-"&amp;COUNTIF($S$5:$S388,$S388),NA()),NA())</f>
        <v>#N/A</v>
      </c>
      <c r="V388" s="10">
        <v>45421</v>
      </c>
      <c r="W388" s="9">
        <v>77952955.649994567</v>
      </c>
      <c r="X388" s="9">
        <v>105049403.03393267</v>
      </c>
      <c r="Y388" s="8">
        <v>60000000</v>
      </c>
    </row>
    <row r="389" spans="13:25" x14ac:dyDescent="0.25">
      <c r="M389" s="5" t="str" cm="1">
        <f t="array" ref="M389">LOOKUP(2,1/($G$19:$G$35&lt;=$V389)/($H$19:$H$35&gt;=$V389),$F$19:$F$35)</f>
        <v>2H24</v>
      </c>
      <c r="N389" s="5" t="str" cm="1">
        <f t="array" ref="N389">LOOKUP(2,1/($G$8:$G$16&lt;=$V389)/($H$8:$H$16&gt;=$V389),$F$8:$F$16)</f>
        <v>FY24</v>
      </c>
      <c r="O389" s="5" t="str">
        <f>IFERROR(N389&amp;"-"&amp;COUNTIF($N$5:N389,N389),NA())</f>
        <v>FY24-46</v>
      </c>
      <c r="P389" s="5">
        <f>COUNTIF(V$5:V389,"&gt;="&amp;MAX($V:$V)-183)</f>
        <v>21</v>
      </c>
      <c r="Q389" s="5">
        <f>COUNTIF(V$5:V389,"&gt;="&amp;MAX($V:$V)-365)</f>
        <v>47</v>
      </c>
      <c r="R389" s="5" cm="1">
        <f t="array" ref="R389">LOOKUP(2,1/($G$46:$G$50&lt;=$V389)/($H$46:$H$50&gt;=$V389),$F$46:$F$50)</f>
        <v>0</v>
      </c>
      <c r="S389" s="5" cm="1">
        <f t="array" ref="S389">LOOKUP(2,1/($G$53:$G$56&lt;=$V389)/($H$53:$H$56&gt;=$V389),$F$53:$F$56)</f>
        <v>0</v>
      </c>
      <c r="T389" s="5" t="e">
        <f>IFERROR(IF($R389&gt;0,$R389&amp;"-"&amp;COUNTIF($R$5:$R389,$R389),NA()),NA())</f>
        <v>#N/A</v>
      </c>
      <c r="U389" s="5" t="e">
        <f>IFERROR(IF($S389&gt;0,$S389&amp;"-"&amp;COUNTIF($S$5:$S389,$S389),NA()),NA())</f>
        <v>#N/A</v>
      </c>
      <c r="V389" s="10">
        <v>45428</v>
      </c>
      <c r="W389" s="9">
        <v>140290075.73281032</v>
      </c>
      <c r="X389" s="9">
        <v>189054906.05753517</v>
      </c>
      <c r="Y389" s="8">
        <v>100000000</v>
      </c>
    </row>
    <row r="390" spans="13:25" x14ac:dyDescent="0.25">
      <c r="M390" s="5" t="str" cm="1">
        <f t="array" ref="M390">LOOKUP(2,1/($G$19:$G$35&lt;=$V390)/($H$19:$H$35&gt;=$V390),$F$19:$F$35)</f>
        <v>2H24</v>
      </c>
      <c r="N390" s="5" t="str" cm="1">
        <f t="array" ref="N390">LOOKUP(2,1/($G$8:$G$16&lt;=$V390)/($H$8:$H$16&gt;=$V390),$F$8:$F$16)</f>
        <v>FY24</v>
      </c>
      <c r="O390" s="5" t="str">
        <f>IFERROR(N390&amp;"-"&amp;COUNTIF($N$5:N390,N390),NA())</f>
        <v>FY24-47</v>
      </c>
      <c r="P390" s="5">
        <f>COUNTIF(V$5:V390,"&gt;="&amp;MAX($V:$V)-183)</f>
        <v>22</v>
      </c>
      <c r="Q390" s="5">
        <f>COUNTIF(V$5:V390,"&gt;="&amp;MAX($V:$V)-365)</f>
        <v>48</v>
      </c>
      <c r="R390" s="5" cm="1">
        <f t="array" ref="R390">LOOKUP(2,1/($G$46:$G$50&lt;=$V390)/($H$46:$H$50&gt;=$V390),$F$46:$F$50)</f>
        <v>0</v>
      </c>
      <c r="S390" s="5" cm="1">
        <f t="array" ref="S390">LOOKUP(2,1/($G$53:$G$56&lt;=$V390)/($H$53:$H$56&gt;=$V390),$F$53:$F$56)</f>
        <v>0</v>
      </c>
      <c r="T390" s="5" t="e">
        <f>IFERROR(IF($R390&gt;0,$R390&amp;"-"&amp;COUNTIF($R$5:$R390,$R390),NA()),NA())</f>
        <v>#N/A</v>
      </c>
      <c r="U390" s="5" t="e">
        <f>IFERROR(IF($S390&gt;0,$S390&amp;"-"&amp;COUNTIF($S$5:$S390,$S390),NA()),NA())</f>
        <v>#N/A</v>
      </c>
      <c r="V390" s="10">
        <v>45435</v>
      </c>
      <c r="W390" s="9">
        <v>194704917.18426505</v>
      </c>
      <c r="X390" s="9">
        <v>262384346.39751557</v>
      </c>
      <c r="Y390" s="8">
        <v>150000000</v>
      </c>
    </row>
    <row r="391" spans="13:25" x14ac:dyDescent="0.25">
      <c r="M391" s="5" t="str" cm="1">
        <f t="array" ref="M391">LOOKUP(2,1/($G$19:$G$35&lt;=$V391)/($H$19:$H$35&gt;=$V391),$F$19:$F$35)</f>
        <v>2H24</v>
      </c>
      <c r="N391" s="5" t="str" cm="1">
        <f t="array" ref="N391">LOOKUP(2,1/($G$8:$G$16&lt;=$V391)/($H$8:$H$16&gt;=$V391),$F$8:$F$16)</f>
        <v>FY24</v>
      </c>
      <c r="O391" s="5" t="str">
        <f>IFERROR(N391&amp;"-"&amp;COUNTIF($N$5:N391,N391),NA())</f>
        <v>FY24-48</v>
      </c>
      <c r="P391" s="5">
        <f>COUNTIF(V$5:V391,"&gt;="&amp;MAX($V:$V)-183)</f>
        <v>23</v>
      </c>
      <c r="Q391" s="5">
        <f>COUNTIF(V$5:V391,"&gt;="&amp;MAX($V:$V)-365)</f>
        <v>49</v>
      </c>
      <c r="R391" s="5" cm="1">
        <f t="array" ref="R391">LOOKUP(2,1/($G$46:$G$50&lt;=$V391)/($H$46:$H$50&gt;=$V391),$F$46:$F$50)</f>
        <v>0</v>
      </c>
      <c r="S391" s="5" cm="1">
        <f t="array" ref="S391">LOOKUP(2,1/($G$53:$G$56&lt;=$V391)/($H$53:$H$56&gt;=$V391),$F$53:$F$56)</f>
        <v>0</v>
      </c>
      <c r="T391" s="5" t="e">
        <f>IFERROR(IF($R391&gt;0,$R391&amp;"-"&amp;COUNTIF($R$5:$R391,$R391),NA()),NA())</f>
        <v>#N/A</v>
      </c>
      <c r="U391" s="5" t="e">
        <f>IFERROR(IF($S391&gt;0,$S391&amp;"-"&amp;COUNTIF($S$5:$S391,$S391),NA()),NA())</f>
        <v>#N/A</v>
      </c>
      <c r="V391" s="10">
        <v>45442</v>
      </c>
      <c r="W391" s="9">
        <v>21155360.575351421</v>
      </c>
      <c r="X391" s="9">
        <v>28508963.911343575</v>
      </c>
      <c r="Y391" s="8">
        <v>4000000</v>
      </c>
    </row>
    <row r="392" spans="13:25" x14ac:dyDescent="0.25">
      <c r="M392" s="5" t="str" cm="1">
        <f t="array" ref="M392">LOOKUP(2,1/($G$19:$G$35&lt;=$V392)/($H$19:$H$35&gt;=$V392),$F$19:$F$35)</f>
        <v>2H24</v>
      </c>
      <c r="N392" s="5" t="str" cm="1">
        <f t="array" ref="N392">LOOKUP(2,1/($G$8:$G$16&lt;=$V392)/($H$8:$H$16&gt;=$V392),$F$8:$F$16)</f>
        <v>FY24</v>
      </c>
      <c r="O392" s="5" t="str">
        <f>IFERROR(N392&amp;"-"&amp;COUNTIF($N$5:N392,N392),NA())</f>
        <v>FY24-49</v>
      </c>
      <c r="P392" s="5">
        <f>COUNTIF(V$5:V392,"&gt;="&amp;MAX($V:$V)-183)</f>
        <v>24</v>
      </c>
      <c r="Q392" s="5">
        <f>COUNTIF(V$5:V392,"&gt;="&amp;MAX($V:$V)-365)</f>
        <v>50</v>
      </c>
      <c r="R392" s="5" cm="1">
        <f t="array" ref="R392">LOOKUP(2,1/($G$46:$G$50&lt;=$V392)/($H$46:$H$50&gt;=$V392),$F$46:$F$50)</f>
        <v>0</v>
      </c>
      <c r="S392" s="5" cm="1">
        <f t="array" ref="S392">LOOKUP(2,1/($G$53:$G$56&lt;=$V392)/($H$53:$H$56&gt;=$V392),$F$53:$F$56)</f>
        <v>0</v>
      </c>
      <c r="T392" s="5" t="e">
        <f>IFERROR(IF($R392&gt;0,$R392&amp;"-"&amp;COUNTIF($R$5:$R392,$R392),NA()),NA())</f>
        <v>#N/A</v>
      </c>
      <c r="U392" s="5" t="e">
        <f>IFERROR(IF($S392&gt;0,$S392&amp;"-"&amp;COUNTIF($S$5:$S392,$S392),NA()),NA())</f>
        <v>#N/A</v>
      </c>
      <c r="V392" s="10">
        <v>45449</v>
      </c>
      <c r="W392" s="9">
        <v>32649363.626457453</v>
      </c>
      <c r="X392" s="9">
        <v>43998282.42301406</v>
      </c>
      <c r="Y392" s="8">
        <v>12000000</v>
      </c>
    </row>
    <row r="393" spans="13:25" x14ac:dyDescent="0.25">
      <c r="M393" s="5" t="str" cm="1">
        <f t="array" ref="M393">LOOKUP(2,1/($G$19:$G$35&lt;=$V393)/($H$19:$H$35&gt;=$V393),$F$19:$F$35)</f>
        <v>2H24</v>
      </c>
      <c r="N393" s="5" t="str" cm="1">
        <f t="array" ref="N393">LOOKUP(2,1/($G$8:$G$16&lt;=$V393)/($H$8:$H$16&gt;=$V393),$F$8:$F$16)</f>
        <v>FY24</v>
      </c>
      <c r="O393" s="5" t="str">
        <f>IFERROR(N393&amp;"-"&amp;COUNTIF($N$5:N393,N393),NA())</f>
        <v>FY24-50</v>
      </c>
      <c r="P393" s="5">
        <f>COUNTIF(V$5:V393,"&gt;="&amp;MAX($V:$V)-183)</f>
        <v>25</v>
      </c>
      <c r="Q393" s="5">
        <f>COUNTIF(V$5:V393,"&gt;="&amp;MAX($V:$V)-365)</f>
        <v>51</v>
      </c>
      <c r="R393" s="5" cm="1">
        <f t="array" ref="R393">LOOKUP(2,1/($G$46:$G$50&lt;=$V393)/($H$46:$H$50&gt;=$V393),$F$46:$F$50)</f>
        <v>0</v>
      </c>
      <c r="S393" s="5" cm="1">
        <f t="array" ref="S393">LOOKUP(2,1/($G$53:$G$56&lt;=$V393)/($H$53:$H$56&gt;=$V393),$F$53:$F$56)</f>
        <v>0</v>
      </c>
      <c r="T393" s="5" t="e">
        <f>IFERROR(IF($R393&gt;0,$R393&amp;"-"&amp;COUNTIF($R$5:$R393,$R393),NA()),NA())</f>
        <v>#N/A</v>
      </c>
      <c r="U393" s="5" t="e">
        <f>IFERROR(IF($S393&gt;0,$S393&amp;"-"&amp;COUNTIF($S$5:$S393,$S393),NA()),NA())</f>
        <v>#N/A</v>
      </c>
      <c r="V393" s="10">
        <v>45456</v>
      </c>
      <c r="W393" s="9">
        <v>41109275.79819113</v>
      </c>
      <c r="X393" s="9">
        <v>55398860.065642364</v>
      </c>
      <c r="Y393" s="8">
        <v>20000000</v>
      </c>
    </row>
    <row r="394" spans="13:25" x14ac:dyDescent="0.25">
      <c r="M394" s="5" t="str" cm="1">
        <f t="array" ref="M394">LOOKUP(2,1/($G$19:$G$35&lt;=$V394)/($H$19:$H$35&gt;=$V394),$F$19:$F$35)</f>
        <v>2H24</v>
      </c>
      <c r="N394" s="5" t="str" cm="1">
        <f t="array" ref="N394">LOOKUP(2,1/($G$8:$G$16&lt;=$V394)/($H$8:$H$16&gt;=$V394),$F$8:$F$16)</f>
        <v>FY24</v>
      </c>
      <c r="O394" s="5" t="str">
        <f>IFERROR(N394&amp;"-"&amp;COUNTIF($N$5:N394,N394),NA())</f>
        <v>FY24-51</v>
      </c>
      <c r="P394" s="5">
        <f>COUNTIF(V$5:V394,"&gt;="&amp;MAX($V:$V)-183)</f>
        <v>26</v>
      </c>
      <c r="Q394" s="5">
        <f>COUNTIF(V$5:V394,"&gt;="&amp;MAX($V:$V)-365)</f>
        <v>52</v>
      </c>
      <c r="R394" s="5" cm="1">
        <f t="array" ref="R394">LOOKUP(2,1/($G$46:$G$50&lt;=$V394)/($H$46:$H$50&gt;=$V394),$F$46:$F$50)</f>
        <v>0</v>
      </c>
      <c r="S394" s="5" cm="1">
        <f t="array" ref="S394">LOOKUP(2,1/($G$53:$G$56&lt;=$V394)/($H$53:$H$56&gt;=$V394),$F$53:$F$56)</f>
        <v>0</v>
      </c>
      <c r="T394" s="5" t="e">
        <f>IFERROR(IF($R394&gt;0,$R394&amp;"-"&amp;COUNTIF($R$5:$R394,$R394),NA()),NA())</f>
        <v>#N/A</v>
      </c>
      <c r="U394" s="5" t="e">
        <f>IFERROR(IF($S394&gt;0,$S394&amp;"-"&amp;COUNTIF($S$5:$S394,$S394),NA()),NA())</f>
        <v>#N/A</v>
      </c>
      <c r="V394" s="10">
        <v>45463</v>
      </c>
      <c r="W394" s="9">
        <v>55077120.627656102</v>
      </c>
      <c r="X394" s="9">
        <v>74221927.757829353</v>
      </c>
      <c r="Y394" s="8">
        <v>40000000</v>
      </c>
    </row>
    <row r="395" spans="13:25" x14ac:dyDescent="0.25">
      <c r="M395" s="5" t="str" cm="1">
        <f t="array" ref="M395">LOOKUP(2,1/($G$19:$G$35&lt;=$V395)/($H$19:$H$35&gt;=$V395),$F$19:$F$35)</f>
        <v>2H24</v>
      </c>
      <c r="N395" s="5" t="str" cm="1">
        <f t="array" ref="N395">LOOKUP(2,1/($G$8:$G$16&lt;=$V395)/($H$8:$H$16&gt;=$V395),$F$8:$F$16)</f>
        <v>FY24</v>
      </c>
      <c r="O395" s="5" t="str">
        <f>IFERROR(N395&amp;"-"&amp;COUNTIF($N$5:N395,N395),NA())</f>
        <v>FY24-52</v>
      </c>
      <c r="P395" s="5">
        <f>COUNTIF(V$5:V395,"&gt;="&amp;MAX($V:$V)-183)</f>
        <v>27</v>
      </c>
      <c r="Q395" s="5">
        <f>COUNTIF(V$5:V395,"&gt;="&amp;MAX($V:$V)-365)</f>
        <v>53</v>
      </c>
      <c r="R395" s="5" cm="1">
        <f t="array" ref="R395">LOOKUP(2,1/($G$46:$G$50&lt;=$V395)/($H$46:$H$50&gt;=$V395),$F$46:$F$50)</f>
        <v>0</v>
      </c>
      <c r="S395" s="5" cm="1">
        <f t="array" ref="S395">LOOKUP(2,1/($G$53:$G$56&lt;=$V395)/($H$53:$H$56&gt;=$V395),$F$53:$F$56)</f>
        <v>0</v>
      </c>
      <c r="T395" s="5" t="e">
        <f>IFERROR(IF($R395&gt;0,$R395&amp;"-"&amp;COUNTIF($R$5:$R395,$R395),NA()),NA())</f>
        <v>#N/A</v>
      </c>
      <c r="U395" s="5" t="e">
        <f>IFERROR(IF($S395&gt;0,$S395&amp;"-"&amp;COUNTIF($S$5:$S395,$S395),NA()),NA())</f>
        <v>#N/A</v>
      </c>
      <c r="V395" s="10">
        <v>45470</v>
      </c>
      <c r="W395" s="9">
        <v>19509070.393374741</v>
      </c>
      <c r="X395" s="9">
        <v>26290423.262111798</v>
      </c>
      <c r="Y395" s="8">
        <v>4000000</v>
      </c>
    </row>
  </sheetData>
  <autoFilter ref="V4:Y4" xr:uid="{D4DDFA86-0C0D-4FD8-8367-83FDA6233293}">
    <sortState xmlns:xlrd2="http://schemas.microsoft.com/office/spreadsheetml/2017/richdata2" ref="V5:Y381">
      <sortCondition ref="V4"/>
    </sortState>
  </autoFilter>
  <sortState xmlns:xlrd2="http://schemas.microsoft.com/office/spreadsheetml/2017/richdata2" ref="JB5:JD37">
    <sortCondition ref="JB4:JB37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3B9D-F4B2-44CF-AA36-2520E2D95397}">
  <sheetPr>
    <tabColor theme="4" tint="0.79998168889431442"/>
  </sheetPr>
  <dimension ref="B2:N395"/>
  <sheetViews>
    <sheetView showGridLines="0" tabSelected="1" zoomScale="85" zoomScaleNormal="85" workbookViewId="0">
      <pane ySplit="4" topLeftCell="A5" activePane="bottomLeft" state="frozen"/>
      <selection pane="bottomLeft" activeCell="N45" sqref="N45"/>
    </sheetView>
  </sheetViews>
  <sheetFormatPr defaultRowHeight="12.75" outlineLevelCol="1" x14ac:dyDescent="0.25"/>
  <cols>
    <col min="1" max="1" width="2.7109375" style="1" customWidth="1"/>
    <col min="2" max="2" width="11.7109375" style="2" customWidth="1" outlineLevel="1"/>
    <col min="3" max="3" width="11.7109375" style="1" customWidth="1" outlineLevel="1"/>
    <col min="4" max="4" width="12.140625" style="1" customWidth="1" outlineLevel="1"/>
    <col min="5" max="5" width="2.7109375" style="1" customWidth="1" outlineLevel="1"/>
    <col min="6" max="12" width="13.7109375" style="2" customWidth="1" outlineLevel="1"/>
    <col min="13" max="13" width="2.7109375" style="1" customWidth="1" outlineLevel="1"/>
    <col min="14" max="14" width="76.7109375" style="1" customWidth="1" outlineLevel="1"/>
    <col min="15" max="15" width="2.7109375" style="1" customWidth="1"/>
    <col min="16" max="16384" width="9.140625" style="1"/>
  </cols>
  <sheetData>
    <row r="2" spans="2:14" s="85" customFormat="1" x14ac:dyDescent="0.25"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86" t="s">
        <v>143</v>
      </c>
    </row>
    <row r="4" spans="2:14" x14ac:dyDescent="0.25">
      <c r="B4" s="82" t="s">
        <v>26</v>
      </c>
      <c r="C4" s="81" t="s">
        <v>25</v>
      </c>
      <c r="D4" s="81" t="s">
        <v>24</v>
      </c>
      <c r="F4" s="39"/>
      <c r="G4" s="40"/>
      <c r="H4" s="39"/>
      <c r="I4" s="39"/>
      <c r="J4" s="39"/>
      <c r="K4" s="39"/>
      <c r="L4" s="39"/>
      <c r="N4" s="77" t="s">
        <v>123</v>
      </c>
    </row>
    <row r="5" spans="2:14" x14ac:dyDescent="0.25">
      <c r="B5" s="12">
        <v>45071</v>
      </c>
      <c r="C5" s="14">
        <v>30887849.079219788</v>
      </c>
      <c r="D5" s="15">
        <v>12000000</v>
      </c>
      <c r="F5" s="42">
        <v>100000000</v>
      </c>
      <c r="G5" s="40"/>
      <c r="H5" s="39"/>
      <c r="I5" s="39"/>
      <c r="J5" s="39"/>
      <c r="K5" s="125">
        <v>1.0141</v>
      </c>
      <c r="L5" s="126">
        <v>17.338000000000001</v>
      </c>
    </row>
    <row r="6" spans="2:14" x14ac:dyDescent="0.25">
      <c r="B6" s="12">
        <v>45078</v>
      </c>
      <c r="C6" s="14">
        <v>40719506.810504526</v>
      </c>
      <c r="D6" s="15">
        <v>20000000</v>
      </c>
      <c r="F6" s="39"/>
      <c r="G6" s="40"/>
      <c r="H6" s="39"/>
      <c r="I6" s="39"/>
      <c r="J6" s="39"/>
      <c r="K6" s="39"/>
      <c r="L6" s="39"/>
    </row>
    <row r="7" spans="2:14" x14ac:dyDescent="0.25">
      <c r="B7" s="12">
        <v>45085</v>
      </c>
      <c r="C7" s="14">
        <v>56400732.701318517</v>
      </c>
      <c r="D7" s="15">
        <v>40000000</v>
      </c>
      <c r="F7" s="38" t="s">
        <v>26</v>
      </c>
      <c r="G7" s="38" t="s">
        <v>25</v>
      </c>
      <c r="H7" s="38" t="s">
        <v>24</v>
      </c>
      <c r="I7" s="38"/>
      <c r="J7" s="38"/>
      <c r="K7" s="38"/>
      <c r="L7" s="38"/>
    </row>
    <row r="8" spans="2:14" x14ac:dyDescent="0.25">
      <c r="B8" s="12">
        <v>45092</v>
      </c>
      <c r="C8" s="14">
        <v>87731429.334205076</v>
      </c>
      <c r="D8" s="15">
        <v>60000000</v>
      </c>
      <c r="F8" s="12">
        <f t="shared" ref="F8:F39" si="0">IF(OR(ISBLANK(B5),$D5&gt;=$F$5),NA(),B5)</f>
        <v>45071</v>
      </c>
      <c r="G8" s="11">
        <f t="shared" ref="G8:G39" si="1">IF(OR(ISBLANK(C5),$D5&gt;=$F$5),NA(),C5/1000000)</f>
        <v>30.887849079219787</v>
      </c>
      <c r="H8" s="11">
        <f t="shared" ref="H8:H39" si="2">IF(OR(ISBLANK(D5),$D5&gt;=$F$5),NA(),D5/1000000)</f>
        <v>12</v>
      </c>
      <c r="I8" s="11" t="e">
        <f t="shared" ref="I8:I11" si="3">IF(D5&gt;=$F$5,C5/1000000,NA())</f>
        <v>#N/A</v>
      </c>
      <c r="J8" s="11" t="e">
        <f t="shared" ref="J8:J11" si="4">IF(D5&gt;=$F$5,D5/1000000,NA())</f>
        <v>#N/A</v>
      </c>
      <c r="K8" s="124">
        <v>1</v>
      </c>
      <c r="L8" s="11">
        <f>$L$5+$K$5*K8</f>
        <v>18.3521</v>
      </c>
    </row>
    <row r="9" spans="2:14" x14ac:dyDescent="0.25">
      <c r="B9" s="12">
        <v>45099</v>
      </c>
      <c r="C9" s="14">
        <v>169147583.30609131</v>
      </c>
      <c r="D9" s="15">
        <v>100000000</v>
      </c>
      <c r="F9" s="12">
        <f t="shared" si="0"/>
        <v>45078</v>
      </c>
      <c r="G9" s="11">
        <f t="shared" si="1"/>
        <v>40.719506810504527</v>
      </c>
      <c r="H9" s="11">
        <f t="shared" si="2"/>
        <v>20</v>
      </c>
      <c r="I9" s="11" t="e">
        <f t="shared" si="3"/>
        <v>#N/A</v>
      </c>
      <c r="J9" s="11" t="e">
        <f t="shared" si="4"/>
        <v>#N/A</v>
      </c>
      <c r="K9" s="124">
        <v>2</v>
      </c>
      <c r="L9" s="11">
        <f t="shared" ref="L9:L72" si="5">$L$5+$K$5*K9</f>
        <v>19.366199999999999</v>
      </c>
    </row>
    <row r="10" spans="2:14" x14ac:dyDescent="0.25">
      <c r="B10" s="12">
        <v>45106</v>
      </c>
      <c r="C10" s="14">
        <v>19524423.123024959</v>
      </c>
      <c r="D10" s="15">
        <v>4000000</v>
      </c>
      <c r="F10" s="12">
        <f t="shared" si="0"/>
        <v>45085</v>
      </c>
      <c r="G10" s="11">
        <f t="shared" si="1"/>
        <v>56.400732701318518</v>
      </c>
      <c r="H10" s="11">
        <f t="shared" si="2"/>
        <v>40</v>
      </c>
      <c r="I10" s="11" t="e">
        <f t="shared" si="3"/>
        <v>#N/A</v>
      </c>
      <c r="J10" s="11" t="e">
        <f t="shared" si="4"/>
        <v>#N/A</v>
      </c>
      <c r="K10" s="124">
        <v>3</v>
      </c>
      <c r="L10" s="11">
        <f t="shared" si="5"/>
        <v>20.380300000000002</v>
      </c>
    </row>
    <row r="11" spans="2:14" x14ac:dyDescent="0.25">
      <c r="B11" s="12">
        <v>45113</v>
      </c>
      <c r="C11" s="14">
        <v>31154789.255748071</v>
      </c>
      <c r="D11" s="15">
        <v>12000000</v>
      </c>
      <c r="F11" s="12">
        <f t="shared" si="0"/>
        <v>45092</v>
      </c>
      <c r="G11" s="11">
        <f t="shared" si="1"/>
        <v>87.731429334205075</v>
      </c>
      <c r="H11" s="11">
        <f t="shared" si="2"/>
        <v>60</v>
      </c>
      <c r="I11" s="11" t="e">
        <f t="shared" si="3"/>
        <v>#N/A</v>
      </c>
      <c r="J11" s="11" t="e">
        <f t="shared" si="4"/>
        <v>#N/A</v>
      </c>
      <c r="K11" s="124">
        <v>4</v>
      </c>
      <c r="L11" s="11">
        <f t="shared" si="5"/>
        <v>21.394400000000001</v>
      </c>
    </row>
    <row r="12" spans="2:14" x14ac:dyDescent="0.25">
      <c r="B12" s="12">
        <v>45120</v>
      </c>
      <c r="C12" s="14">
        <v>40570238.531110391</v>
      </c>
      <c r="D12" s="15">
        <v>20000000</v>
      </c>
      <c r="F12" s="12" t="e">
        <f t="shared" si="0"/>
        <v>#N/A</v>
      </c>
      <c r="G12" s="11" t="e">
        <f t="shared" si="1"/>
        <v>#N/A</v>
      </c>
      <c r="H12" s="11" t="e">
        <f t="shared" si="2"/>
        <v>#N/A</v>
      </c>
      <c r="I12" s="11">
        <f>IF(D9&gt;=$F$5,C9/1000000,NA())</f>
        <v>169.14758330609132</v>
      </c>
      <c r="J12" s="11">
        <f>IF(D9&gt;=$F$5,D9/1000000,NA())</f>
        <v>100</v>
      </c>
      <c r="K12" s="124">
        <v>5</v>
      </c>
      <c r="L12" s="11">
        <f t="shared" si="5"/>
        <v>22.4085</v>
      </c>
    </row>
    <row r="13" spans="2:14" x14ac:dyDescent="0.25">
      <c r="B13" s="12">
        <v>45127</v>
      </c>
      <c r="C13" s="14">
        <v>60836962.188078903</v>
      </c>
      <c r="D13" s="15">
        <v>40000000</v>
      </c>
      <c r="F13" s="12">
        <f t="shared" si="0"/>
        <v>45106</v>
      </c>
      <c r="G13" s="11">
        <f t="shared" si="1"/>
        <v>19.52442312302496</v>
      </c>
      <c r="H13" s="11">
        <f t="shared" si="2"/>
        <v>4</v>
      </c>
      <c r="I13" s="11" t="e">
        <f t="shared" ref="I13:I76" si="6">IF(D10&gt;=$F$5,C10/1000000,NA())</f>
        <v>#N/A</v>
      </c>
      <c r="J13" s="11" t="e">
        <f t="shared" ref="J13:J76" si="7">IF(D10&gt;=$F$5,D10/1000000,NA())</f>
        <v>#N/A</v>
      </c>
      <c r="K13" s="124">
        <v>6</v>
      </c>
      <c r="L13" s="11">
        <f t="shared" si="5"/>
        <v>23.422600000000003</v>
      </c>
    </row>
    <row r="14" spans="2:14" x14ac:dyDescent="0.25">
      <c r="B14" s="12">
        <v>45134</v>
      </c>
      <c r="C14" s="14">
        <v>84639629.07268171</v>
      </c>
      <c r="D14" s="15">
        <v>60000000</v>
      </c>
      <c r="F14" s="12">
        <f t="shared" si="0"/>
        <v>45113</v>
      </c>
      <c r="G14" s="11">
        <f t="shared" si="1"/>
        <v>31.154789255748071</v>
      </c>
      <c r="H14" s="11">
        <f t="shared" si="2"/>
        <v>12</v>
      </c>
      <c r="I14" s="11" t="e">
        <f t="shared" si="6"/>
        <v>#N/A</v>
      </c>
      <c r="J14" s="11" t="e">
        <f t="shared" si="7"/>
        <v>#N/A</v>
      </c>
      <c r="K14" s="124">
        <v>7</v>
      </c>
      <c r="L14" s="11">
        <f t="shared" si="5"/>
        <v>24.436700000000002</v>
      </c>
    </row>
    <row r="15" spans="2:14" x14ac:dyDescent="0.25">
      <c r="B15" s="12">
        <v>45141</v>
      </c>
      <c r="C15" s="14">
        <v>156823488.17696416</v>
      </c>
      <c r="D15" s="15">
        <v>100000000</v>
      </c>
      <c r="F15" s="12">
        <f t="shared" si="0"/>
        <v>45120</v>
      </c>
      <c r="G15" s="11">
        <f t="shared" si="1"/>
        <v>40.570238531110391</v>
      </c>
      <c r="H15" s="11">
        <f t="shared" si="2"/>
        <v>20</v>
      </c>
      <c r="I15" s="11" t="e">
        <f t="shared" si="6"/>
        <v>#N/A</v>
      </c>
      <c r="J15" s="11" t="e">
        <f t="shared" si="7"/>
        <v>#N/A</v>
      </c>
      <c r="K15" s="124">
        <v>8</v>
      </c>
      <c r="L15" s="11">
        <f t="shared" si="5"/>
        <v>25.450800000000001</v>
      </c>
      <c r="N15" s="67"/>
    </row>
    <row r="16" spans="2:14" x14ac:dyDescent="0.25">
      <c r="B16" s="12">
        <v>45148</v>
      </c>
      <c r="C16" s="14">
        <v>20677774.436090227</v>
      </c>
      <c r="D16" s="15">
        <v>4000000</v>
      </c>
      <c r="F16" s="12">
        <f t="shared" si="0"/>
        <v>45127</v>
      </c>
      <c r="G16" s="11">
        <f t="shared" si="1"/>
        <v>60.8369621880789</v>
      </c>
      <c r="H16" s="11">
        <f t="shared" si="2"/>
        <v>40</v>
      </c>
      <c r="I16" s="11" t="e">
        <f t="shared" si="6"/>
        <v>#N/A</v>
      </c>
      <c r="J16" s="11" t="e">
        <f t="shared" si="7"/>
        <v>#N/A</v>
      </c>
      <c r="K16" s="124">
        <v>9</v>
      </c>
      <c r="L16" s="11">
        <f t="shared" si="5"/>
        <v>26.4649</v>
      </c>
      <c r="N16" s="13"/>
    </row>
    <row r="17" spans="2:14" x14ac:dyDescent="0.25">
      <c r="B17" s="12">
        <v>45155</v>
      </c>
      <c r="C17" s="14">
        <v>30840203.334423013</v>
      </c>
      <c r="D17" s="15">
        <v>12000000</v>
      </c>
      <c r="F17" s="12">
        <f t="shared" si="0"/>
        <v>45134</v>
      </c>
      <c r="G17" s="11">
        <f t="shared" si="1"/>
        <v>84.639629072681714</v>
      </c>
      <c r="H17" s="11">
        <f t="shared" si="2"/>
        <v>60</v>
      </c>
      <c r="I17" s="11" t="e">
        <f t="shared" si="6"/>
        <v>#N/A</v>
      </c>
      <c r="J17" s="11" t="e">
        <f t="shared" si="7"/>
        <v>#N/A</v>
      </c>
      <c r="K17" s="124">
        <v>10</v>
      </c>
      <c r="L17" s="11">
        <f t="shared" si="5"/>
        <v>27.478999999999999</v>
      </c>
      <c r="N17" s="13"/>
    </row>
    <row r="18" spans="2:14" x14ac:dyDescent="0.25">
      <c r="B18" s="12">
        <v>45162</v>
      </c>
      <c r="C18" s="14">
        <v>42995307.072027899</v>
      </c>
      <c r="D18" s="15">
        <v>20000000</v>
      </c>
      <c r="F18" s="12" t="e">
        <f t="shared" si="0"/>
        <v>#N/A</v>
      </c>
      <c r="G18" s="11" t="e">
        <f t="shared" si="1"/>
        <v>#N/A</v>
      </c>
      <c r="H18" s="11" t="e">
        <f t="shared" si="2"/>
        <v>#N/A</v>
      </c>
      <c r="I18" s="11">
        <f t="shared" si="6"/>
        <v>156.82348817696416</v>
      </c>
      <c r="J18" s="11">
        <f t="shared" si="7"/>
        <v>100</v>
      </c>
      <c r="K18" s="124">
        <v>11</v>
      </c>
      <c r="L18" s="11">
        <f t="shared" si="5"/>
        <v>28.493100000000002</v>
      </c>
      <c r="N18" s="13"/>
    </row>
    <row r="19" spans="2:14" x14ac:dyDescent="0.25">
      <c r="B19" s="12">
        <v>45169</v>
      </c>
      <c r="C19" s="14">
        <v>59703342.595619485</v>
      </c>
      <c r="D19" s="15">
        <v>40000000</v>
      </c>
      <c r="F19" s="12">
        <f t="shared" si="0"/>
        <v>45148</v>
      </c>
      <c r="G19" s="11">
        <f t="shared" si="1"/>
        <v>20.677774436090228</v>
      </c>
      <c r="H19" s="11">
        <f t="shared" si="2"/>
        <v>4</v>
      </c>
      <c r="I19" s="11" t="e">
        <f t="shared" si="6"/>
        <v>#N/A</v>
      </c>
      <c r="J19" s="11" t="e">
        <f t="shared" si="7"/>
        <v>#N/A</v>
      </c>
      <c r="K19" s="124">
        <v>12</v>
      </c>
      <c r="L19" s="11">
        <f t="shared" si="5"/>
        <v>29.507200000000001</v>
      </c>
      <c r="N19" s="13"/>
    </row>
    <row r="20" spans="2:14" x14ac:dyDescent="0.25">
      <c r="B20" s="12">
        <v>45176</v>
      </c>
      <c r="C20" s="14">
        <v>20222166.06734227</v>
      </c>
      <c r="D20" s="15">
        <v>4000000</v>
      </c>
      <c r="F20" s="12">
        <f t="shared" si="0"/>
        <v>45155</v>
      </c>
      <c r="G20" s="11">
        <f t="shared" si="1"/>
        <v>30.840203334423013</v>
      </c>
      <c r="H20" s="11">
        <f t="shared" si="2"/>
        <v>12</v>
      </c>
      <c r="I20" s="11" t="e">
        <f t="shared" si="6"/>
        <v>#N/A</v>
      </c>
      <c r="J20" s="11" t="e">
        <f t="shared" si="7"/>
        <v>#N/A</v>
      </c>
      <c r="K20" s="124">
        <v>13</v>
      </c>
      <c r="L20" s="11">
        <f t="shared" si="5"/>
        <v>30.5213</v>
      </c>
      <c r="N20" s="13"/>
    </row>
    <row r="21" spans="2:14" x14ac:dyDescent="0.25">
      <c r="B21" s="12">
        <v>45183</v>
      </c>
      <c r="C21" s="14">
        <v>32237415.277323749</v>
      </c>
      <c r="D21" s="15">
        <v>12000000</v>
      </c>
      <c r="F21" s="12">
        <f t="shared" si="0"/>
        <v>45162</v>
      </c>
      <c r="G21" s="11">
        <f t="shared" si="1"/>
        <v>42.995307072027899</v>
      </c>
      <c r="H21" s="11">
        <f t="shared" si="2"/>
        <v>20</v>
      </c>
      <c r="I21" s="11" t="e">
        <f t="shared" si="6"/>
        <v>#N/A</v>
      </c>
      <c r="J21" s="11" t="e">
        <f t="shared" si="7"/>
        <v>#N/A</v>
      </c>
      <c r="K21" s="124">
        <v>14</v>
      </c>
      <c r="L21" s="11">
        <f t="shared" si="5"/>
        <v>31.535400000000003</v>
      </c>
      <c r="N21" s="13"/>
    </row>
    <row r="22" spans="2:14" x14ac:dyDescent="0.25">
      <c r="B22" s="12">
        <v>45190</v>
      </c>
      <c r="C22" s="14">
        <v>41746812.901819773</v>
      </c>
      <c r="D22" s="15">
        <v>20000000</v>
      </c>
      <c r="F22" s="12">
        <f t="shared" si="0"/>
        <v>45169</v>
      </c>
      <c r="G22" s="11">
        <f t="shared" si="1"/>
        <v>59.703342595619482</v>
      </c>
      <c r="H22" s="11">
        <f t="shared" si="2"/>
        <v>40</v>
      </c>
      <c r="I22" s="11" t="e">
        <f t="shared" si="6"/>
        <v>#N/A</v>
      </c>
      <c r="J22" s="11" t="e">
        <f t="shared" si="7"/>
        <v>#N/A</v>
      </c>
      <c r="K22" s="124">
        <v>15</v>
      </c>
      <c r="L22" s="11">
        <f t="shared" si="5"/>
        <v>32.549500000000002</v>
      </c>
      <c r="N22" s="13"/>
    </row>
    <row r="23" spans="2:14" x14ac:dyDescent="0.25">
      <c r="B23" s="12">
        <v>45197</v>
      </c>
      <c r="C23" s="14">
        <v>56641298.899422474</v>
      </c>
      <c r="D23" s="15">
        <v>40000000</v>
      </c>
      <c r="F23" s="12">
        <f t="shared" si="0"/>
        <v>45176</v>
      </c>
      <c r="G23" s="11">
        <f t="shared" si="1"/>
        <v>20.222166067342272</v>
      </c>
      <c r="H23" s="11">
        <f t="shared" si="2"/>
        <v>4</v>
      </c>
      <c r="I23" s="11" t="e">
        <f t="shared" si="6"/>
        <v>#N/A</v>
      </c>
      <c r="J23" s="11" t="e">
        <f t="shared" si="7"/>
        <v>#N/A</v>
      </c>
      <c r="K23" s="124">
        <v>16</v>
      </c>
      <c r="L23" s="11">
        <f t="shared" si="5"/>
        <v>33.563600000000001</v>
      </c>
      <c r="N23" s="13"/>
    </row>
    <row r="24" spans="2:14" x14ac:dyDescent="0.25">
      <c r="B24" s="12">
        <v>45204</v>
      </c>
      <c r="C24" s="14">
        <v>85385106.4618067</v>
      </c>
      <c r="D24" s="15">
        <v>60000000</v>
      </c>
      <c r="F24" s="12">
        <f t="shared" si="0"/>
        <v>45183</v>
      </c>
      <c r="G24" s="11">
        <f t="shared" si="1"/>
        <v>32.237415277323748</v>
      </c>
      <c r="H24" s="11">
        <f t="shared" si="2"/>
        <v>12</v>
      </c>
      <c r="I24" s="11" t="e">
        <f t="shared" si="6"/>
        <v>#N/A</v>
      </c>
      <c r="J24" s="11" t="e">
        <f t="shared" si="7"/>
        <v>#N/A</v>
      </c>
      <c r="K24" s="124">
        <v>17</v>
      </c>
      <c r="L24" s="11">
        <f t="shared" si="5"/>
        <v>34.5777</v>
      </c>
      <c r="N24" s="13"/>
    </row>
    <row r="25" spans="2:14" x14ac:dyDescent="0.25">
      <c r="B25" s="12">
        <v>45211</v>
      </c>
      <c r="C25" s="14">
        <v>19942564.454614796</v>
      </c>
      <c r="D25" s="15">
        <v>4000000</v>
      </c>
      <c r="F25" s="12">
        <f t="shared" si="0"/>
        <v>45190</v>
      </c>
      <c r="G25" s="11">
        <f t="shared" si="1"/>
        <v>41.746812901819773</v>
      </c>
      <c r="H25" s="11">
        <f t="shared" si="2"/>
        <v>20</v>
      </c>
      <c r="I25" s="11" t="e">
        <f t="shared" si="6"/>
        <v>#N/A</v>
      </c>
      <c r="J25" s="11" t="e">
        <f t="shared" si="7"/>
        <v>#N/A</v>
      </c>
      <c r="K25" s="124">
        <v>18</v>
      </c>
      <c r="L25" s="11">
        <f t="shared" si="5"/>
        <v>35.591799999999999</v>
      </c>
      <c r="N25" s="13"/>
    </row>
    <row r="26" spans="2:14" x14ac:dyDescent="0.25">
      <c r="B26" s="12">
        <v>45218</v>
      </c>
      <c r="C26" s="14">
        <v>28337262.286150157</v>
      </c>
      <c r="D26" s="15">
        <v>12000000</v>
      </c>
      <c r="F26" s="12">
        <f t="shared" si="0"/>
        <v>45197</v>
      </c>
      <c r="G26" s="11">
        <f t="shared" si="1"/>
        <v>56.641298899422473</v>
      </c>
      <c r="H26" s="11">
        <f t="shared" si="2"/>
        <v>40</v>
      </c>
      <c r="I26" s="11" t="e">
        <f t="shared" si="6"/>
        <v>#N/A</v>
      </c>
      <c r="J26" s="11" t="e">
        <f t="shared" si="7"/>
        <v>#N/A</v>
      </c>
      <c r="K26" s="124">
        <v>19</v>
      </c>
      <c r="L26" s="11">
        <f t="shared" si="5"/>
        <v>36.605900000000005</v>
      </c>
      <c r="N26" s="13"/>
    </row>
    <row r="27" spans="2:14" x14ac:dyDescent="0.25">
      <c r="B27" s="12">
        <v>45225</v>
      </c>
      <c r="C27" s="14">
        <v>41102714.394682363</v>
      </c>
      <c r="D27" s="15">
        <v>20000000</v>
      </c>
      <c r="F27" s="12">
        <f t="shared" si="0"/>
        <v>45204</v>
      </c>
      <c r="G27" s="11">
        <f t="shared" si="1"/>
        <v>85.3851064618067</v>
      </c>
      <c r="H27" s="11">
        <f t="shared" si="2"/>
        <v>60</v>
      </c>
      <c r="I27" s="11" t="e">
        <f t="shared" si="6"/>
        <v>#N/A</v>
      </c>
      <c r="J27" s="11" t="e">
        <f t="shared" si="7"/>
        <v>#N/A</v>
      </c>
      <c r="K27" s="124">
        <v>20</v>
      </c>
      <c r="L27" s="11">
        <f t="shared" si="5"/>
        <v>37.620000000000005</v>
      </c>
      <c r="N27" s="13"/>
    </row>
    <row r="28" spans="2:14" x14ac:dyDescent="0.25">
      <c r="B28" s="12">
        <v>45232</v>
      </c>
      <c r="C28" s="14">
        <v>58296434.782608703</v>
      </c>
      <c r="D28" s="15">
        <v>40000000</v>
      </c>
      <c r="F28" s="12">
        <f t="shared" si="0"/>
        <v>45211</v>
      </c>
      <c r="G28" s="11">
        <f t="shared" si="1"/>
        <v>19.942564454614796</v>
      </c>
      <c r="H28" s="11">
        <f t="shared" si="2"/>
        <v>4</v>
      </c>
      <c r="I28" s="11" t="e">
        <f t="shared" si="6"/>
        <v>#N/A</v>
      </c>
      <c r="J28" s="11" t="e">
        <f t="shared" si="7"/>
        <v>#N/A</v>
      </c>
      <c r="K28" s="124">
        <v>21</v>
      </c>
      <c r="L28" s="11">
        <f t="shared" si="5"/>
        <v>38.634100000000004</v>
      </c>
      <c r="N28" s="13"/>
    </row>
    <row r="29" spans="2:14" x14ac:dyDescent="0.25">
      <c r="B29" s="12">
        <v>45239</v>
      </c>
      <c r="C29" s="14">
        <v>24487517.27143947</v>
      </c>
      <c r="D29" s="15">
        <v>8000000</v>
      </c>
      <c r="F29" s="12">
        <f t="shared" si="0"/>
        <v>45218</v>
      </c>
      <c r="G29" s="11">
        <f t="shared" si="1"/>
        <v>28.337262286150157</v>
      </c>
      <c r="H29" s="11">
        <f t="shared" si="2"/>
        <v>12</v>
      </c>
      <c r="I29" s="11" t="e">
        <f t="shared" si="6"/>
        <v>#N/A</v>
      </c>
      <c r="J29" s="11" t="e">
        <f t="shared" si="7"/>
        <v>#N/A</v>
      </c>
      <c r="K29" s="124">
        <v>22</v>
      </c>
      <c r="L29" s="11">
        <f t="shared" si="5"/>
        <v>39.648200000000003</v>
      </c>
      <c r="N29" s="13"/>
    </row>
    <row r="30" spans="2:14" x14ac:dyDescent="0.25">
      <c r="B30" s="12">
        <v>45246</v>
      </c>
      <c r="C30" s="14">
        <v>25126546.256946716</v>
      </c>
      <c r="D30" s="15">
        <v>8000000</v>
      </c>
      <c r="F30" s="12">
        <f t="shared" si="0"/>
        <v>45225</v>
      </c>
      <c r="G30" s="11">
        <f t="shared" si="1"/>
        <v>41.102714394682366</v>
      </c>
      <c r="H30" s="11">
        <f t="shared" si="2"/>
        <v>20</v>
      </c>
      <c r="I30" s="11" t="e">
        <f t="shared" si="6"/>
        <v>#N/A</v>
      </c>
      <c r="J30" s="11" t="e">
        <f t="shared" si="7"/>
        <v>#N/A</v>
      </c>
      <c r="K30" s="124">
        <v>23</v>
      </c>
      <c r="L30" s="11">
        <f t="shared" si="5"/>
        <v>40.662300000000002</v>
      </c>
      <c r="N30" s="13"/>
    </row>
    <row r="31" spans="2:14" x14ac:dyDescent="0.25">
      <c r="B31" s="12">
        <v>45253</v>
      </c>
      <c r="C31" s="14">
        <v>37695077.694235586</v>
      </c>
      <c r="D31" s="15">
        <v>20000000</v>
      </c>
      <c r="F31" s="12">
        <f t="shared" si="0"/>
        <v>45232</v>
      </c>
      <c r="G31" s="11">
        <f t="shared" si="1"/>
        <v>58.296434782608699</v>
      </c>
      <c r="H31" s="11">
        <f t="shared" si="2"/>
        <v>40</v>
      </c>
      <c r="I31" s="11" t="e">
        <f t="shared" si="6"/>
        <v>#N/A</v>
      </c>
      <c r="J31" s="11" t="e">
        <f t="shared" si="7"/>
        <v>#N/A</v>
      </c>
      <c r="K31" s="124">
        <v>24</v>
      </c>
      <c r="L31" s="11">
        <f t="shared" si="5"/>
        <v>41.676400000000001</v>
      </c>
      <c r="N31" s="13"/>
    </row>
    <row r="32" spans="2:14" x14ac:dyDescent="0.25">
      <c r="B32" s="12">
        <v>45260</v>
      </c>
      <c r="C32" s="14">
        <v>23402584.504740112</v>
      </c>
      <c r="D32" s="15">
        <v>8000000</v>
      </c>
      <c r="F32" s="12">
        <f t="shared" si="0"/>
        <v>45239</v>
      </c>
      <c r="G32" s="11">
        <f t="shared" si="1"/>
        <v>24.487517271439469</v>
      </c>
      <c r="H32" s="11">
        <f t="shared" si="2"/>
        <v>8</v>
      </c>
      <c r="I32" s="11" t="e">
        <f t="shared" si="6"/>
        <v>#N/A</v>
      </c>
      <c r="J32" s="11" t="e">
        <f t="shared" si="7"/>
        <v>#N/A</v>
      </c>
      <c r="K32" s="124">
        <v>25</v>
      </c>
      <c r="L32" s="11">
        <f t="shared" si="5"/>
        <v>42.6905</v>
      </c>
      <c r="N32" s="13"/>
    </row>
    <row r="33" spans="2:14" x14ac:dyDescent="0.25">
      <c r="B33" s="12">
        <v>45267</v>
      </c>
      <c r="C33" s="14">
        <v>34302016.781083152</v>
      </c>
      <c r="D33" s="15">
        <v>20000000</v>
      </c>
      <c r="F33" s="12">
        <f t="shared" si="0"/>
        <v>45246</v>
      </c>
      <c r="G33" s="11">
        <f t="shared" si="1"/>
        <v>25.126546256946718</v>
      </c>
      <c r="H33" s="11">
        <f t="shared" si="2"/>
        <v>8</v>
      </c>
      <c r="I33" s="11" t="e">
        <f t="shared" si="6"/>
        <v>#N/A</v>
      </c>
      <c r="J33" s="11" t="e">
        <f t="shared" si="7"/>
        <v>#N/A</v>
      </c>
      <c r="K33" s="124">
        <v>26</v>
      </c>
      <c r="L33" s="11">
        <f t="shared" si="5"/>
        <v>43.704599999999999</v>
      </c>
      <c r="N33" s="13"/>
    </row>
    <row r="34" spans="2:14" x14ac:dyDescent="0.25">
      <c r="B34" s="12">
        <v>45274</v>
      </c>
      <c r="C34" s="14">
        <v>41358095.020159096</v>
      </c>
      <c r="D34" s="15">
        <v>30000000</v>
      </c>
      <c r="F34" s="12">
        <f t="shared" si="0"/>
        <v>45253</v>
      </c>
      <c r="G34" s="11">
        <f t="shared" si="1"/>
        <v>37.695077694235586</v>
      </c>
      <c r="H34" s="11">
        <f t="shared" si="2"/>
        <v>20</v>
      </c>
      <c r="I34" s="11" t="e">
        <f t="shared" si="6"/>
        <v>#N/A</v>
      </c>
      <c r="J34" s="11" t="e">
        <f t="shared" si="7"/>
        <v>#N/A</v>
      </c>
      <c r="K34" s="124">
        <v>27</v>
      </c>
      <c r="L34" s="11">
        <f t="shared" si="5"/>
        <v>44.718699999999998</v>
      </c>
      <c r="N34" s="13"/>
    </row>
    <row r="35" spans="2:14" x14ac:dyDescent="0.25">
      <c r="B35" s="12">
        <v>45281</v>
      </c>
      <c r="C35" s="14">
        <v>23530717.990628749</v>
      </c>
      <c r="D35" s="15">
        <v>8000000</v>
      </c>
      <c r="F35" s="12">
        <f t="shared" si="0"/>
        <v>45260</v>
      </c>
      <c r="G35" s="11">
        <f t="shared" si="1"/>
        <v>23.402584504740112</v>
      </c>
      <c r="H35" s="11">
        <f t="shared" si="2"/>
        <v>8</v>
      </c>
      <c r="I35" s="11" t="e">
        <f t="shared" si="6"/>
        <v>#N/A</v>
      </c>
      <c r="J35" s="11" t="e">
        <f t="shared" si="7"/>
        <v>#N/A</v>
      </c>
      <c r="K35" s="124">
        <v>28</v>
      </c>
      <c r="L35" s="11">
        <f t="shared" si="5"/>
        <v>45.732799999999997</v>
      </c>
      <c r="N35" s="13"/>
    </row>
    <row r="36" spans="2:14" x14ac:dyDescent="0.25">
      <c r="B36" s="12">
        <v>45288</v>
      </c>
      <c r="C36" s="14">
        <v>34197531.001416586</v>
      </c>
      <c r="D36" s="15">
        <v>20000000</v>
      </c>
      <c r="F36" s="12">
        <f t="shared" si="0"/>
        <v>45267</v>
      </c>
      <c r="G36" s="11">
        <f t="shared" si="1"/>
        <v>34.302016781083154</v>
      </c>
      <c r="H36" s="11">
        <f t="shared" si="2"/>
        <v>20</v>
      </c>
      <c r="I36" s="11" t="e">
        <f t="shared" si="6"/>
        <v>#N/A</v>
      </c>
      <c r="J36" s="11" t="e">
        <f t="shared" si="7"/>
        <v>#N/A</v>
      </c>
      <c r="K36" s="124">
        <v>29</v>
      </c>
      <c r="L36" s="11">
        <f t="shared" si="5"/>
        <v>46.746899999999997</v>
      </c>
      <c r="N36" s="13"/>
    </row>
    <row r="37" spans="2:14" x14ac:dyDescent="0.25">
      <c r="B37" s="12">
        <v>45295</v>
      </c>
      <c r="C37" s="14">
        <v>45025587.337910004</v>
      </c>
      <c r="D37" s="15">
        <v>30000000</v>
      </c>
      <c r="F37" s="12">
        <f t="shared" si="0"/>
        <v>45274</v>
      </c>
      <c r="G37" s="11">
        <f t="shared" si="1"/>
        <v>41.358095020159098</v>
      </c>
      <c r="H37" s="11">
        <f t="shared" si="2"/>
        <v>30</v>
      </c>
      <c r="I37" s="11" t="e">
        <f t="shared" si="6"/>
        <v>#N/A</v>
      </c>
      <c r="J37" s="11" t="e">
        <f t="shared" si="7"/>
        <v>#N/A</v>
      </c>
      <c r="K37" s="124">
        <v>30</v>
      </c>
      <c r="L37" s="11">
        <f t="shared" si="5"/>
        <v>47.761000000000003</v>
      </c>
      <c r="N37" s="13"/>
    </row>
    <row r="38" spans="2:14" x14ac:dyDescent="0.25">
      <c r="B38" s="12">
        <v>45302</v>
      </c>
      <c r="C38" s="14">
        <v>67199002.942137957</v>
      </c>
      <c r="D38" s="15">
        <v>50000000</v>
      </c>
      <c r="F38" s="12">
        <f t="shared" si="0"/>
        <v>45281</v>
      </c>
      <c r="G38" s="11">
        <f t="shared" si="1"/>
        <v>23.530717990628748</v>
      </c>
      <c r="H38" s="11">
        <f t="shared" si="2"/>
        <v>8</v>
      </c>
      <c r="I38" s="11" t="e">
        <f t="shared" si="6"/>
        <v>#N/A</v>
      </c>
      <c r="J38" s="11" t="e">
        <f t="shared" si="7"/>
        <v>#N/A</v>
      </c>
      <c r="K38" s="124">
        <v>31</v>
      </c>
      <c r="L38" s="11">
        <f t="shared" si="5"/>
        <v>48.775100000000002</v>
      </c>
      <c r="N38" s="13"/>
    </row>
    <row r="39" spans="2:14" x14ac:dyDescent="0.25">
      <c r="B39" s="12">
        <v>45309</v>
      </c>
      <c r="C39" s="14">
        <v>155083141.44055796</v>
      </c>
      <c r="D39" s="15">
        <v>100000000</v>
      </c>
      <c r="F39" s="12">
        <f t="shared" si="0"/>
        <v>45288</v>
      </c>
      <c r="G39" s="11">
        <f t="shared" si="1"/>
        <v>34.197531001416586</v>
      </c>
      <c r="H39" s="11">
        <f t="shared" si="2"/>
        <v>20</v>
      </c>
      <c r="I39" s="11" t="e">
        <f t="shared" si="6"/>
        <v>#N/A</v>
      </c>
      <c r="J39" s="11" t="e">
        <f t="shared" si="7"/>
        <v>#N/A</v>
      </c>
      <c r="K39" s="124">
        <v>32</v>
      </c>
      <c r="L39" s="11">
        <f t="shared" si="5"/>
        <v>49.789200000000001</v>
      </c>
      <c r="N39" s="13"/>
    </row>
    <row r="40" spans="2:14" x14ac:dyDescent="0.25">
      <c r="B40" s="12">
        <v>45316</v>
      </c>
      <c r="C40" s="14">
        <v>224519188.18786097</v>
      </c>
      <c r="D40" s="15">
        <v>150000000</v>
      </c>
      <c r="F40" s="12">
        <f t="shared" ref="F40:F71" si="8">IF(OR(ISBLANK(B37),$D37&gt;=$F$5),NA(),B37)</f>
        <v>45295</v>
      </c>
      <c r="G40" s="11">
        <f t="shared" ref="G40:G71" si="9">IF(OR(ISBLANK(C37),$D37&gt;=$F$5),NA(),C37/1000000)</f>
        <v>45.025587337910004</v>
      </c>
      <c r="H40" s="11">
        <f t="shared" ref="H40:H71" si="10">IF(OR(ISBLANK(D37),$D37&gt;=$F$5),NA(),D37/1000000)</f>
        <v>30</v>
      </c>
      <c r="I40" s="11" t="e">
        <f t="shared" si="6"/>
        <v>#N/A</v>
      </c>
      <c r="J40" s="11" t="e">
        <f t="shared" si="7"/>
        <v>#N/A</v>
      </c>
      <c r="K40" s="124">
        <v>33</v>
      </c>
      <c r="L40" s="11">
        <f t="shared" si="5"/>
        <v>50.8033</v>
      </c>
      <c r="N40" s="13"/>
    </row>
    <row r="41" spans="2:14" x14ac:dyDescent="0.25">
      <c r="B41" s="12">
        <v>45323</v>
      </c>
      <c r="C41" s="14">
        <v>305330546.25694674</v>
      </c>
      <c r="D41" s="15">
        <v>200000000</v>
      </c>
      <c r="F41" s="12">
        <f t="shared" si="8"/>
        <v>45302</v>
      </c>
      <c r="G41" s="11">
        <f t="shared" si="9"/>
        <v>67.199002942137952</v>
      </c>
      <c r="H41" s="11">
        <f t="shared" si="10"/>
        <v>50</v>
      </c>
      <c r="I41" s="11" t="e">
        <f t="shared" si="6"/>
        <v>#N/A</v>
      </c>
      <c r="J41" s="11" t="e">
        <f t="shared" si="7"/>
        <v>#N/A</v>
      </c>
      <c r="K41" s="124">
        <v>34</v>
      </c>
      <c r="L41" s="11">
        <f t="shared" si="5"/>
        <v>51.817399999999999</v>
      </c>
      <c r="N41" s="13"/>
    </row>
    <row r="42" spans="2:14" x14ac:dyDescent="0.25">
      <c r="B42" s="12">
        <v>45330</v>
      </c>
      <c r="C42" s="14">
        <v>22032789.03781192</v>
      </c>
      <c r="D42" s="15">
        <v>4000000</v>
      </c>
      <c r="F42" s="12" t="e">
        <f t="shared" si="8"/>
        <v>#N/A</v>
      </c>
      <c r="G42" s="11" t="e">
        <f t="shared" si="9"/>
        <v>#N/A</v>
      </c>
      <c r="H42" s="11" t="e">
        <f t="shared" si="10"/>
        <v>#N/A</v>
      </c>
      <c r="I42" s="11">
        <f t="shared" si="6"/>
        <v>155.08314144055797</v>
      </c>
      <c r="J42" s="11">
        <f t="shared" si="7"/>
        <v>100</v>
      </c>
      <c r="K42" s="124">
        <v>35</v>
      </c>
      <c r="L42" s="11">
        <f t="shared" si="5"/>
        <v>52.831499999999998</v>
      </c>
      <c r="N42" s="13"/>
    </row>
    <row r="43" spans="2:14" x14ac:dyDescent="0.25">
      <c r="B43" s="12">
        <v>45337</v>
      </c>
      <c r="C43" s="14">
        <v>21269048.05491991</v>
      </c>
      <c r="D43" s="15">
        <v>4000000</v>
      </c>
      <c r="F43" s="12" t="e">
        <f t="shared" si="8"/>
        <v>#N/A</v>
      </c>
      <c r="G43" s="11" t="e">
        <f t="shared" si="9"/>
        <v>#N/A</v>
      </c>
      <c r="H43" s="11" t="e">
        <f t="shared" si="10"/>
        <v>#N/A</v>
      </c>
      <c r="I43" s="11">
        <f t="shared" si="6"/>
        <v>224.51918818786098</v>
      </c>
      <c r="J43" s="11">
        <f t="shared" si="7"/>
        <v>150</v>
      </c>
      <c r="K43" s="124">
        <v>36</v>
      </c>
      <c r="L43" s="11">
        <f t="shared" si="5"/>
        <v>53.845599999999997</v>
      </c>
      <c r="N43" s="13"/>
    </row>
    <row r="44" spans="2:14" x14ac:dyDescent="0.25">
      <c r="B44" s="12">
        <v>45344</v>
      </c>
      <c r="C44" s="14">
        <v>20955573.934837092</v>
      </c>
      <c r="D44" s="15">
        <v>4000000</v>
      </c>
      <c r="F44" s="12" t="e">
        <f t="shared" si="8"/>
        <v>#N/A</v>
      </c>
      <c r="G44" s="11" t="e">
        <f t="shared" si="9"/>
        <v>#N/A</v>
      </c>
      <c r="H44" s="11" t="e">
        <f t="shared" si="10"/>
        <v>#N/A</v>
      </c>
      <c r="I44" s="11">
        <f t="shared" si="6"/>
        <v>305.33054625694672</v>
      </c>
      <c r="J44" s="11">
        <f t="shared" si="7"/>
        <v>200</v>
      </c>
      <c r="K44" s="124">
        <v>37</v>
      </c>
      <c r="L44" s="11">
        <f t="shared" si="5"/>
        <v>54.859700000000004</v>
      </c>
      <c r="N44" s="13"/>
    </row>
    <row r="45" spans="2:14" x14ac:dyDescent="0.25">
      <c r="B45" s="12">
        <v>45351</v>
      </c>
      <c r="C45" s="14">
        <v>33186050.670153648</v>
      </c>
      <c r="D45" s="15">
        <v>12000000</v>
      </c>
      <c r="F45" s="12">
        <f t="shared" si="8"/>
        <v>45330</v>
      </c>
      <c r="G45" s="11">
        <f t="shared" si="9"/>
        <v>22.03278903781192</v>
      </c>
      <c r="H45" s="11">
        <f t="shared" si="10"/>
        <v>4</v>
      </c>
      <c r="I45" s="11" t="e">
        <f t="shared" si="6"/>
        <v>#N/A</v>
      </c>
      <c r="J45" s="11" t="e">
        <f t="shared" si="7"/>
        <v>#N/A</v>
      </c>
      <c r="K45" s="124">
        <v>38</v>
      </c>
      <c r="L45" s="11">
        <f t="shared" si="5"/>
        <v>55.873800000000003</v>
      </c>
      <c r="N45" s="13"/>
    </row>
    <row r="46" spans="2:14" x14ac:dyDescent="0.25">
      <c r="B46" s="12">
        <v>45358</v>
      </c>
      <c r="C46" s="14">
        <v>40790859.104282446</v>
      </c>
      <c r="D46" s="15">
        <v>20000000</v>
      </c>
      <c r="F46" s="12">
        <f t="shared" si="8"/>
        <v>45337</v>
      </c>
      <c r="G46" s="11">
        <f t="shared" si="9"/>
        <v>21.26904805491991</v>
      </c>
      <c r="H46" s="11">
        <f t="shared" si="10"/>
        <v>4</v>
      </c>
      <c r="I46" s="11" t="e">
        <f t="shared" si="6"/>
        <v>#N/A</v>
      </c>
      <c r="J46" s="11" t="e">
        <f t="shared" si="7"/>
        <v>#N/A</v>
      </c>
      <c r="K46" s="124">
        <v>39</v>
      </c>
      <c r="L46" s="11">
        <f t="shared" si="5"/>
        <v>56.887900000000002</v>
      </c>
      <c r="N46" s="13"/>
    </row>
    <row r="47" spans="2:14" x14ac:dyDescent="0.25">
      <c r="B47" s="12">
        <v>45365</v>
      </c>
      <c r="C47" s="14">
        <v>52908046.96523919</v>
      </c>
      <c r="D47" s="15">
        <v>40000000</v>
      </c>
      <c r="F47" s="12">
        <f t="shared" si="8"/>
        <v>45344</v>
      </c>
      <c r="G47" s="11">
        <f t="shared" si="9"/>
        <v>20.955573934837091</v>
      </c>
      <c r="H47" s="11">
        <f t="shared" si="10"/>
        <v>4</v>
      </c>
      <c r="I47" s="11" t="e">
        <f t="shared" si="6"/>
        <v>#N/A</v>
      </c>
      <c r="J47" s="11" t="e">
        <f t="shared" si="7"/>
        <v>#N/A</v>
      </c>
      <c r="K47" s="124">
        <v>40</v>
      </c>
      <c r="L47" s="11">
        <f t="shared" si="5"/>
        <v>57.902000000000001</v>
      </c>
      <c r="N47" s="13"/>
    </row>
    <row r="48" spans="2:14" x14ac:dyDescent="0.25">
      <c r="B48" s="12">
        <v>45372</v>
      </c>
      <c r="C48" s="14">
        <v>19763648.7959028</v>
      </c>
      <c r="D48" s="15">
        <v>4000000</v>
      </c>
      <c r="F48" s="12">
        <f t="shared" si="8"/>
        <v>45351</v>
      </c>
      <c r="G48" s="11">
        <f t="shared" si="9"/>
        <v>33.186050670153648</v>
      </c>
      <c r="H48" s="11">
        <f t="shared" si="10"/>
        <v>12</v>
      </c>
      <c r="I48" s="11" t="e">
        <f t="shared" si="6"/>
        <v>#N/A</v>
      </c>
      <c r="J48" s="11" t="e">
        <f t="shared" si="7"/>
        <v>#N/A</v>
      </c>
      <c r="K48" s="124">
        <v>41</v>
      </c>
      <c r="L48" s="11">
        <f t="shared" si="5"/>
        <v>58.9161</v>
      </c>
      <c r="N48" s="13"/>
    </row>
    <row r="49" spans="2:14" x14ac:dyDescent="0.25">
      <c r="B49" s="12">
        <v>45379</v>
      </c>
      <c r="C49" s="14">
        <v>28780959.790781304</v>
      </c>
      <c r="D49" s="15">
        <v>12000000</v>
      </c>
      <c r="F49" s="12">
        <f t="shared" si="8"/>
        <v>45358</v>
      </c>
      <c r="G49" s="11">
        <f t="shared" si="9"/>
        <v>40.790859104282447</v>
      </c>
      <c r="H49" s="11">
        <f t="shared" si="10"/>
        <v>20</v>
      </c>
      <c r="I49" s="11" t="e">
        <f t="shared" si="6"/>
        <v>#N/A</v>
      </c>
      <c r="J49" s="11" t="e">
        <f t="shared" si="7"/>
        <v>#N/A</v>
      </c>
      <c r="K49" s="124">
        <v>42</v>
      </c>
      <c r="L49" s="11">
        <f t="shared" si="5"/>
        <v>59.930199999999999</v>
      </c>
      <c r="N49" s="13"/>
    </row>
    <row r="50" spans="2:14" x14ac:dyDescent="0.25">
      <c r="B50" s="12">
        <v>45386</v>
      </c>
      <c r="C50" s="14">
        <v>33664848.752315573</v>
      </c>
      <c r="D50" s="15">
        <v>20000000</v>
      </c>
      <c r="F50" s="12">
        <f t="shared" si="8"/>
        <v>45365</v>
      </c>
      <c r="G50" s="11">
        <f t="shared" si="9"/>
        <v>52.908046965239187</v>
      </c>
      <c r="H50" s="11">
        <f t="shared" si="10"/>
        <v>40</v>
      </c>
      <c r="I50" s="11" t="e">
        <f t="shared" si="6"/>
        <v>#N/A</v>
      </c>
      <c r="J50" s="11" t="e">
        <f t="shared" si="7"/>
        <v>#N/A</v>
      </c>
      <c r="K50" s="124">
        <v>43</v>
      </c>
      <c r="L50" s="11">
        <f t="shared" si="5"/>
        <v>60.944299999999998</v>
      </c>
      <c r="N50" s="13"/>
    </row>
    <row r="51" spans="2:14" x14ac:dyDescent="0.25">
      <c r="B51" s="12">
        <v>45393</v>
      </c>
      <c r="C51" s="14">
        <v>19709566.198103961</v>
      </c>
      <c r="D51" s="15">
        <v>4000000</v>
      </c>
      <c r="F51" s="12">
        <f t="shared" si="8"/>
        <v>45372</v>
      </c>
      <c r="G51" s="11">
        <f t="shared" si="9"/>
        <v>19.7636487959028</v>
      </c>
      <c r="H51" s="11">
        <f t="shared" si="10"/>
        <v>4</v>
      </c>
      <c r="I51" s="11" t="e">
        <f t="shared" si="6"/>
        <v>#N/A</v>
      </c>
      <c r="J51" s="11" t="e">
        <f t="shared" si="7"/>
        <v>#N/A</v>
      </c>
      <c r="K51" s="124">
        <v>44</v>
      </c>
      <c r="L51" s="11">
        <f t="shared" si="5"/>
        <v>61.958400000000005</v>
      </c>
      <c r="N51" s="13"/>
    </row>
    <row r="52" spans="2:14" x14ac:dyDescent="0.25">
      <c r="B52" s="12">
        <v>45400</v>
      </c>
      <c r="C52" s="14">
        <v>30895473.575242456</v>
      </c>
      <c r="D52" s="15">
        <v>12000000</v>
      </c>
      <c r="F52" s="12">
        <f t="shared" si="8"/>
        <v>45379</v>
      </c>
      <c r="G52" s="11">
        <f t="shared" si="9"/>
        <v>28.780959790781303</v>
      </c>
      <c r="H52" s="11">
        <f t="shared" si="10"/>
        <v>12</v>
      </c>
      <c r="I52" s="11" t="e">
        <f t="shared" si="6"/>
        <v>#N/A</v>
      </c>
      <c r="J52" s="11" t="e">
        <f t="shared" si="7"/>
        <v>#N/A</v>
      </c>
      <c r="K52" s="124">
        <v>45</v>
      </c>
      <c r="L52" s="11">
        <f t="shared" si="5"/>
        <v>62.972500000000004</v>
      </c>
      <c r="N52" s="13"/>
    </row>
    <row r="53" spans="2:14" x14ac:dyDescent="0.25">
      <c r="B53" s="12">
        <v>45407</v>
      </c>
      <c r="C53" s="14">
        <v>37208673.640623301</v>
      </c>
      <c r="D53" s="15">
        <v>20000000</v>
      </c>
      <c r="F53" s="12">
        <f t="shared" si="8"/>
        <v>45386</v>
      </c>
      <c r="G53" s="11">
        <f t="shared" si="9"/>
        <v>33.664848752315571</v>
      </c>
      <c r="H53" s="11">
        <f t="shared" si="10"/>
        <v>20</v>
      </c>
      <c r="I53" s="11" t="e">
        <f t="shared" si="6"/>
        <v>#N/A</v>
      </c>
      <c r="J53" s="11" t="e">
        <f t="shared" si="7"/>
        <v>#N/A</v>
      </c>
      <c r="K53" s="124">
        <v>46</v>
      </c>
      <c r="L53" s="11">
        <f t="shared" si="5"/>
        <v>63.986600000000003</v>
      </c>
      <c r="N53" s="13"/>
    </row>
    <row r="54" spans="2:14" x14ac:dyDescent="0.25">
      <c r="B54" s="12">
        <v>45414</v>
      </c>
      <c r="C54" s="14">
        <v>54983203.443391085</v>
      </c>
      <c r="D54" s="15">
        <v>40000000</v>
      </c>
      <c r="F54" s="12">
        <f t="shared" si="8"/>
        <v>45393</v>
      </c>
      <c r="G54" s="11">
        <f t="shared" si="9"/>
        <v>19.70956619810396</v>
      </c>
      <c r="H54" s="11">
        <f t="shared" si="10"/>
        <v>4</v>
      </c>
      <c r="I54" s="11" t="e">
        <f t="shared" si="6"/>
        <v>#N/A</v>
      </c>
      <c r="J54" s="11" t="e">
        <f t="shared" si="7"/>
        <v>#N/A</v>
      </c>
      <c r="K54" s="124">
        <v>47</v>
      </c>
      <c r="L54" s="11">
        <f t="shared" si="5"/>
        <v>65.000699999999995</v>
      </c>
      <c r="N54" s="13"/>
    </row>
    <row r="55" spans="2:14" x14ac:dyDescent="0.25">
      <c r="B55" s="12">
        <v>45421</v>
      </c>
      <c r="C55" s="14">
        <v>77952955.649994567</v>
      </c>
      <c r="D55" s="15">
        <v>60000000</v>
      </c>
      <c r="F55" s="12">
        <f t="shared" si="8"/>
        <v>45400</v>
      </c>
      <c r="G55" s="11">
        <f t="shared" si="9"/>
        <v>30.895473575242455</v>
      </c>
      <c r="H55" s="11">
        <f t="shared" si="10"/>
        <v>12</v>
      </c>
      <c r="I55" s="11" t="e">
        <f t="shared" si="6"/>
        <v>#N/A</v>
      </c>
      <c r="J55" s="11" t="e">
        <f t="shared" si="7"/>
        <v>#N/A</v>
      </c>
      <c r="K55" s="124">
        <v>48</v>
      </c>
      <c r="L55" s="11">
        <f t="shared" si="5"/>
        <v>66.014800000000008</v>
      </c>
      <c r="N55" s="13"/>
    </row>
    <row r="56" spans="2:14" x14ac:dyDescent="0.25">
      <c r="B56" s="12">
        <v>45428</v>
      </c>
      <c r="C56" s="14">
        <v>140290075.73281032</v>
      </c>
      <c r="D56" s="15">
        <v>100000000</v>
      </c>
      <c r="F56" s="12">
        <f t="shared" si="8"/>
        <v>45407</v>
      </c>
      <c r="G56" s="11">
        <f t="shared" si="9"/>
        <v>37.208673640623303</v>
      </c>
      <c r="H56" s="11">
        <f t="shared" si="10"/>
        <v>20</v>
      </c>
      <c r="I56" s="11" t="e">
        <f t="shared" si="6"/>
        <v>#N/A</v>
      </c>
      <c r="J56" s="11" t="e">
        <f t="shared" si="7"/>
        <v>#N/A</v>
      </c>
      <c r="K56" s="124">
        <v>49</v>
      </c>
      <c r="L56" s="11">
        <f t="shared" si="5"/>
        <v>67.028899999999993</v>
      </c>
      <c r="N56" s="13"/>
    </row>
    <row r="57" spans="2:14" x14ac:dyDescent="0.25">
      <c r="B57" s="12">
        <v>45435</v>
      </c>
      <c r="C57" s="14">
        <v>194704917.18426505</v>
      </c>
      <c r="D57" s="15">
        <v>150000000</v>
      </c>
      <c r="F57" s="12">
        <f t="shared" si="8"/>
        <v>45414</v>
      </c>
      <c r="G57" s="11">
        <f t="shared" si="9"/>
        <v>54.983203443391083</v>
      </c>
      <c r="H57" s="11">
        <f t="shared" si="10"/>
        <v>40</v>
      </c>
      <c r="I57" s="11" t="e">
        <f t="shared" si="6"/>
        <v>#N/A</v>
      </c>
      <c r="J57" s="11" t="e">
        <f t="shared" si="7"/>
        <v>#N/A</v>
      </c>
      <c r="K57" s="124">
        <v>50</v>
      </c>
      <c r="L57" s="11">
        <f t="shared" si="5"/>
        <v>68.043000000000006</v>
      </c>
      <c r="N57" s="13"/>
    </row>
    <row r="58" spans="2:14" x14ac:dyDescent="0.25">
      <c r="B58" s="2">
        <v>45442</v>
      </c>
      <c r="C58" s="1">
        <v>21155360.575351421</v>
      </c>
      <c r="D58" s="1">
        <v>4000000</v>
      </c>
      <c r="F58" s="12">
        <f t="shared" si="8"/>
        <v>45421</v>
      </c>
      <c r="G58" s="11">
        <f t="shared" si="9"/>
        <v>77.952955649994564</v>
      </c>
      <c r="H58" s="11">
        <f t="shared" si="10"/>
        <v>60</v>
      </c>
      <c r="I58" s="11" t="e">
        <f t="shared" si="6"/>
        <v>#N/A</v>
      </c>
      <c r="J58" s="11" t="e">
        <f t="shared" si="7"/>
        <v>#N/A</v>
      </c>
      <c r="K58" s="124">
        <v>51</v>
      </c>
      <c r="L58" s="11">
        <f t="shared" si="5"/>
        <v>69.057099999999991</v>
      </c>
      <c r="N58" s="13"/>
    </row>
    <row r="59" spans="2:14" x14ac:dyDescent="0.25">
      <c r="B59" s="2">
        <v>45449</v>
      </c>
      <c r="C59" s="1">
        <v>32649363.626457453</v>
      </c>
      <c r="D59" s="1">
        <v>12000000</v>
      </c>
      <c r="F59" s="12" t="e">
        <f t="shared" si="8"/>
        <v>#N/A</v>
      </c>
      <c r="G59" s="11" t="e">
        <f t="shared" si="9"/>
        <v>#N/A</v>
      </c>
      <c r="H59" s="11" t="e">
        <f t="shared" si="10"/>
        <v>#N/A</v>
      </c>
      <c r="I59" s="11">
        <f t="shared" si="6"/>
        <v>140.29007573281032</v>
      </c>
      <c r="J59" s="11">
        <f t="shared" si="7"/>
        <v>100</v>
      </c>
      <c r="K59" s="124">
        <v>52</v>
      </c>
      <c r="L59" s="11">
        <f t="shared" si="5"/>
        <v>70.071200000000005</v>
      </c>
      <c r="N59" s="13"/>
    </row>
    <row r="60" spans="2:14" x14ac:dyDescent="0.25">
      <c r="B60" s="2">
        <v>45456</v>
      </c>
      <c r="C60" s="1">
        <v>41109275.79819113</v>
      </c>
      <c r="D60" s="1">
        <v>20000000</v>
      </c>
      <c r="F60" s="12" t="e">
        <f t="shared" si="8"/>
        <v>#N/A</v>
      </c>
      <c r="G60" s="11" t="e">
        <f t="shared" si="9"/>
        <v>#N/A</v>
      </c>
      <c r="H60" s="11" t="e">
        <f t="shared" si="10"/>
        <v>#N/A</v>
      </c>
      <c r="I60" s="11">
        <f t="shared" si="6"/>
        <v>194.70491718426504</v>
      </c>
      <c r="J60" s="11">
        <f t="shared" si="7"/>
        <v>150</v>
      </c>
      <c r="K60" s="124">
        <v>53</v>
      </c>
      <c r="L60" s="11">
        <f t="shared" si="5"/>
        <v>71.085300000000004</v>
      </c>
      <c r="N60" s="13"/>
    </row>
    <row r="61" spans="2:14" x14ac:dyDescent="0.25">
      <c r="B61" s="2">
        <v>45463</v>
      </c>
      <c r="C61" s="1">
        <v>55077120.627656102</v>
      </c>
      <c r="D61" s="1">
        <v>40000000</v>
      </c>
      <c r="F61" s="12">
        <f t="shared" si="8"/>
        <v>45442</v>
      </c>
      <c r="G61" s="11">
        <f t="shared" si="9"/>
        <v>21.15536057535142</v>
      </c>
      <c r="H61" s="11">
        <f t="shared" si="10"/>
        <v>4</v>
      </c>
      <c r="I61" s="11" t="e">
        <f t="shared" si="6"/>
        <v>#N/A</v>
      </c>
      <c r="J61" s="11" t="e">
        <f t="shared" si="7"/>
        <v>#N/A</v>
      </c>
      <c r="K61" s="124">
        <v>54</v>
      </c>
      <c r="L61" s="11">
        <f t="shared" si="5"/>
        <v>72.099400000000003</v>
      </c>
      <c r="N61" s="13"/>
    </row>
    <row r="62" spans="2:14" x14ac:dyDescent="0.25">
      <c r="B62" s="2">
        <v>45470</v>
      </c>
      <c r="C62" s="1">
        <v>19509070.393374741</v>
      </c>
      <c r="D62" s="1">
        <v>4000000</v>
      </c>
      <c r="F62" s="12">
        <f t="shared" si="8"/>
        <v>45449</v>
      </c>
      <c r="G62" s="11">
        <f t="shared" si="9"/>
        <v>32.64936362645745</v>
      </c>
      <c r="H62" s="11">
        <f t="shared" si="10"/>
        <v>12</v>
      </c>
      <c r="I62" s="11" t="e">
        <f t="shared" si="6"/>
        <v>#N/A</v>
      </c>
      <c r="J62" s="11" t="e">
        <f t="shared" si="7"/>
        <v>#N/A</v>
      </c>
      <c r="K62" s="124">
        <v>55</v>
      </c>
      <c r="L62" s="11">
        <f t="shared" si="5"/>
        <v>73.113500000000002</v>
      </c>
      <c r="N62" s="13"/>
    </row>
    <row r="63" spans="2:14" x14ac:dyDescent="0.25">
      <c r="B63" s="2">
        <v>45477</v>
      </c>
      <c r="C63" s="1">
        <v>28285734.444807675</v>
      </c>
      <c r="D63" s="1">
        <v>12000000</v>
      </c>
      <c r="F63" s="12">
        <f t="shared" si="8"/>
        <v>45456</v>
      </c>
      <c r="G63" s="11">
        <f t="shared" si="9"/>
        <v>41.109275798191128</v>
      </c>
      <c r="H63" s="11">
        <f t="shared" si="10"/>
        <v>20</v>
      </c>
      <c r="I63" s="11" t="e">
        <f t="shared" si="6"/>
        <v>#N/A</v>
      </c>
      <c r="J63" s="11" t="e">
        <f t="shared" si="7"/>
        <v>#N/A</v>
      </c>
      <c r="K63" s="124">
        <v>56</v>
      </c>
      <c r="L63" s="11">
        <f t="shared" si="5"/>
        <v>74.127600000000001</v>
      </c>
      <c r="N63" s="13"/>
    </row>
    <row r="64" spans="2:14" x14ac:dyDescent="0.25">
      <c r="B64" s="2">
        <v>45484</v>
      </c>
      <c r="C64" s="1">
        <v>26261235.697940506</v>
      </c>
      <c r="D64" s="1">
        <v>10000000</v>
      </c>
      <c r="F64" s="12">
        <f t="shared" si="8"/>
        <v>45463</v>
      </c>
      <c r="G64" s="11">
        <f t="shared" si="9"/>
        <v>55.0771206276561</v>
      </c>
      <c r="H64" s="11">
        <f t="shared" si="10"/>
        <v>40</v>
      </c>
      <c r="I64" s="11" t="e">
        <f t="shared" si="6"/>
        <v>#N/A</v>
      </c>
      <c r="J64" s="11" t="e">
        <f t="shared" si="7"/>
        <v>#N/A</v>
      </c>
      <c r="K64" s="124">
        <v>57</v>
      </c>
      <c r="L64" s="11">
        <f t="shared" si="5"/>
        <v>75.1417</v>
      </c>
      <c r="N64" s="13"/>
    </row>
    <row r="65" spans="2:14" x14ac:dyDescent="0.25">
      <c r="B65" s="2">
        <v>45491</v>
      </c>
      <c r="C65" s="1">
        <v>28191379.099923726</v>
      </c>
      <c r="D65" s="1">
        <v>10000000</v>
      </c>
      <c r="F65" s="12">
        <f t="shared" si="8"/>
        <v>45470</v>
      </c>
      <c r="G65" s="11">
        <f t="shared" si="9"/>
        <v>19.509070393374742</v>
      </c>
      <c r="H65" s="11">
        <f t="shared" si="10"/>
        <v>4</v>
      </c>
      <c r="I65" s="11" t="e">
        <f t="shared" si="6"/>
        <v>#N/A</v>
      </c>
      <c r="J65" s="11" t="e">
        <f t="shared" si="7"/>
        <v>#N/A</v>
      </c>
      <c r="K65" s="124">
        <v>58</v>
      </c>
      <c r="L65" s="11">
        <f t="shared" si="5"/>
        <v>76.155799999999999</v>
      </c>
      <c r="N65" s="13"/>
    </row>
    <row r="66" spans="2:14" x14ac:dyDescent="0.25">
      <c r="B66" s="2">
        <v>45498</v>
      </c>
      <c r="C66" s="1">
        <v>28102830.55464749</v>
      </c>
      <c r="D66" s="1">
        <v>10000000</v>
      </c>
      <c r="F66" s="12">
        <f t="shared" si="8"/>
        <v>45477</v>
      </c>
      <c r="G66" s="11">
        <f t="shared" si="9"/>
        <v>28.285734444807673</v>
      </c>
      <c r="H66" s="11">
        <f t="shared" si="10"/>
        <v>12</v>
      </c>
      <c r="I66" s="11" t="e">
        <f t="shared" si="6"/>
        <v>#N/A</v>
      </c>
      <c r="J66" s="11" t="e">
        <f t="shared" si="7"/>
        <v>#N/A</v>
      </c>
      <c r="K66" s="124">
        <v>59</v>
      </c>
      <c r="L66" s="11">
        <f t="shared" si="5"/>
        <v>77.169899999999998</v>
      </c>
      <c r="N66" s="13"/>
    </row>
    <row r="67" spans="2:14" x14ac:dyDescent="0.25">
      <c r="B67" s="2">
        <v>45505</v>
      </c>
      <c r="C67" s="1">
        <v>39730567.069848537</v>
      </c>
      <c r="D67" s="1">
        <v>20000000</v>
      </c>
      <c r="F67" s="12">
        <f t="shared" si="8"/>
        <v>45484</v>
      </c>
      <c r="G67" s="11">
        <f t="shared" si="9"/>
        <v>26.261235697940506</v>
      </c>
      <c r="H67" s="11">
        <f t="shared" si="10"/>
        <v>10</v>
      </c>
      <c r="I67" s="11" t="e">
        <f t="shared" si="6"/>
        <v>#N/A</v>
      </c>
      <c r="J67" s="11" t="e">
        <f t="shared" si="7"/>
        <v>#N/A</v>
      </c>
      <c r="K67" s="124">
        <v>60</v>
      </c>
      <c r="L67" s="11">
        <f t="shared" si="5"/>
        <v>78.183999999999997</v>
      </c>
      <c r="N67" s="13"/>
    </row>
    <row r="68" spans="2:14" x14ac:dyDescent="0.25">
      <c r="B68" s="2">
        <v>45512</v>
      </c>
      <c r="C68" s="1">
        <v>50231024.29988014</v>
      </c>
      <c r="D68" s="1">
        <v>30000000</v>
      </c>
      <c r="F68" s="12">
        <f t="shared" si="8"/>
        <v>45491</v>
      </c>
      <c r="G68" s="11">
        <f t="shared" si="9"/>
        <v>28.191379099923726</v>
      </c>
      <c r="H68" s="11">
        <f t="shared" si="10"/>
        <v>10</v>
      </c>
      <c r="I68" s="11" t="e">
        <f t="shared" si="6"/>
        <v>#N/A</v>
      </c>
      <c r="J68" s="11" t="e">
        <f t="shared" si="7"/>
        <v>#N/A</v>
      </c>
      <c r="K68" s="124">
        <v>61</v>
      </c>
      <c r="L68" s="11">
        <f t="shared" si="5"/>
        <v>79.198100000000011</v>
      </c>
      <c r="N68" s="13"/>
    </row>
    <row r="69" spans="2:14" x14ac:dyDescent="0.25">
      <c r="B69" s="2">
        <v>45519</v>
      </c>
      <c r="C69" s="1">
        <v>70023829.029094487</v>
      </c>
      <c r="D69" s="1">
        <v>50000000</v>
      </c>
      <c r="F69" s="12">
        <f t="shared" si="8"/>
        <v>45498</v>
      </c>
      <c r="G69" s="11">
        <f t="shared" si="9"/>
        <v>28.10283055464749</v>
      </c>
      <c r="H69" s="11">
        <f t="shared" si="10"/>
        <v>10</v>
      </c>
      <c r="I69" s="11" t="e">
        <f t="shared" si="6"/>
        <v>#N/A</v>
      </c>
      <c r="J69" s="11" t="e">
        <f t="shared" si="7"/>
        <v>#N/A</v>
      </c>
      <c r="K69" s="124">
        <v>62</v>
      </c>
      <c r="L69" s="11">
        <f t="shared" si="5"/>
        <v>80.212199999999996</v>
      </c>
      <c r="N69" s="13"/>
    </row>
    <row r="70" spans="2:14" x14ac:dyDescent="0.25">
      <c r="B70" s="2">
        <v>45526</v>
      </c>
      <c r="C70" s="1">
        <v>147738209.00076279</v>
      </c>
      <c r="D70" s="1">
        <v>100000000</v>
      </c>
      <c r="F70" s="12">
        <f t="shared" si="8"/>
        <v>45505</v>
      </c>
      <c r="G70" s="11">
        <f t="shared" si="9"/>
        <v>39.73056706984854</v>
      </c>
      <c r="H70" s="11">
        <f t="shared" si="10"/>
        <v>20</v>
      </c>
      <c r="I70" s="11" t="e">
        <f t="shared" si="6"/>
        <v>#N/A</v>
      </c>
      <c r="J70" s="11" t="e">
        <f t="shared" si="7"/>
        <v>#N/A</v>
      </c>
      <c r="K70" s="124">
        <v>63</v>
      </c>
      <c r="L70" s="11">
        <f t="shared" si="5"/>
        <v>81.226300000000009</v>
      </c>
      <c r="N70" s="13"/>
    </row>
    <row r="71" spans="2:14" x14ac:dyDescent="0.25">
      <c r="B71" s="2">
        <v>45533</v>
      </c>
      <c r="C71" s="1">
        <v>20230632.450691946</v>
      </c>
      <c r="D71" s="1">
        <v>4000000</v>
      </c>
      <c r="F71" s="12">
        <f t="shared" si="8"/>
        <v>45512</v>
      </c>
      <c r="G71" s="11">
        <f t="shared" si="9"/>
        <v>50.23102429988014</v>
      </c>
      <c r="H71" s="11">
        <f t="shared" si="10"/>
        <v>30</v>
      </c>
      <c r="I71" s="11" t="e">
        <f t="shared" si="6"/>
        <v>#N/A</v>
      </c>
      <c r="J71" s="11" t="e">
        <f t="shared" si="7"/>
        <v>#N/A</v>
      </c>
      <c r="K71" s="124">
        <v>64</v>
      </c>
      <c r="L71" s="11">
        <f t="shared" si="5"/>
        <v>82.240399999999994</v>
      </c>
      <c r="N71" s="13"/>
    </row>
    <row r="72" spans="2:14" x14ac:dyDescent="0.25">
      <c r="B72" s="2">
        <v>45540</v>
      </c>
      <c r="C72" s="1">
        <v>20747113.32679525</v>
      </c>
      <c r="D72" s="1">
        <v>4000000</v>
      </c>
      <c r="F72" s="12">
        <f t="shared" ref="F72:F103" si="11">IF(OR(ISBLANK(B69),$D69&gt;=$F$5),NA(),B69)</f>
        <v>45519</v>
      </c>
      <c r="G72" s="11">
        <f t="shared" ref="G72:G103" si="12">IF(OR(ISBLANK(C69),$D69&gt;=$F$5),NA(),C69/1000000)</f>
        <v>70.023829029094486</v>
      </c>
      <c r="H72" s="11">
        <f t="shared" ref="H72:H103" si="13">IF(OR(ISBLANK(D69),$D69&gt;=$F$5),NA(),D69/1000000)</f>
        <v>50</v>
      </c>
      <c r="I72" s="11" t="e">
        <f t="shared" si="6"/>
        <v>#N/A</v>
      </c>
      <c r="J72" s="11" t="e">
        <f t="shared" si="7"/>
        <v>#N/A</v>
      </c>
      <c r="K72" s="124">
        <v>65</v>
      </c>
      <c r="L72" s="11">
        <f t="shared" si="5"/>
        <v>83.254500000000007</v>
      </c>
      <c r="N72" s="13"/>
    </row>
    <row r="73" spans="2:14" x14ac:dyDescent="0.25">
      <c r="B73" s="2">
        <v>45547</v>
      </c>
      <c r="C73" s="1">
        <v>32894585.812356982</v>
      </c>
      <c r="D73" s="1">
        <v>12000000</v>
      </c>
      <c r="F73" s="12" t="e">
        <f t="shared" si="11"/>
        <v>#N/A</v>
      </c>
      <c r="G73" s="11" t="e">
        <f t="shared" si="12"/>
        <v>#N/A</v>
      </c>
      <c r="H73" s="11" t="e">
        <f t="shared" si="13"/>
        <v>#N/A</v>
      </c>
      <c r="I73" s="11">
        <f t="shared" si="6"/>
        <v>147.73820900076279</v>
      </c>
      <c r="J73" s="11">
        <f t="shared" si="7"/>
        <v>100</v>
      </c>
      <c r="K73" s="124">
        <v>66</v>
      </c>
      <c r="L73" s="11">
        <f t="shared" ref="L73:L136" si="14">$L$5+$K$5*K73</f>
        <v>84.268599999999992</v>
      </c>
      <c r="N73" s="13"/>
    </row>
    <row r="74" spans="2:14" x14ac:dyDescent="0.25">
      <c r="B74" s="2">
        <v>45554</v>
      </c>
      <c r="C74" s="1">
        <v>42645321.019941159</v>
      </c>
      <c r="D74" s="1">
        <v>20000000</v>
      </c>
      <c r="F74" s="12">
        <f t="shared" si="11"/>
        <v>45533</v>
      </c>
      <c r="G74" s="11">
        <f t="shared" si="12"/>
        <v>20.230632450691946</v>
      </c>
      <c r="H74" s="11">
        <f t="shared" si="13"/>
        <v>4</v>
      </c>
      <c r="I74" s="11" t="e">
        <f t="shared" si="6"/>
        <v>#N/A</v>
      </c>
      <c r="J74" s="11" t="e">
        <f t="shared" si="7"/>
        <v>#N/A</v>
      </c>
      <c r="K74" s="124">
        <v>67</v>
      </c>
      <c r="L74" s="11">
        <f t="shared" si="14"/>
        <v>85.282700000000006</v>
      </c>
      <c r="N74" s="13"/>
    </row>
    <row r="75" spans="2:14" x14ac:dyDescent="0.25">
      <c r="B75" s="2">
        <v>45561</v>
      </c>
      <c r="C75" s="1">
        <v>20703825.324180018</v>
      </c>
      <c r="D75" s="1">
        <v>4000000</v>
      </c>
      <c r="F75" s="12">
        <f t="shared" si="11"/>
        <v>45540</v>
      </c>
      <c r="G75" s="11">
        <f t="shared" si="12"/>
        <v>20.747113326795251</v>
      </c>
      <c r="H75" s="11">
        <f t="shared" si="13"/>
        <v>4</v>
      </c>
      <c r="I75" s="11" t="e">
        <f t="shared" si="6"/>
        <v>#N/A</v>
      </c>
      <c r="J75" s="11" t="e">
        <f t="shared" si="7"/>
        <v>#N/A</v>
      </c>
      <c r="K75" s="124">
        <v>68</v>
      </c>
      <c r="L75" s="11">
        <f t="shared" si="14"/>
        <v>86.29679999999999</v>
      </c>
      <c r="N75" s="13"/>
    </row>
    <row r="76" spans="2:14" x14ac:dyDescent="0.25">
      <c r="B76" s="2">
        <v>45568</v>
      </c>
      <c r="C76" s="1">
        <v>33058201.046093497</v>
      </c>
      <c r="D76" s="1">
        <v>12000000</v>
      </c>
      <c r="F76" s="12">
        <f t="shared" si="11"/>
        <v>45547</v>
      </c>
      <c r="G76" s="11">
        <f t="shared" si="12"/>
        <v>32.894585812356979</v>
      </c>
      <c r="H76" s="11">
        <f t="shared" si="13"/>
        <v>12</v>
      </c>
      <c r="I76" s="11" t="e">
        <f t="shared" si="6"/>
        <v>#N/A</v>
      </c>
      <c r="J76" s="11" t="e">
        <f t="shared" si="7"/>
        <v>#N/A</v>
      </c>
      <c r="K76" s="124">
        <v>69</v>
      </c>
      <c r="L76" s="11">
        <f t="shared" si="14"/>
        <v>87.310900000000004</v>
      </c>
      <c r="N76" s="13"/>
    </row>
    <row r="77" spans="2:14" x14ac:dyDescent="0.25">
      <c r="B77" s="2">
        <v>45575</v>
      </c>
      <c r="C77" s="1">
        <v>31351124.986378986</v>
      </c>
      <c r="D77" s="1">
        <v>10000000</v>
      </c>
      <c r="F77" s="12">
        <f t="shared" si="11"/>
        <v>45554</v>
      </c>
      <c r="G77" s="11">
        <f t="shared" si="12"/>
        <v>42.645321019941157</v>
      </c>
      <c r="H77" s="11">
        <f t="shared" si="13"/>
        <v>20</v>
      </c>
      <c r="I77" s="11" t="e">
        <f t="shared" ref="I77:I129" si="15">IF(D74&gt;=$F$5,C74/1000000,NA())</f>
        <v>#N/A</v>
      </c>
      <c r="J77" s="11" t="e">
        <f t="shared" ref="J77:J129" si="16">IF(D74&gt;=$F$5,D74/1000000,NA())</f>
        <v>#N/A</v>
      </c>
      <c r="K77" s="124">
        <v>70</v>
      </c>
      <c r="L77" s="11">
        <f t="shared" si="14"/>
        <v>88.324999999999989</v>
      </c>
    </row>
    <row r="78" spans="2:14" x14ac:dyDescent="0.25">
      <c r="B78" s="2">
        <v>45582</v>
      </c>
      <c r="C78" s="1">
        <v>43784623.842214227</v>
      </c>
      <c r="D78" s="1">
        <v>20000000</v>
      </c>
      <c r="F78" s="12">
        <f t="shared" si="11"/>
        <v>45561</v>
      </c>
      <c r="G78" s="11">
        <f t="shared" si="12"/>
        <v>20.70382532418002</v>
      </c>
      <c r="H78" s="11">
        <f t="shared" si="13"/>
        <v>4</v>
      </c>
      <c r="I78" s="11" t="e">
        <f t="shared" si="15"/>
        <v>#N/A</v>
      </c>
      <c r="J78" s="11" t="e">
        <f t="shared" si="16"/>
        <v>#N/A</v>
      </c>
      <c r="K78" s="124">
        <v>71</v>
      </c>
      <c r="L78" s="11">
        <f t="shared" si="14"/>
        <v>89.339100000000002</v>
      </c>
      <c r="N78" s="13"/>
    </row>
    <row r="79" spans="2:14" x14ac:dyDescent="0.25">
      <c r="B79" s="2">
        <v>45589</v>
      </c>
      <c r="C79" s="1">
        <v>50816288.329519451</v>
      </c>
      <c r="D79" s="1">
        <v>30000000</v>
      </c>
      <c r="F79" s="12">
        <f t="shared" si="11"/>
        <v>45568</v>
      </c>
      <c r="G79" s="11">
        <f t="shared" si="12"/>
        <v>33.058201046093501</v>
      </c>
      <c r="H79" s="11">
        <f t="shared" si="13"/>
        <v>12</v>
      </c>
      <c r="I79" s="11" t="e">
        <f t="shared" si="15"/>
        <v>#N/A</v>
      </c>
      <c r="J79" s="11" t="e">
        <f t="shared" si="16"/>
        <v>#N/A</v>
      </c>
      <c r="K79" s="124">
        <v>72</v>
      </c>
      <c r="L79" s="11">
        <f t="shared" si="14"/>
        <v>90.353199999999987</v>
      </c>
      <c r="N79" s="13"/>
    </row>
    <row r="80" spans="2:14" x14ac:dyDescent="0.25">
      <c r="B80" s="2">
        <v>45596</v>
      </c>
      <c r="C80" s="1">
        <v>31596698.267407648</v>
      </c>
      <c r="D80" s="1">
        <v>10000000</v>
      </c>
      <c r="F80" s="12">
        <f t="shared" si="11"/>
        <v>45575</v>
      </c>
      <c r="G80" s="11">
        <f t="shared" si="12"/>
        <v>31.351124986378988</v>
      </c>
      <c r="H80" s="11">
        <f t="shared" si="13"/>
        <v>10</v>
      </c>
      <c r="I80" s="11" t="e">
        <f t="shared" si="15"/>
        <v>#N/A</v>
      </c>
      <c r="J80" s="11" t="e">
        <f t="shared" si="16"/>
        <v>#N/A</v>
      </c>
      <c r="K80" s="124">
        <v>73</v>
      </c>
      <c r="L80" s="11">
        <f t="shared" si="14"/>
        <v>91.3673</v>
      </c>
      <c r="N80" s="13"/>
    </row>
    <row r="81" spans="2:14" x14ac:dyDescent="0.25">
      <c r="B81" s="2">
        <v>45603</v>
      </c>
      <c r="C81" s="1">
        <v>41991079.982565112</v>
      </c>
      <c r="D81" s="1">
        <v>20000000</v>
      </c>
      <c r="F81" s="12">
        <f t="shared" si="11"/>
        <v>45582</v>
      </c>
      <c r="G81" s="11">
        <f t="shared" si="12"/>
        <v>43.784623842214224</v>
      </c>
      <c r="H81" s="11">
        <f t="shared" si="13"/>
        <v>20</v>
      </c>
      <c r="I81" s="11" t="e">
        <f t="shared" si="15"/>
        <v>#N/A</v>
      </c>
      <c r="J81" s="11" t="e">
        <f t="shared" si="16"/>
        <v>#N/A</v>
      </c>
      <c r="K81" s="124">
        <v>74</v>
      </c>
      <c r="L81" s="11">
        <f t="shared" si="14"/>
        <v>92.381400000000014</v>
      </c>
      <c r="N81" s="13"/>
    </row>
    <row r="82" spans="2:14" x14ac:dyDescent="0.25">
      <c r="B82" s="2">
        <v>45610</v>
      </c>
      <c r="C82" s="1">
        <v>49915621.009044357</v>
      </c>
      <c r="D82" s="1">
        <v>30000000</v>
      </c>
      <c r="F82" s="12">
        <f t="shared" si="11"/>
        <v>45589</v>
      </c>
      <c r="G82" s="11">
        <f t="shared" si="12"/>
        <v>50.816288329519452</v>
      </c>
      <c r="H82" s="11">
        <f t="shared" si="13"/>
        <v>30</v>
      </c>
      <c r="I82" s="11" t="e">
        <f t="shared" si="15"/>
        <v>#N/A</v>
      </c>
      <c r="J82" s="11" t="e">
        <f t="shared" si="16"/>
        <v>#N/A</v>
      </c>
      <c r="K82" s="124">
        <v>75</v>
      </c>
      <c r="L82" s="11">
        <f t="shared" si="14"/>
        <v>93.395499999999998</v>
      </c>
      <c r="N82" s="13"/>
    </row>
    <row r="83" spans="2:14" x14ac:dyDescent="0.25">
      <c r="B83" s="2">
        <v>45617</v>
      </c>
      <c r="C83" s="1">
        <v>69503816.71570231</v>
      </c>
      <c r="D83" s="1">
        <v>50000000</v>
      </c>
      <c r="F83" s="12">
        <f t="shared" si="11"/>
        <v>45596</v>
      </c>
      <c r="G83" s="11">
        <f t="shared" si="12"/>
        <v>31.59669826740765</v>
      </c>
      <c r="H83" s="11">
        <f t="shared" si="13"/>
        <v>10</v>
      </c>
      <c r="I83" s="11" t="e">
        <f t="shared" si="15"/>
        <v>#N/A</v>
      </c>
      <c r="J83" s="11" t="e">
        <f t="shared" si="16"/>
        <v>#N/A</v>
      </c>
      <c r="K83" s="124">
        <v>76</v>
      </c>
      <c r="L83" s="11">
        <f t="shared" si="14"/>
        <v>94.409600000000012</v>
      </c>
      <c r="N83" s="13"/>
    </row>
    <row r="84" spans="2:14" x14ac:dyDescent="0.25">
      <c r="B84" s="2">
        <v>45624</v>
      </c>
      <c r="C84" s="1">
        <v>136246003.81388253</v>
      </c>
      <c r="D84" s="1">
        <v>100000000</v>
      </c>
      <c r="F84" s="12">
        <f t="shared" si="11"/>
        <v>45603</v>
      </c>
      <c r="G84" s="11">
        <f t="shared" si="12"/>
        <v>41.991079982565111</v>
      </c>
      <c r="H84" s="11">
        <f t="shared" si="13"/>
        <v>20</v>
      </c>
      <c r="I84" s="11" t="e">
        <f t="shared" si="15"/>
        <v>#N/A</v>
      </c>
      <c r="J84" s="11" t="e">
        <f t="shared" si="16"/>
        <v>#N/A</v>
      </c>
      <c r="K84" s="124">
        <v>77</v>
      </c>
      <c r="L84" s="11">
        <f t="shared" si="14"/>
        <v>95.423699999999997</v>
      </c>
      <c r="N84" s="13"/>
    </row>
    <row r="85" spans="2:14" x14ac:dyDescent="0.25">
      <c r="B85" s="2">
        <v>45631</v>
      </c>
      <c r="C85" s="1">
        <v>20456724.964585375</v>
      </c>
      <c r="D85" s="1">
        <v>4000000</v>
      </c>
      <c r="F85" s="12">
        <f t="shared" si="11"/>
        <v>45610</v>
      </c>
      <c r="G85" s="11">
        <f t="shared" si="12"/>
        <v>49.915621009044358</v>
      </c>
      <c r="H85" s="11">
        <f t="shared" si="13"/>
        <v>30</v>
      </c>
      <c r="I85" s="11" t="e">
        <f t="shared" si="15"/>
        <v>#N/A</v>
      </c>
      <c r="J85" s="11" t="e">
        <f t="shared" si="16"/>
        <v>#N/A</v>
      </c>
      <c r="K85" s="124">
        <v>78</v>
      </c>
      <c r="L85" s="11">
        <f t="shared" si="14"/>
        <v>96.43780000000001</v>
      </c>
      <c r="N85" s="13"/>
    </row>
    <row r="86" spans="2:14" x14ac:dyDescent="0.25">
      <c r="B86" s="2">
        <v>45638</v>
      </c>
      <c r="C86" s="1">
        <v>30473071.047183178</v>
      </c>
      <c r="D86" s="1">
        <v>12000000</v>
      </c>
      <c r="F86" s="12">
        <f t="shared" si="11"/>
        <v>45617</v>
      </c>
      <c r="G86" s="11">
        <f t="shared" si="12"/>
        <v>69.503816715702314</v>
      </c>
      <c r="H86" s="11">
        <f t="shared" si="13"/>
        <v>50</v>
      </c>
      <c r="I86" s="11" t="e">
        <f t="shared" si="15"/>
        <v>#N/A</v>
      </c>
      <c r="J86" s="11" t="e">
        <f t="shared" si="16"/>
        <v>#N/A</v>
      </c>
      <c r="K86" s="124">
        <v>79</v>
      </c>
      <c r="L86" s="11">
        <f t="shared" si="14"/>
        <v>97.451899999999995</v>
      </c>
    </row>
    <row r="87" spans="2:14" x14ac:dyDescent="0.25">
      <c r="B87" s="2">
        <v>45645</v>
      </c>
      <c r="C87" s="1">
        <v>21708776.506483603</v>
      </c>
      <c r="D87" s="1">
        <v>4000000</v>
      </c>
      <c r="F87" s="12" t="e">
        <f t="shared" si="11"/>
        <v>#N/A</v>
      </c>
      <c r="G87" s="11" t="e">
        <f t="shared" si="12"/>
        <v>#N/A</v>
      </c>
      <c r="H87" s="11" t="e">
        <f t="shared" si="13"/>
        <v>#N/A</v>
      </c>
      <c r="I87" s="11">
        <f t="shared" si="15"/>
        <v>136.24600381388254</v>
      </c>
      <c r="J87" s="11">
        <f t="shared" si="16"/>
        <v>100</v>
      </c>
      <c r="K87" s="124">
        <v>80</v>
      </c>
      <c r="L87" s="11">
        <f t="shared" si="14"/>
        <v>98.466000000000008</v>
      </c>
    </row>
    <row r="88" spans="2:14" x14ac:dyDescent="0.25">
      <c r="B88" s="2">
        <v>45652</v>
      </c>
      <c r="C88" s="1">
        <v>30497384.43935927</v>
      </c>
      <c r="D88" s="1">
        <v>12000000</v>
      </c>
      <c r="F88" s="12">
        <f t="shared" si="11"/>
        <v>45631</v>
      </c>
      <c r="G88" s="11">
        <f t="shared" si="12"/>
        <v>20.456724964585376</v>
      </c>
      <c r="H88" s="11">
        <f t="shared" si="13"/>
        <v>4</v>
      </c>
      <c r="I88" s="11" t="e">
        <f t="shared" si="15"/>
        <v>#N/A</v>
      </c>
      <c r="J88" s="11" t="e">
        <f t="shared" si="16"/>
        <v>#N/A</v>
      </c>
      <c r="K88" s="124">
        <v>81</v>
      </c>
      <c r="L88" s="11">
        <f t="shared" si="14"/>
        <v>99.480099999999993</v>
      </c>
    </row>
    <row r="89" spans="2:14" x14ac:dyDescent="0.25">
      <c r="B89" s="2">
        <v>45659</v>
      </c>
      <c r="C89" s="1">
        <v>37760774.545058295</v>
      </c>
      <c r="D89" s="1">
        <v>20000000</v>
      </c>
      <c r="F89" s="12">
        <f t="shared" si="11"/>
        <v>45638</v>
      </c>
      <c r="G89" s="11">
        <f t="shared" si="12"/>
        <v>30.473071047183179</v>
      </c>
      <c r="H89" s="11">
        <f t="shared" si="13"/>
        <v>12</v>
      </c>
      <c r="I89" s="11" t="e">
        <f t="shared" si="15"/>
        <v>#N/A</v>
      </c>
      <c r="J89" s="11" t="e">
        <f t="shared" si="16"/>
        <v>#N/A</v>
      </c>
      <c r="K89" s="124">
        <v>82</v>
      </c>
      <c r="L89" s="11">
        <f t="shared" si="14"/>
        <v>100.49420000000001</v>
      </c>
    </row>
    <row r="90" spans="2:14" x14ac:dyDescent="0.25">
      <c r="B90" s="2">
        <v>45666</v>
      </c>
      <c r="C90" s="1">
        <v>19511000.544840369</v>
      </c>
      <c r="D90" s="1">
        <v>4000000</v>
      </c>
      <c r="F90" s="12">
        <f t="shared" si="11"/>
        <v>45645</v>
      </c>
      <c r="G90" s="11">
        <f t="shared" si="12"/>
        <v>21.708776506483602</v>
      </c>
      <c r="H90" s="11">
        <f t="shared" si="13"/>
        <v>4</v>
      </c>
      <c r="I90" s="11" t="e">
        <f t="shared" si="15"/>
        <v>#N/A</v>
      </c>
      <c r="J90" s="11" t="e">
        <f t="shared" si="16"/>
        <v>#N/A</v>
      </c>
      <c r="K90" s="124">
        <v>83</v>
      </c>
      <c r="L90" s="11">
        <f t="shared" si="14"/>
        <v>101.50829999999999</v>
      </c>
    </row>
    <row r="91" spans="2:14" x14ac:dyDescent="0.25">
      <c r="B91" s="2">
        <v>45673</v>
      </c>
      <c r="C91" s="1">
        <v>28097846.463986047</v>
      </c>
      <c r="D91" s="1">
        <v>12000000</v>
      </c>
      <c r="F91" s="12">
        <f t="shared" si="11"/>
        <v>45652</v>
      </c>
      <c r="G91" s="11">
        <f t="shared" si="12"/>
        <v>30.497384439359269</v>
      </c>
      <c r="H91" s="11">
        <f t="shared" si="13"/>
        <v>12</v>
      </c>
      <c r="I91" s="11" t="e">
        <f t="shared" si="15"/>
        <v>#N/A</v>
      </c>
      <c r="J91" s="11" t="e">
        <f t="shared" si="16"/>
        <v>#N/A</v>
      </c>
      <c r="K91" s="124">
        <v>84</v>
      </c>
      <c r="L91" s="11">
        <f t="shared" si="14"/>
        <v>102.5224</v>
      </c>
    </row>
    <row r="92" spans="2:14" x14ac:dyDescent="0.25">
      <c r="B92" s="2">
        <v>45680</v>
      </c>
      <c r="C92" s="1">
        <v>35241621.009044349</v>
      </c>
      <c r="D92" s="1">
        <v>20000000</v>
      </c>
      <c r="F92" s="12">
        <f t="shared" si="11"/>
        <v>45659</v>
      </c>
      <c r="G92" s="11">
        <f t="shared" si="12"/>
        <v>37.760774545058297</v>
      </c>
      <c r="H92" s="11">
        <f t="shared" si="13"/>
        <v>20</v>
      </c>
      <c r="I92" s="11" t="e">
        <f t="shared" si="15"/>
        <v>#N/A</v>
      </c>
      <c r="J92" s="11" t="e">
        <f t="shared" si="16"/>
        <v>#N/A</v>
      </c>
      <c r="K92" s="124">
        <v>85</v>
      </c>
      <c r="L92" s="11">
        <f t="shared" si="14"/>
        <v>103.53649999999999</v>
      </c>
    </row>
    <row r="93" spans="2:14" x14ac:dyDescent="0.25">
      <c r="B93" s="2">
        <v>45687</v>
      </c>
      <c r="C93" s="1">
        <v>47387020.812901825</v>
      </c>
      <c r="D93" s="1">
        <v>40000000</v>
      </c>
      <c r="F93" s="12">
        <f t="shared" si="11"/>
        <v>45666</v>
      </c>
      <c r="G93" s="11">
        <f t="shared" si="12"/>
        <v>19.511000544840368</v>
      </c>
      <c r="H93" s="11">
        <f t="shared" si="13"/>
        <v>4</v>
      </c>
      <c r="I93" s="11" t="e">
        <f t="shared" si="15"/>
        <v>#N/A</v>
      </c>
      <c r="J93" s="11" t="e">
        <f t="shared" si="16"/>
        <v>#N/A</v>
      </c>
      <c r="K93" s="124">
        <v>86</v>
      </c>
      <c r="L93" s="11">
        <f t="shared" si="14"/>
        <v>104.5506</v>
      </c>
    </row>
    <row r="94" spans="2:14" x14ac:dyDescent="0.25">
      <c r="B94" s="2">
        <v>45694</v>
      </c>
      <c r="C94" s="1">
        <v>70344256.619810402</v>
      </c>
      <c r="D94" s="1">
        <v>60000000</v>
      </c>
      <c r="F94" s="12">
        <f t="shared" si="11"/>
        <v>45673</v>
      </c>
      <c r="G94" s="11">
        <f t="shared" si="12"/>
        <v>28.097846463986048</v>
      </c>
      <c r="H94" s="11">
        <f t="shared" si="13"/>
        <v>12</v>
      </c>
      <c r="I94" s="11" t="e">
        <f t="shared" si="15"/>
        <v>#N/A</v>
      </c>
      <c r="J94" s="11" t="e">
        <f t="shared" si="16"/>
        <v>#N/A</v>
      </c>
      <c r="K94" s="124">
        <v>87</v>
      </c>
      <c r="L94" s="11">
        <f t="shared" si="14"/>
        <v>105.56469999999999</v>
      </c>
    </row>
    <row r="95" spans="2:14" x14ac:dyDescent="0.25">
      <c r="B95" s="2">
        <v>45701</v>
      </c>
      <c r="C95" s="1">
        <v>29151036.068431955</v>
      </c>
      <c r="D95" s="1">
        <v>10000000</v>
      </c>
      <c r="F95" s="12">
        <f t="shared" si="11"/>
        <v>45680</v>
      </c>
      <c r="G95" s="11">
        <f t="shared" si="12"/>
        <v>35.241621009044351</v>
      </c>
      <c r="H95" s="11">
        <f t="shared" si="13"/>
        <v>20</v>
      </c>
      <c r="I95" s="11" t="e">
        <f t="shared" si="15"/>
        <v>#N/A</v>
      </c>
      <c r="J95" s="11" t="e">
        <f t="shared" si="16"/>
        <v>#N/A</v>
      </c>
      <c r="K95" s="124">
        <v>88</v>
      </c>
      <c r="L95" s="11">
        <f t="shared" si="14"/>
        <v>106.5788</v>
      </c>
    </row>
    <row r="96" spans="2:14" x14ac:dyDescent="0.25">
      <c r="B96" s="2">
        <v>45708</v>
      </c>
      <c r="C96" s="1">
        <v>38850581.126729868</v>
      </c>
      <c r="D96" s="1">
        <v>20000000</v>
      </c>
      <c r="F96" s="12">
        <f t="shared" si="11"/>
        <v>45687</v>
      </c>
      <c r="G96" s="11">
        <f t="shared" si="12"/>
        <v>47.387020812901824</v>
      </c>
      <c r="H96" s="11">
        <f t="shared" si="13"/>
        <v>40</v>
      </c>
      <c r="I96" s="11" t="e">
        <f t="shared" si="15"/>
        <v>#N/A</v>
      </c>
      <c r="J96" s="11" t="e">
        <f t="shared" si="16"/>
        <v>#N/A</v>
      </c>
      <c r="K96" s="124">
        <v>89</v>
      </c>
      <c r="L96" s="11">
        <f t="shared" si="14"/>
        <v>107.59290000000001</v>
      </c>
    </row>
    <row r="97" spans="2:12" x14ac:dyDescent="0.25">
      <c r="B97" s="2">
        <v>45715</v>
      </c>
      <c r="C97" s="1">
        <v>47273419.636046648</v>
      </c>
      <c r="D97" s="1">
        <v>30000000</v>
      </c>
      <c r="F97" s="12">
        <f t="shared" si="11"/>
        <v>45694</v>
      </c>
      <c r="G97" s="11">
        <f t="shared" si="12"/>
        <v>70.344256619810409</v>
      </c>
      <c r="H97" s="11">
        <f t="shared" si="13"/>
        <v>60</v>
      </c>
      <c r="I97" s="11" t="e">
        <f t="shared" si="15"/>
        <v>#N/A</v>
      </c>
      <c r="J97" s="11" t="e">
        <f t="shared" si="16"/>
        <v>#N/A</v>
      </c>
      <c r="K97" s="124">
        <v>90</v>
      </c>
      <c r="L97" s="11">
        <f t="shared" si="14"/>
        <v>108.607</v>
      </c>
    </row>
    <row r="98" spans="2:12" x14ac:dyDescent="0.25">
      <c r="B98" s="2">
        <v>45722</v>
      </c>
      <c r="C98" s="1">
        <v>29769653.917402204</v>
      </c>
      <c r="D98" s="1">
        <v>10000000</v>
      </c>
      <c r="F98" s="12">
        <f t="shared" si="11"/>
        <v>45701</v>
      </c>
      <c r="G98" s="11">
        <f t="shared" si="12"/>
        <v>29.151036068431956</v>
      </c>
      <c r="H98" s="11">
        <f t="shared" si="13"/>
        <v>10</v>
      </c>
      <c r="I98" s="11" t="e">
        <f t="shared" si="15"/>
        <v>#N/A</v>
      </c>
      <c r="J98" s="11" t="e">
        <f t="shared" si="16"/>
        <v>#N/A</v>
      </c>
      <c r="K98" s="124">
        <v>91</v>
      </c>
      <c r="L98" s="11">
        <f t="shared" si="14"/>
        <v>109.62110000000001</v>
      </c>
    </row>
    <row r="99" spans="2:12" x14ac:dyDescent="0.25">
      <c r="B99" s="2">
        <v>45729</v>
      </c>
      <c r="C99" s="1">
        <v>29549559.115179252</v>
      </c>
      <c r="D99" s="1">
        <v>10000000</v>
      </c>
      <c r="F99" s="12">
        <f t="shared" si="11"/>
        <v>45708</v>
      </c>
      <c r="G99" s="11">
        <f t="shared" si="12"/>
        <v>38.850581126729871</v>
      </c>
      <c r="H99" s="11">
        <f t="shared" si="13"/>
        <v>20</v>
      </c>
      <c r="I99" s="11" t="e">
        <f t="shared" si="15"/>
        <v>#N/A</v>
      </c>
      <c r="J99" s="11" t="e">
        <f t="shared" si="16"/>
        <v>#N/A</v>
      </c>
      <c r="K99" s="124">
        <v>92</v>
      </c>
      <c r="L99" s="11">
        <f t="shared" si="14"/>
        <v>110.6352</v>
      </c>
    </row>
    <row r="100" spans="2:12" x14ac:dyDescent="0.25">
      <c r="B100" s="2">
        <v>45736</v>
      </c>
      <c r="C100" s="1">
        <v>28543164.105916969</v>
      </c>
      <c r="D100" s="1">
        <v>10000000</v>
      </c>
      <c r="F100" s="12">
        <f t="shared" si="11"/>
        <v>45715</v>
      </c>
      <c r="G100" s="11">
        <f t="shared" si="12"/>
        <v>47.273419636046647</v>
      </c>
      <c r="H100" s="11">
        <f t="shared" si="13"/>
        <v>30</v>
      </c>
      <c r="I100" s="11" t="e">
        <f t="shared" si="15"/>
        <v>#N/A</v>
      </c>
      <c r="J100" s="11" t="e">
        <f t="shared" si="16"/>
        <v>#N/A</v>
      </c>
      <c r="K100" s="124">
        <v>93</v>
      </c>
      <c r="L100" s="11">
        <f t="shared" si="14"/>
        <v>111.64930000000001</v>
      </c>
    </row>
    <row r="101" spans="2:12" x14ac:dyDescent="0.25">
      <c r="B101" s="2">
        <v>45743</v>
      </c>
      <c r="C101" s="1">
        <v>36500226.6535905</v>
      </c>
      <c r="D101" s="1">
        <v>20000000</v>
      </c>
      <c r="F101" s="12">
        <f t="shared" si="11"/>
        <v>45722</v>
      </c>
      <c r="G101" s="11">
        <f t="shared" si="12"/>
        <v>29.769653917402206</v>
      </c>
      <c r="H101" s="11">
        <f t="shared" si="13"/>
        <v>10</v>
      </c>
      <c r="I101" s="11" t="e">
        <f t="shared" si="15"/>
        <v>#N/A</v>
      </c>
      <c r="J101" s="11" t="e">
        <f t="shared" si="16"/>
        <v>#N/A</v>
      </c>
      <c r="K101" s="124">
        <v>94</v>
      </c>
      <c r="L101" s="11">
        <f t="shared" si="14"/>
        <v>112.6634</v>
      </c>
    </row>
    <row r="102" spans="2:12" x14ac:dyDescent="0.25">
      <c r="B102" s="2">
        <v>45750</v>
      </c>
      <c r="C102" s="1">
        <v>26039802.331916749</v>
      </c>
      <c r="D102" s="1">
        <v>10000000</v>
      </c>
      <c r="F102" s="12">
        <f t="shared" si="11"/>
        <v>45729</v>
      </c>
      <c r="G102" s="11">
        <f t="shared" si="12"/>
        <v>29.549559115179253</v>
      </c>
      <c r="H102" s="11">
        <f t="shared" si="13"/>
        <v>10</v>
      </c>
      <c r="I102" s="11" t="e">
        <f t="shared" si="15"/>
        <v>#N/A</v>
      </c>
      <c r="J102" s="11" t="e">
        <f t="shared" si="16"/>
        <v>#N/A</v>
      </c>
      <c r="K102" s="124">
        <v>95</v>
      </c>
      <c r="L102" s="11">
        <f t="shared" si="14"/>
        <v>113.67750000000001</v>
      </c>
    </row>
    <row r="103" spans="2:12" x14ac:dyDescent="0.25">
      <c r="B103" s="2">
        <v>45757</v>
      </c>
      <c r="C103" s="1">
        <v>32928636.918382913</v>
      </c>
      <c r="D103" s="1">
        <v>20000000</v>
      </c>
      <c r="F103" s="12">
        <f t="shared" si="11"/>
        <v>45736</v>
      </c>
      <c r="G103" s="11">
        <f t="shared" si="12"/>
        <v>28.543164105916969</v>
      </c>
      <c r="H103" s="11">
        <f t="shared" si="13"/>
        <v>10</v>
      </c>
      <c r="I103" s="11" t="e">
        <f t="shared" si="15"/>
        <v>#N/A</v>
      </c>
      <c r="J103" s="11" t="e">
        <f t="shared" si="16"/>
        <v>#N/A</v>
      </c>
      <c r="K103" s="124">
        <v>96</v>
      </c>
      <c r="L103" s="11">
        <f t="shared" si="14"/>
        <v>114.69159999999999</v>
      </c>
    </row>
    <row r="104" spans="2:12" x14ac:dyDescent="0.25">
      <c r="B104" s="2">
        <v>45764</v>
      </c>
      <c r="C104" s="1">
        <v>42602510.515418984</v>
      </c>
      <c r="D104" s="1">
        <v>30000000</v>
      </c>
      <c r="F104" s="12">
        <f t="shared" ref="F104:F135" si="17">IF(OR(ISBLANK(B101),$D101&gt;=$F$5),NA(),B101)</f>
        <v>45743</v>
      </c>
      <c r="G104" s="11">
        <f t="shared" ref="G104:G135" si="18">IF(OR(ISBLANK(C101),$D101&gt;=$F$5),NA(),C101/1000000)</f>
        <v>36.500226653590502</v>
      </c>
      <c r="H104" s="11">
        <f t="shared" ref="H104:H135" si="19">IF(OR(ISBLANK(D101),$D101&gt;=$F$5),NA(),D101/1000000)</f>
        <v>20</v>
      </c>
      <c r="I104" s="11" t="e">
        <f t="shared" si="15"/>
        <v>#N/A</v>
      </c>
      <c r="J104" s="11" t="e">
        <f t="shared" si="16"/>
        <v>#N/A</v>
      </c>
      <c r="K104" s="124">
        <v>97</v>
      </c>
      <c r="L104" s="11">
        <f t="shared" si="14"/>
        <v>115.70570000000001</v>
      </c>
    </row>
    <row r="105" spans="2:12" x14ac:dyDescent="0.25">
      <c r="B105" s="2">
        <v>45771</v>
      </c>
      <c r="C105" s="1">
        <v>28938065.598779559</v>
      </c>
      <c r="D105" s="1">
        <v>10000000</v>
      </c>
      <c r="F105" s="12">
        <f t="shared" si="17"/>
        <v>45750</v>
      </c>
      <c r="G105" s="11">
        <f t="shared" si="18"/>
        <v>26.03980233191675</v>
      </c>
      <c r="H105" s="11">
        <f t="shared" si="19"/>
        <v>10</v>
      </c>
      <c r="I105" s="11" t="e">
        <f t="shared" si="15"/>
        <v>#N/A</v>
      </c>
      <c r="J105" s="11" t="e">
        <f t="shared" si="16"/>
        <v>#N/A</v>
      </c>
      <c r="K105" s="124">
        <v>98</v>
      </c>
      <c r="L105" s="11">
        <f t="shared" si="14"/>
        <v>116.71979999999999</v>
      </c>
    </row>
    <row r="106" spans="2:12" x14ac:dyDescent="0.25">
      <c r="B106" s="2">
        <v>45778</v>
      </c>
      <c r="C106" s="1">
        <v>36568143.256371014</v>
      </c>
      <c r="D106" s="1">
        <v>20000000</v>
      </c>
      <c r="F106" s="12">
        <f t="shared" si="17"/>
        <v>45757</v>
      </c>
      <c r="G106" s="11">
        <f t="shared" si="18"/>
        <v>32.928636918382914</v>
      </c>
      <c r="H106" s="11">
        <f t="shared" si="19"/>
        <v>20</v>
      </c>
      <c r="I106" s="11" t="e">
        <f t="shared" si="15"/>
        <v>#N/A</v>
      </c>
      <c r="J106" s="11" t="e">
        <f t="shared" si="16"/>
        <v>#N/A</v>
      </c>
      <c r="K106" s="124">
        <v>99</v>
      </c>
      <c r="L106" s="11">
        <f t="shared" si="14"/>
        <v>117.73390000000001</v>
      </c>
    </row>
    <row r="107" spans="2:12" x14ac:dyDescent="0.25">
      <c r="B107" s="2">
        <v>45785</v>
      </c>
      <c r="C107" s="1">
        <v>42493743.540266596</v>
      </c>
      <c r="D107" s="1">
        <v>30000000</v>
      </c>
      <c r="F107" s="12">
        <f t="shared" si="17"/>
        <v>45764</v>
      </c>
      <c r="G107" s="11">
        <f t="shared" si="18"/>
        <v>42.602510515418984</v>
      </c>
      <c r="H107" s="11">
        <f t="shared" si="19"/>
        <v>30</v>
      </c>
      <c r="I107" s="11" t="e">
        <f t="shared" si="15"/>
        <v>#N/A</v>
      </c>
      <c r="J107" s="11" t="e">
        <f t="shared" si="16"/>
        <v>#N/A</v>
      </c>
      <c r="K107" s="124">
        <v>100</v>
      </c>
      <c r="L107" s="11">
        <f t="shared" si="14"/>
        <v>118.74799999999999</v>
      </c>
    </row>
    <row r="108" spans="2:12" x14ac:dyDescent="0.25">
      <c r="B108" s="2">
        <v>45792</v>
      </c>
      <c r="C108" s="1">
        <v>26158929.735844035</v>
      </c>
      <c r="D108" s="1">
        <v>10000000</v>
      </c>
      <c r="F108" s="12">
        <f t="shared" si="17"/>
        <v>45771</v>
      </c>
      <c r="G108" s="11">
        <f t="shared" si="18"/>
        <v>28.938065598779559</v>
      </c>
      <c r="H108" s="11">
        <f t="shared" si="19"/>
        <v>10</v>
      </c>
      <c r="I108" s="11" t="e">
        <f t="shared" si="15"/>
        <v>#N/A</v>
      </c>
      <c r="J108" s="11" t="e">
        <f t="shared" si="16"/>
        <v>#N/A</v>
      </c>
      <c r="K108" s="124">
        <v>101</v>
      </c>
      <c r="L108" s="11">
        <f t="shared" si="14"/>
        <v>119.7621</v>
      </c>
    </row>
    <row r="109" spans="2:12" x14ac:dyDescent="0.25">
      <c r="B109" s="2">
        <v>45799</v>
      </c>
      <c r="C109" s="1">
        <v>32950156.253465522</v>
      </c>
      <c r="D109" s="1">
        <v>20000000</v>
      </c>
      <c r="F109" s="12">
        <f t="shared" si="17"/>
        <v>45778</v>
      </c>
      <c r="G109" s="11">
        <f t="shared" si="18"/>
        <v>36.568143256371016</v>
      </c>
      <c r="H109" s="11">
        <f t="shared" si="19"/>
        <v>20</v>
      </c>
      <c r="I109" s="11" t="e">
        <f t="shared" si="15"/>
        <v>#N/A</v>
      </c>
      <c r="J109" s="11" t="e">
        <f t="shared" si="16"/>
        <v>#N/A</v>
      </c>
      <c r="K109" s="124">
        <v>102</v>
      </c>
      <c r="L109" s="11">
        <f t="shared" si="14"/>
        <v>120.77619999999999</v>
      </c>
    </row>
    <row r="110" spans="2:12" x14ac:dyDescent="0.25">
      <c r="B110" s="2">
        <v>45806</v>
      </c>
      <c r="C110" s="1">
        <v>38574224.499301359</v>
      </c>
      <c r="D110" s="1">
        <v>30000000</v>
      </c>
      <c r="F110" s="12">
        <f t="shared" si="17"/>
        <v>45785</v>
      </c>
      <c r="G110" s="11">
        <f t="shared" si="18"/>
        <v>42.493743540266593</v>
      </c>
      <c r="H110" s="11">
        <f t="shared" si="19"/>
        <v>30</v>
      </c>
      <c r="I110" s="11" t="e">
        <f t="shared" si="15"/>
        <v>#N/A</v>
      </c>
      <c r="J110" s="11" t="e">
        <f t="shared" si="16"/>
        <v>#N/A</v>
      </c>
      <c r="K110" s="124">
        <v>103</v>
      </c>
      <c r="L110" s="11">
        <f t="shared" si="14"/>
        <v>121.7903</v>
      </c>
    </row>
    <row r="111" spans="2:12" x14ac:dyDescent="0.25">
      <c r="B111" s="2">
        <v>45813</v>
      </c>
      <c r="C111" s="1">
        <v>58403840.79668197</v>
      </c>
      <c r="D111" s="1">
        <v>50000000</v>
      </c>
      <c r="F111" s="12">
        <f t="shared" si="17"/>
        <v>45792</v>
      </c>
      <c r="G111" s="11">
        <f t="shared" si="18"/>
        <v>26.158929735844033</v>
      </c>
      <c r="H111" s="11">
        <f t="shared" si="19"/>
        <v>10</v>
      </c>
      <c r="I111" s="11" t="e">
        <f t="shared" si="15"/>
        <v>#N/A</v>
      </c>
      <c r="J111" s="11" t="e">
        <f t="shared" si="16"/>
        <v>#N/A</v>
      </c>
      <c r="K111" s="124">
        <v>104</v>
      </c>
      <c r="L111" s="11">
        <f t="shared" si="14"/>
        <v>122.80439999999999</v>
      </c>
    </row>
    <row r="112" spans="2:12" x14ac:dyDescent="0.25">
      <c r="B112" s="2">
        <v>45820</v>
      </c>
      <c r="C112" s="1">
        <v>135186350.05655736</v>
      </c>
      <c r="D112" s="1">
        <v>100000000</v>
      </c>
      <c r="F112" s="12">
        <f t="shared" si="17"/>
        <v>45799</v>
      </c>
      <c r="G112" s="11">
        <f t="shared" si="18"/>
        <v>32.950156253465522</v>
      </c>
      <c r="H112" s="11">
        <f t="shared" si="19"/>
        <v>20</v>
      </c>
      <c r="I112" s="11" t="e">
        <f t="shared" si="15"/>
        <v>#N/A</v>
      </c>
      <c r="J112" s="11" t="e">
        <f t="shared" si="16"/>
        <v>#N/A</v>
      </c>
      <c r="K112" s="124">
        <v>105</v>
      </c>
      <c r="L112" s="11">
        <f t="shared" si="14"/>
        <v>123.8185</v>
      </c>
    </row>
    <row r="113" spans="2:12" x14ac:dyDescent="0.25">
      <c r="B113" s="2">
        <v>45827</v>
      </c>
      <c r="C113" s="1">
        <v>20368521.192361437</v>
      </c>
      <c r="D113" s="1">
        <v>4000000</v>
      </c>
      <c r="F113" s="12">
        <f t="shared" si="17"/>
        <v>45806</v>
      </c>
      <c r="G113" s="11">
        <f t="shared" si="18"/>
        <v>38.574224499301359</v>
      </c>
      <c r="H113" s="11">
        <f t="shared" si="19"/>
        <v>30</v>
      </c>
      <c r="I113" s="11" t="e">
        <f t="shared" si="15"/>
        <v>#N/A</v>
      </c>
      <c r="J113" s="11" t="e">
        <f t="shared" si="16"/>
        <v>#N/A</v>
      </c>
      <c r="K113" s="124">
        <v>106</v>
      </c>
      <c r="L113" s="11">
        <f t="shared" si="14"/>
        <v>124.83260000000001</v>
      </c>
    </row>
    <row r="114" spans="2:12" x14ac:dyDescent="0.25">
      <c r="B114" s="2">
        <v>45834</v>
      </c>
      <c r="C114" s="1">
        <v>29330244.859937456</v>
      </c>
      <c r="D114" s="1">
        <v>12000000</v>
      </c>
      <c r="F114" s="12">
        <f t="shared" si="17"/>
        <v>45813</v>
      </c>
      <c r="G114" s="11">
        <f t="shared" si="18"/>
        <v>58.403840796681969</v>
      </c>
      <c r="H114" s="11">
        <f t="shared" si="19"/>
        <v>50</v>
      </c>
      <c r="I114" s="11" t="e">
        <f t="shared" si="15"/>
        <v>#N/A</v>
      </c>
      <c r="J114" s="11" t="e">
        <f t="shared" si="16"/>
        <v>#N/A</v>
      </c>
      <c r="K114" s="124">
        <v>107</v>
      </c>
      <c r="L114" s="11">
        <f t="shared" si="14"/>
        <v>125.8467</v>
      </c>
    </row>
    <row r="115" spans="2:12" x14ac:dyDescent="0.25">
      <c r="B115" s="2">
        <v>45841</v>
      </c>
      <c r="C115" s="1">
        <v>20305410.650520109</v>
      </c>
      <c r="D115" s="1">
        <v>4000000</v>
      </c>
      <c r="F115" s="12" t="e">
        <f t="shared" si="17"/>
        <v>#N/A</v>
      </c>
      <c r="G115" s="11" t="e">
        <f t="shared" si="18"/>
        <v>#N/A</v>
      </c>
      <c r="H115" s="11" t="e">
        <f t="shared" si="19"/>
        <v>#N/A</v>
      </c>
      <c r="I115" s="11">
        <f t="shared" si="15"/>
        <v>135.18635005655736</v>
      </c>
      <c r="J115" s="11">
        <f t="shared" si="16"/>
        <v>100</v>
      </c>
      <c r="K115" s="124">
        <v>108</v>
      </c>
      <c r="L115" s="11">
        <f t="shared" si="14"/>
        <v>126.86080000000001</v>
      </c>
    </row>
    <row r="116" spans="2:12" x14ac:dyDescent="0.25">
      <c r="B116" s="2">
        <v>45848</v>
      </c>
      <c r="C116" s="1">
        <v>30973456.206888907</v>
      </c>
      <c r="D116" s="1">
        <v>12000000</v>
      </c>
      <c r="F116" s="12">
        <f t="shared" si="17"/>
        <v>45827</v>
      </c>
      <c r="G116" s="11">
        <f t="shared" si="18"/>
        <v>20.368521192361438</v>
      </c>
      <c r="H116" s="11">
        <f t="shared" si="19"/>
        <v>4</v>
      </c>
      <c r="I116" s="11" t="e">
        <f t="shared" si="15"/>
        <v>#N/A</v>
      </c>
      <c r="J116" s="11" t="e">
        <f t="shared" si="16"/>
        <v>#N/A</v>
      </c>
      <c r="K116" s="124">
        <v>109</v>
      </c>
      <c r="L116" s="11">
        <f t="shared" si="14"/>
        <v>127.8749</v>
      </c>
    </row>
    <row r="117" spans="2:12" x14ac:dyDescent="0.25">
      <c r="B117" s="2">
        <v>45855</v>
      </c>
      <c r="C117" s="1">
        <v>38472429.636037</v>
      </c>
      <c r="D117" s="1">
        <v>20000000</v>
      </c>
      <c r="F117" s="12">
        <f t="shared" si="17"/>
        <v>45834</v>
      </c>
      <c r="G117" s="11">
        <f t="shared" si="18"/>
        <v>29.330244859937455</v>
      </c>
      <c r="H117" s="11">
        <f t="shared" si="19"/>
        <v>12</v>
      </c>
      <c r="I117" s="11" t="e">
        <f t="shared" si="15"/>
        <v>#N/A</v>
      </c>
      <c r="J117" s="11" t="e">
        <f t="shared" si="16"/>
        <v>#N/A</v>
      </c>
      <c r="K117" s="124">
        <v>110</v>
      </c>
      <c r="L117" s="11">
        <f t="shared" si="14"/>
        <v>128.88900000000001</v>
      </c>
    </row>
    <row r="118" spans="2:12" x14ac:dyDescent="0.25">
      <c r="B118" s="2">
        <v>45862</v>
      </c>
      <c r="C118" s="1">
        <v>45117659.192228355</v>
      </c>
      <c r="D118" s="1">
        <v>30000000</v>
      </c>
      <c r="F118" s="12">
        <f t="shared" si="17"/>
        <v>45841</v>
      </c>
      <c r="G118" s="11">
        <f t="shared" si="18"/>
        <v>20.305410650520109</v>
      </c>
      <c r="H118" s="11">
        <f t="shared" si="19"/>
        <v>4</v>
      </c>
      <c r="I118" s="11" t="e">
        <f t="shared" si="15"/>
        <v>#N/A</v>
      </c>
      <c r="J118" s="11" t="e">
        <f t="shared" si="16"/>
        <v>#N/A</v>
      </c>
      <c r="K118" s="124">
        <v>111</v>
      </c>
      <c r="L118" s="11">
        <f t="shared" si="14"/>
        <v>129.90309999999999</v>
      </c>
    </row>
    <row r="119" spans="2:12" x14ac:dyDescent="0.25">
      <c r="B119" s="2">
        <v>45869</v>
      </c>
      <c r="C119" s="1">
        <v>19937236.010379933</v>
      </c>
      <c r="D119" s="1">
        <v>4000000</v>
      </c>
      <c r="F119" s="12">
        <f t="shared" si="17"/>
        <v>45848</v>
      </c>
      <c r="G119" s="11">
        <f t="shared" si="18"/>
        <v>30.973456206888908</v>
      </c>
      <c r="H119" s="11">
        <f t="shared" si="19"/>
        <v>12</v>
      </c>
      <c r="I119" s="11" t="e">
        <f t="shared" si="15"/>
        <v>#N/A</v>
      </c>
      <c r="J119" s="11" t="e">
        <f t="shared" si="16"/>
        <v>#N/A</v>
      </c>
      <c r="K119" s="124">
        <v>112</v>
      </c>
      <c r="L119" s="11">
        <f t="shared" si="14"/>
        <v>130.91720000000001</v>
      </c>
    </row>
    <row r="120" spans="2:12" x14ac:dyDescent="0.25">
      <c r="B120" s="2">
        <v>45876</v>
      </c>
      <c r="C120" s="1">
        <v>29048655.266484793</v>
      </c>
      <c r="D120" s="1">
        <v>12000000</v>
      </c>
      <c r="F120" s="12">
        <f t="shared" si="17"/>
        <v>45855</v>
      </c>
      <c r="G120" s="11">
        <f t="shared" si="18"/>
        <v>38.472429636036999</v>
      </c>
      <c r="H120" s="11">
        <f t="shared" si="19"/>
        <v>20</v>
      </c>
      <c r="I120" s="11" t="e">
        <f t="shared" si="15"/>
        <v>#N/A</v>
      </c>
      <c r="J120" s="11" t="e">
        <f t="shared" si="16"/>
        <v>#N/A</v>
      </c>
      <c r="K120" s="124">
        <v>113</v>
      </c>
      <c r="L120" s="11">
        <f t="shared" si="14"/>
        <v>131.93129999999999</v>
      </c>
    </row>
    <row r="121" spans="2:12" x14ac:dyDescent="0.25">
      <c r="B121" s="2">
        <v>45883</v>
      </c>
      <c r="C121" s="1">
        <v>40241069.487878993</v>
      </c>
      <c r="D121" s="1">
        <v>20000000</v>
      </c>
      <c r="F121" s="12">
        <f t="shared" si="17"/>
        <v>45862</v>
      </c>
      <c r="G121" s="11">
        <f t="shared" si="18"/>
        <v>45.117659192228352</v>
      </c>
      <c r="H121" s="11">
        <f t="shared" si="19"/>
        <v>30</v>
      </c>
      <c r="I121" s="11" t="e">
        <f t="shared" si="15"/>
        <v>#N/A</v>
      </c>
      <c r="J121" s="11" t="e">
        <f t="shared" si="16"/>
        <v>#N/A</v>
      </c>
      <c r="K121" s="124">
        <v>114</v>
      </c>
      <c r="L121" s="11">
        <f t="shared" si="14"/>
        <v>132.94540000000001</v>
      </c>
    </row>
    <row r="122" spans="2:12" x14ac:dyDescent="0.25">
      <c r="B122" s="2">
        <v>45890</v>
      </c>
      <c r="C122" s="1">
        <v>47035671.923170753</v>
      </c>
      <c r="D122" s="1">
        <v>30000000</v>
      </c>
      <c r="F122" s="12">
        <f t="shared" si="17"/>
        <v>45869</v>
      </c>
      <c r="G122" s="11">
        <f t="shared" si="18"/>
        <v>19.937236010379934</v>
      </c>
      <c r="H122" s="11">
        <f t="shared" si="19"/>
        <v>4</v>
      </c>
      <c r="I122" s="11" t="e">
        <f t="shared" si="15"/>
        <v>#N/A</v>
      </c>
      <c r="J122" s="11" t="e">
        <f t="shared" si="16"/>
        <v>#N/A</v>
      </c>
      <c r="K122" s="124">
        <v>115</v>
      </c>
      <c r="L122" s="11">
        <f t="shared" si="14"/>
        <v>133.95949999999999</v>
      </c>
    </row>
    <row r="123" spans="2:12" x14ac:dyDescent="0.25">
      <c r="B123" s="2">
        <v>45897</v>
      </c>
      <c r="C123" s="1">
        <v>66551963.75895492</v>
      </c>
      <c r="D123" s="1">
        <v>50000000</v>
      </c>
      <c r="F123" s="12">
        <f t="shared" si="17"/>
        <v>45876</v>
      </c>
      <c r="G123" s="11">
        <f t="shared" si="18"/>
        <v>29.048655266484793</v>
      </c>
      <c r="H123" s="11">
        <f t="shared" si="19"/>
        <v>12</v>
      </c>
      <c r="I123" s="11" t="e">
        <f t="shared" si="15"/>
        <v>#N/A</v>
      </c>
      <c r="J123" s="11" t="e">
        <f t="shared" si="16"/>
        <v>#N/A</v>
      </c>
      <c r="K123" s="124">
        <v>116</v>
      </c>
      <c r="L123" s="11">
        <f t="shared" si="14"/>
        <v>134.9736</v>
      </c>
    </row>
    <row r="124" spans="2:12" x14ac:dyDescent="0.25">
      <c r="B124" s="2">
        <v>45904</v>
      </c>
      <c r="C124" s="1">
        <v>101928048.99416684</v>
      </c>
      <c r="D124" s="1">
        <v>80000000</v>
      </c>
      <c r="F124" s="12">
        <f t="shared" si="17"/>
        <v>45883</v>
      </c>
      <c r="G124" s="11">
        <f t="shared" si="18"/>
        <v>40.241069487878995</v>
      </c>
      <c r="H124" s="11">
        <f t="shared" si="19"/>
        <v>20</v>
      </c>
      <c r="I124" s="11" t="e">
        <f t="shared" si="15"/>
        <v>#N/A</v>
      </c>
      <c r="J124" s="11" t="e">
        <f t="shared" si="16"/>
        <v>#N/A</v>
      </c>
      <c r="K124" s="124">
        <v>117</v>
      </c>
      <c r="L124" s="11">
        <f t="shared" si="14"/>
        <v>135.98769999999999</v>
      </c>
    </row>
    <row r="125" spans="2:12" x14ac:dyDescent="0.25">
      <c r="B125" s="2">
        <v>45911</v>
      </c>
      <c r="C125" s="1">
        <v>20483398.762392711</v>
      </c>
      <c r="D125" s="1">
        <v>4000000</v>
      </c>
      <c r="F125" s="12">
        <f t="shared" si="17"/>
        <v>45890</v>
      </c>
      <c r="G125" s="11">
        <f t="shared" si="18"/>
        <v>47.035671923170753</v>
      </c>
      <c r="H125" s="11">
        <f t="shared" si="19"/>
        <v>30</v>
      </c>
      <c r="I125" s="11" t="e">
        <f t="shared" si="15"/>
        <v>#N/A</v>
      </c>
      <c r="J125" s="11" t="e">
        <f t="shared" si="16"/>
        <v>#N/A</v>
      </c>
      <c r="K125" s="124">
        <v>118</v>
      </c>
      <c r="L125" s="11">
        <f t="shared" si="14"/>
        <v>137.0018</v>
      </c>
    </row>
    <row r="126" spans="2:12" x14ac:dyDescent="0.25">
      <c r="B126" s="2">
        <v>45918</v>
      </c>
      <c r="C126" s="1">
        <v>30919785.082174465</v>
      </c>
      <c r="D126" s="1">
        <v>12000000</v>
      </c>
      <c r="F126" s="12">
        <f t="shared" si="17"/>
        <v>45897</v>
      </c>
      <c r="G126" s="11">
        <f t="shared" si="18"/>
        <v>66.551963758954926</v>
      </c>
      <c r="H126" s="11">
        <f t="shared" si="19"/>
        <v>50</v>
      </c>
      <c r="I126" s="11" t="e">
        <f t="shared" si="15"/>
        <v>#N/A</v>
      </c>
      <c r="J126" s="11" t="e">
        <f t="shared" si="16"/>
        <v>#N/A</v>
      </c>
      <c r="K126" s="124">
        <v>119</v>
      </c>
      <c r="L126" s="11">
        <f t="shared" si="14"/>
        <v>138.01589999999999</v>
      </c>
    </row>
    <row r="127" spans="2:12" x14ac:dyDescent="0.25">
      <c r="D127" s="9">
        <v>12230604.616622316</v>
      </c>
      <c r="F127" s="12">
        <f t="shared" si="17"/>
        <v>45904</v>
      </c>
      <c r="G127" s="11">
        <f t="shared" si="18"/>
        <v>101.92804899416683</v>
      </c>
      <c r="H127" s="11">
        <f t="shared" si="19"/>
        <v>80</v>
      </c>
      <c r="I127" s="11" t="e">
        <f t="shared" si="15"/>
        <v>#N/A</v>
      </c>
      <c r="J127" s="11" t="e">
        <f t="shared" si="16"/>
        <v>#N/A</v>
      </c>
      <c r="K127" s="124">
        <v>120</v>
      </c>
      <c r="L127" s="11">
        <f t="shared" si="14"/>
        <v>139.03</v>
      </c>
    </row>
    <row r="128" spans="2:12" x14ac:dyDescent="0.25">
      <c r="D128" s="9">
        <v>16704121.542174639</v>
      </c>
      <c r="F128" s="12">
        <f t="shared" si="17"/>
        <v>45911</v>
      </c>
      <c r="G128" s="11">
        <f t="shared" si="18"/>
        <v>20.48339876239271</v>
      </c>
      <c r="H128" s="11">
        <f t="shared" si="19"/>
        <v>4</v>
      </c>
      <c r="I128" s="11" t="e">
        <f t="shared" si="15"/>
        <v>#N/A</v>
      </c>
      <c r="J128" s="11" t="e">
        <f t="shared" si="16"/>
        <v>#N/A</v>
      </c>
      <c r="K128" s="124">
        <v>121</v>
      </c>
      <c r="L128" s="11">
        <f t="shared" si="14"/>
        <v>140.04410000000001</v>
      </c>
    </row>
    <row r="129" spans="4:12" x14ac:dyDescent="0.25">
      <c r="D129" s="9">
        <v>12325589.702333063</v>
      </c>
      <c r="F129" s="12">
        <f t="shared" si="17"/>
        <v>45918</v>
      </c>
      <c r="G129" s="11">
        <f t="shared" si="18"/>
        <v>30.919785082174464</v>
      </c>
      <c r="H129" s="11">
        <f t="shared" si="19"/>
        <v>12</v>
      </c>
      <c r="I129" s="11" t="e">
        <f t="shared" si="15"/>
        <v>#N/A</v>
      </c>
      <c r="J129" s="11" t="e">
        <f t="shared" si="16"/>
        <v>#N/A</v>
      </c>
      <c r="K129" s="124">
        <v>122</v>
      </c>
      <c r="L129" s="11">
        <f t="shared" si="14"/>
        <v>141.0582</v>
      </c>
    </row>
    <row r="130" spans="4:12" x14ac:dyDescent="0.25">
      <c r="D130" s="9">
        <v>15336385.914969984</v>
      </c>
      <c r="F130" s="12"/>
      <c r="G130" s="11"/>
      <c r="H130" s="11"/>
      <c r="I130" s="11"/>
      <c r="J130" s="11"/>
      <c r="K130" s="124">
        <v>123</v>
      </c>
      <c r="L130" s="11">
        <f t="shared" si="14"/>
        <v>142.07230000000001</v>
      </c>
    </row>
    <row r="131" spans="4:12" x14ac:dyDescent="0.25">
      <c r="D131" s="9">
        <v>18797418.899684388</v>
      </c>
      <c r="F131" s="12"/>
      <c r="G131" s="11"/>
      <c r="H131" s="11"/>
      <c r="I131" s="11"/>
      <c r="J131" s="11"/>
      <c r="K131" s="124">
        <v>124</v>
      </c>
      <c r="L131" s="11">
        <f t="shared" si="14"/>
        <v>143.0864</v>
      </c>
    </row>
    <row r="132" spans="4:12" x14ac:dyDescent="0.25">
      <c r="D132" s="9">
        <v>22750507.333374586</v>
      </c>
      <c r="F132" s="12"/>
      <c r="G132" s="11"/>
      <c r="H132" s="11"/>
      <c r="I132" s="11"/>
      <c r="J132" s="11"/>
      <c r="K132" s="124">
        <v>125</v>
      </c>
      <c r="L132" s="11">
        <f t="shared" si="14"/>
        <v>144.10050000000001</v>
      </c>
    </row>
    <row r="133" spans="4:12" x14ac:dyDescent="0.25">
      <c r="D133" s="9">
        <v>27826067.454669226</v>
      </c>
      <c r="F133" s="12"/>
      <c r="G133" s="11"/>
      <c r="H133" s="11"/>
      <c r="I133" s="11"/>
      <c r="J133" s="11"/>
      <c r="K133" s="124">
        <v>126</v>
      </c>
      <c r="L133" s="11">
        <f t="shared" si="14"/>
        <v>145.1146</v>
      </c>
    </row>
    <row r="134" spans="4:12" x14ac:dyDescent="0.25">
      <c r="D134" s="9">
        <v>37957462.714276873</v>
      </c>
      <c r="F134" s="12"/>
      <c r="G134" s="11"/>
      <c r="H134" s="11"/>
      <c r="I134" s="11"/>
      <c r="J134" s="11"/>
      <c r="K134" s="124">
        <v>127</v>
      </c>
      <c r="L134" s="11">
        <f t="shared" si="14"/>
        <v>146.12869999999998</v>
      </c>
    </row>
    <row r="135" spans="4:12" x14ac:dyDescent="0.25">
      <c r="D135" s="9">
        <v>52868604.987932429</v>
      </c>
      <c r="F135" s="12"/>
      <c r="G135" s="11"/>
      <c r="H135" s="11"/>
      <c r="I135" s="11"/>
      <c r="J135" s="11"/>
      <c r="K135" s="124">
        <v>128</v>
      </c>
      <c r="L135" s="11">
        <f t="shared" si="14"/>
        <v>147.14279999999999</v>
      </c>
    </row>
    <row r="136" spans="4:12" x14ac:dyDescent="0.25">
      <c r="D136" s="9">
        <v>73766786.311034098</v>
      </c>
      <c r="F136" s="12"/>
      <c r="G136" s="11"/>
      <c r="H136" s="11"/>
      <c r="I136" s="11"/>
      <c r="J136" s="11"/>
      <c r="K136" s="124">
        <v>129</v>
      </c>
      <c r="L136" s="11">
        <f t="shared" si="14"/>
        <v>148.15690000000001</v>
      </c>
    </row>
    <row r="137" spans="4:12" x14ac:dyDescent="0.25">
      <c r="D137" s="9">
        <v>149659728.94362274</v>
      </c>
      <c r="F137" s="12"/>
      <c r="G137" s="11"/>
      <c r="H137" s="11"/>
      <c r="I137" s="11"/>
      <c r="J137" s="11"/>
      <c r="K137" s="124">
        <v>130</v>
      </c>
      <c r="L137" s="11">
        <f t="shared" ref="L137:L200" si="20">$L$5+$K$5*K137</f>
        <v>149.17099999999999</v>
      </c>
    </row>
    <row r="138" spans="4:12" x14ac:dyDescent="0.25">
      <c r="D138" s="9">
        <v>14254130.329847144</v>
      </c>
      <c r="F138" s="12"/>
      <c r="G138" s="11"/>
      <c r="H138" s="11"/>
      <c r="I138" s="11"/>
      <c r="J138" s="11"/>
      <c r="K138" s="124">
        <v>131</v>
      </c>
      <c r="L138" s="11">
        <f t="shared" si="20"/>
        <v>150.18510000000001</v>
      </c>
    </row>
    <row r="139" spans="4:12" x14ac:dyDescent="0.25">
      <c r="D139" s="9">
        <v>17621573.612228479</v>
      </c>
      <c r="F139" s="12"/>
      <c r="G139" s="11"/>
      <c r="H139" s="11"/>
      <c r="I139" s="11"/>
      <c r="J139" s="11"/>
      <c r="K139" s="124">
        <v>132</v>
      </c>
      <c r="L139" s="11">
        <f t="shared" si="20"/>
        <v>151.19919999999999</v>
      </c>
    </row>
    <row r="140" spans="4:12" x14ac:dyDescent="0.25">
      <c r="D140" s="9">
        <v>22977947.397735007</v>
      </c>
      <c r="F140" s="12"/>
      <c r="G140" s="11"/>
      <c r="H140" s="11"/>
      <c r="I140" s="11"/>
      <c r="J140" s="11"/>
      <c r="K140" s="124">
        <v>133</v>
      </c>
      <c r="L140" s="11">
        <f t="shared" si="20"/>
        <v>152.2133</v>
      </c>
    </row>
    <row r="141" spans="4:12" x14ac:dyDescent="0.25">
      <c r="D141" s="9">
        <v>29967446.995482393</v>
      </c>
      <c r="F141" s="12"/>
      <c r="G141" s="11"/>
      <c r="H141" s="11"/>
      <c r="I141" s="11"/>
      <c r="J141" s="11"/>
      <c r="K141" s="124">
        <v>134</v>
      </c>
      <c r="L141" s="11">
        <f t="shared" si="20"/>
        <v>153.22739999999999</v>
      </c>
    </row>
    <row r="142" spans="4:12" x14ac:dyDescent="0.25">
      <c r="D142" s="9">
        <v>39864962.683334358</v>
      </c>
      <c r="F142" s="12"/>
      <c r="G142" s="11"/>
      <c r="H142" s="11"/>
      <c r="I142" s="11"/>
      <c r="J142" s="11"/>
      <c r="K142" s="124">
        <v>135</v>
      </c>
      <c r="L142" s="11">
        <f t="shared" si="20"/>
        <v>154.2415</v>
      </c>
    </row>
    <row r="143" spans="4:12" x14ac:dyDescent="0.25">
      <c r="D143" s="9">
        <v>55027958.16572807</v>
      </c>
      <c r="F143" s="12"/>
      <c r="G143" s="11"/>
      <c r="H143" s="11"/>
      <c r="I143" s="11"/>
      <c r="J143" s="11"/>
      <c r="K143" s="124">
        <v>136</v>
      </c>
      <c r="L143" s="11">
        <f t="shared" si="20"/>
        <v>155.25559999999999</v>
      </c>
    </row>
    <row r="144" spans="4:12" x14ac:dyDescent="0.25">
      <c r="D144" s="9">
        <v>82565532.768116847</v>
      </c>
      <c r="F144" s="12"/>
      <c r="G144" s="11"/>
      <c r="H144" s="11"/>
      <c r="I144" s="11"/>
      <c r="J144" s="11"/>
      <c r="K144" s="124">
        <v>137</v>
      </c>
      <c r="L144" s="11">
        <f t="shared" si="20"/>
        <v>156.2697</v>
      </c>
    </row>
    <row r="145" spans="4:12" x14ac:dyDescent="0.25">
      <c r="D145" s="9">
        <v>124361859.2734699</v>
      </c>
      <c r="F145" s="12"/>
      <c r="G145" s="11"/>
      <c r="H145" s="11"/>
      <c r="I145" s="11"/>
      <c r="J145" s="11"/>
      <c r="K145" s="124">
        <v>138</v>
      </c>
      <c r="L145" s="11">
        <f t="shared" si="20"/>
        <v>157.28379999999999</v>
      </c>
    </row>
    <row r="146" spans="4:12" x14ac:dyDescent="0.25">
      <c r="D146" s="9">
        <v>202664966.89151555</v>
      </c>
      <c r="F146" s="12"/>
      <c r="G146" s="11"/>
      <c r="H146" s="11"/>
      <c r="I146" s="11"/>
      <c r="J146" s="11"/>
      <c r="K146" s="124">
        <v>139</v>
      </c>
      <c r="L146" s="11">
        <f t="shared" si="20"/>
        <v>158.2979</v>
      </c>
    </row>
    <row r="147" spans="4:12" x14ac:dyDescent="0.25">
      <c r="D147" s="9">
        <v>15306639.767312331</v>
      </c>
      <c r="F147" s="12"/>
      <c r="G147" s="11"/>
      <c r="H147" s="11"/>
      <c r="I147" s="11"/>
      <c r="J147" s="11"/>
      <c r="K147" s="124">
        <v>140</v>
      </c>
      <c r="L147" s="11">
        <f t="shared" si="20"/>
        <v>159.31199999999998</v>
      </c>
    </row>
    <row r="148" spans="4:12" x14ac:dyDescent="0.25">
      <c r="D148" s="9">
        <v>18203091.032860946</v>
      </c>
      <c r="F148" s="12"/>
      <c r="G148" s="11"/>
      <c r="H148" s="11"/>
      <c r="I148" s="11"/>
      <c r="J148" s="11"/>
      <c r="K148" s="124">
        <v>141</v>
      </c>
      <c r="L148" s="11">
        <f t="shared" si="20"/>
        <v>160.3261</v>
      </c>
    </row>
    <row r="149" spans="4:12" x14ac:dyDescent="0.25">
      <c r="D149" s="9">
        <v>21627957.918188009</v>
      </c>
      <c r="F149" s="12"/>
      <c r="G149" s="11"/>
      <c r="H149" s="11"/>
      <c r="I149" s="11"/>
      <c r="J149" s="11"/>
      <c r="K149" s="124">
        <v>142</v>
      </c>
      <c r="L149" s="11">
        <f t="shared" si="20"/>
        <v>161.34019999999998</v>
      </c>
    </row>
    <row r="150" spans="4:12" x14ac:dyDescent="0.25">
      <c r="D150" s="9">
        <v>14675381.397363698</v>
      </c>
      <c r="F150" s="12"/>
      <c r="G150" s="11"/>
      <c r="H150" s="11"/>
      <c r="I150" s="11"/>
      <c r="J150" s="11"/>
      <c r="K150" s="124">
        <v>143</v>
      </c>
      <c r="L150" s="11">
        <f t="shared" si="20"/>
        <v>162.35429999999999</v>
      </c>
    </row>
    <row r="151" spans="4:12" x14ac:dyDescent="0.25">
      <c r="D151" s="9">
        <v>19900891.144253977</v>
      </c>
      <c r="F151" s="12"/>
      <c r="G151" s="11"/>
      <c r="H151" s="11"/>
      <c r="I151" s="11"/>
      <c r="J151" s="11"/>
      <c r="K151" s="124">
        <v>144</v>
      </c>
      <c r="L151" s="11">
        <f t="shared" si="20"/>
        <v>163.36839999999998</v>
      </c>
    </row>
    <row r="152" spans="4:12" x14ac:dyDescent="0.25">
      <c r="D152" s="9">
        <v>22777251.067516554</v>
      </c>
      <c r="K152" s="124">
        <v>145</v>
      </c>
      <c r="L152" s="11">
        <f t="shared" si="20"/>
        <v>164.38249999999999</v>
      </c>
    </row>
    <row r="153" spans="4:12" x14ac:dyDescent="0.25">
      <c r="D153" s="9">
        <v>30483818.305588219</v>
      </c>
      <c r="K153" s="124">
        <v>146</v>
      </c>
      <c r="L153" s="11">
        <f t="shared" si="20"/>
        <v>165.39660000000001</v>
      </c>
    </row>
    <row r="154" spans="4:12" x14ac:dyDescent="0.25">
      <c r="D154" s="9">
        <v>40529243.888854511</v>
      </c>
      <c r="K154" s="124">
        <v>147</v>
      </c>
      <c r="L154" s="11">
        <f t="shared" si="20"/>
        <v>166.41069999999999</v>
      </c>
    </row>
    <row r="155" spans="4:12" x14ac:dyDescent="0.25">
      <c r="D155" s="9">
        <v>48609266.415000923</v>
      </c>
      <c r="K155" s="124">
        <v>148</v>
      </c>
      <c r="L155" s="11">
        <f t="shared" si="20"/>
        <v>167.4248</v>
      </c>
    </row>
    <row r="156" spans="4:12" x14ac:dyDescent="0.25">
      <c r="D156" s="9">
        <v>15126397.920663407</v>
      </c>
      <c r="K156" s="124">
        <v>149</v>
      </c>
      <c r="L156" s="11">
        <f t="shared" si="20"/>
        <v>168.43889999999999</v>
      </c>
    </row>
    <row r="157" spans="4:12" x14ac:dyDescent="0.25">
      <c r="D157" s="9">
        <v>20501358.252367102</v>
      </c>
      <c r="K157" s="124">
        <v>150</v>
      </c>
      <c r="L157" s="11">
        <f t="shared" si="20"/>
        <v>169.453</v>
      </c>
    </row>
    <row r="158" spans="4:12" x14ac:dyDescent="0.25">
      <c r="D158" s="9">
        <v>25306949.43994059</v>
      </c>
      <c r="K158" s="124">
        <v>151</v>
      </c>
      <c r="L158" s="11">
        <f t="shared" si="20"/>
        <v>170.46709999999999</v>
      </c>
    </row>
    <row r="159" spans="4:12" x14ac:dyDescent="0.25">
      <c r="D159" s="9">
        <v>25742781.855312832</v>
      </c>
      <c r="K159" s="124">
        <v>152</v>
      </c>
      <c r="L159" s="11">
        <f t="shared" si="20"/>
        <v>171.4812</v>
      </c>
    </row>
    <row r="160" spans="4:12" x14ac:dyDescent="0.25">
      <c r="D160" s="9">
        <v>25073378.303112816</v>
      </c>
      <c r="K160" s="124">
        <v>153</v>
      </c>
      <c r="L160" s="11">
        <f t="shared" si="20"/>
        <v>172.49529999999999</v>
      </c>
    </row>
    <row r="161" spans="4:12" x14ac:dyDescent="0.25">
      <c r="D161" s="9">
        <v>14302579.986385295</v>
      </c>
      <c r="K161" s="124">
        <v>154</v>
      </c>
      <c r="L161" s="11">
        <f t="shared" si="20"/>
        <v>173.5094</v>
      </c>
    </row>
    <row r="162" spans="4:12" x14ac:dyDescent="0.25">
      <c r="D162" s="9">
        <v>20379060.090352122</v>
      </c>
      <c r="K162" s="124">
        <v>155</v>
      </c>
      <c r="L162" s="11">
        <f t="shared" si="20"/>
        <v>174.52349999999998</v>
      </c>
    </row>
    <row r="163" spans="4:12" x14ac:dyDescent="0.25">
      <c r="D163" s="9">
        <v>25817218.392227244</v>
      </c>
      <c r="K163" s="124">
        <v>156</v>
      </c>
      <c r="L163" s="11">
        <f t="shared" si="20"/>
        <v>175.5376</v>
      </c>
    </row>
    <row r="164" spans="4:12" x14ac:dyDescent="0.25">
      <c r="D164" s="9">
        <v>34282351.135590076</v>
      </c>
      <c r="K164" s="124">
        <v>157</v>
      </c>
      <c r="L164" s="11">
        <f t="shared" si="20"/>
        <v>176.55169999999998</v>
      </c>
    </row>
    <row r="165" spans="4:12" x14ac:dyDescent="0.25">
      <c r="D165" s="9">
        <v>45674629.370629363</v>
      </c>
      <c r="K165" s="124">
        <v>158</v>
      </c>
      <c r="L165" s="11">
        <f t="shared" si="20"/>
        <v>177.5658</v>
      </c>
    </row>
    <row r="166" spans="4:12" x14ac:dyDescent="0.25">
      <c r="D166" s="9">
        <v>67313625.100563154</v>
      </c>
      <c r="K166" s="124">
        <v>159</v>
      </c>
      <c r="L166" s="11">
        <f t="shared" si="20"/>
        <v>178.57989999999998</v>
      </c>
    </row>
    <row r="167" spans="4:12" x14ac:dyDescent="0.25">
      <c r="D167" s="9">
        <v>14466345.689708522</v>
      </c>
      <c r="K167" s="124">
        <v>160</v>
      </c>
      <c r="L167" s="11">
        <f t="shared" si="20"/>
        <v>179.59399999999999</v>
      </c>
    </row>
    <row r="168" spans="4:12" x14ac:dyDescent="0.25">
      <c r="D168" s="9">
        <v>21317199.148677409</v>
      </c>
      <c r="K168" s="124">
        <v>161</v>
      </c>
      <c r="L168" s="11">
        <f t="shared" si="20"/>
        <v>180.60810000000001</v>
      </c>
    </row>
    <row r="169" spans="4:12" x14ac:dyDescent="0.25">
      <c r="D169" s="9">
        <v>28132182.912739433</v>
      </c>
      <c r="K169" s="124">
        <v>162</v>
      </c>
      <c r="L169" s="11">
        <f t="shared" si="20"/>
        <v>181.62219999999999</v>
      </c>
    </row>
    <row r="170" spans="4:12" x14ac:dyDescent="0.25">
      <c r="D170" s="9">
        <v>36338271.571906358</v>
      </c>
      <c r="K170" s="124">
        <v>163</v>
      </c>
      <c r="L170" s="11">
        <f t="shared" si="20"/>
        <v>182.63630000000001</v>
      </c>
    </row>
    <row r="171" spans="4:12" x14ac:dyDescent="0.25">
      <c r="D171" s="9">
        <v>47382249.437519006</v>
      </c>
      <c r="K171" s="124">
        <v>164</v>
      </c>
      <c r="L171" s="11">
        <f t="shared" si="20"/>
        <v>183.65039999999999</v>
      </c>
    </row>
    <row r="172" spans="4:12" x14ac:dyDescent="0.25">
      <c r="D172" s="9">
        <v>63680303.55731225</v>
      </c>
      <c r="K172" s="124">
        <v>165</v>
      </c>
      <c r="L172" s="11">
        <f t="shared" si="20"/>
        <v>184.6645</v>
      </c>
    </row>
    <row r="173" spans="4:12" x14ac:dyDescent="0.25">
      <c r="D173" s="9">
        <v>82611427.667984188</v>
      </c>
      <c r="K173" s="124">
        <v>166</v>
      </c>
      <c r="L173" s="11">
        <f t="shared" si="20"/>
        <v>185.67859999999999</v>
      </c>
    </row>
    <row r="174" spans="4:12" x14ac:dyDescent="0.25">
      <c r="D174" s="9">
        <v>15454267.436910914</v>
      </c>
      <c r="K174" s="124">
        <v>167</v>
      </c>
      <c r="L174" s="11">
        <f t="shared" si="20"/>
        <v>186.6927</v>
      </c>
    </row>
    <row r="175" spans="4:12" x14ac:dyDescent="0.25">
      <c r="D175" s="9">
        <v>21964242.505320761</v>
      </c>
      <c r="K175" s="124">
        <v>168</v>
      </c>
      <c r="L175" s="11">
        <f t="shared" si="20"/>
        <v>187.70679999999999</v>
      </c>
    </row>
    <row r="176" spans="4:12" x14ac:dyDescent="0.25">
      <c r="D176" s="9">
        <v>28686509.212526601</v>
      </c>
      <c r="K176" s="124">
        <v>169</v>
      </c>
      <c r="L176" s="11">
        <f t="shared" si="20"/>
        <v>188.7209</v>
      </c>
    </row>
    <row r="177" spans="4:12" x14ac:dyDescent="0.25">
      <c r="D177" s="9">
        <v>40886779.446640313</v>
      </c>
      <c r="K177" s="124">
        <v>170</v>
      </c>
      <c r="L177" s="11">
        <f t="shared" si="20"/>
        <v>189.73499999999999</v>
      </c>
    </row>
    <row r="178" spans="4:12" x14ac:dyDescent="0.25">
      <c r="D178" s="9">
        <v>17546634.478564911</v>
      </c>
      <c r="K178" s="124">
        <v>171</v>
      </c>
      <c r="L178" s="11">
        <f t="shared" si="20"/>
        <v>190.7491</v>
      </c>
    </row>
    <row r="179" spans="4:12" x14ac:dyDescent="0.25">
      <c r="D179" s="9">
        <v>22952706.354515053</v>
      </c>
      <c r="K179" s="124">
        <v>172</v>
      </c>
      <c r="L179" s="11">
        <f t="shared" si="20"/>
        <v>191.76319999999998</v>
      </c>
    </row>
    <row r="180" spans="4:12" x14ac:dyDescent="0.25">
      <c r="D180" s="9">
        <v>17170624.749163877</v>
      </c>
      <c r="K180" s="124">
        <v>173</v>
      </c>
      <c r="L180" s="11">
        <f t="shared" si="20"/>
        <v>192.7773</v>
      </c>
    </row>
    <row r="181" spans="4:12" x14ac:dyDescent="0.25">
      <c r="D181" s="9">
        <v>24236348.555792037</v>
      </c>
      <c r="K181" s="124">
        <v>174</v>
      </c>
      <c r="L181" s="11">
        <f t="shared" si="20"/>
        <v>193.79139999999998</v>
      </c>
    </row>
    <row r="182" spans="4:12" x14ac:dyDescent="0.25">
      <c r="D182" s="9">
        <v>37016112.131346919</v>
      </c>
      <c r="K182" s="124">
        <v>175</v>
      </c>
      <c r="L182" s="11">
        <f t="shared" si="20"/>
        <v>194.80549999999999</v>
      </c>
    </row>
    <row r="183" spans="4:12" x14ac:dyDescent="0.25">
      <c r="D183" s="9">
        <v>18066079.416235939</v>
      </c>
      <c r="K183" s="124">
        <v>176</v>
      </c>
      <c r="L183" s="11">
        <f t="shared" si="20"/>
        <v>195.81960000000001</v>
      </c>
    </row>
    <row r="184" spans="4:12" x14ac:dyDescent="0.25">
      <c r="D184" s="9">
        <v>24991572.879294623</v>
      </c>
      <c r="K184" s="124">
        <v>177</v>
      </c>
      <c r="L184" s="11">
        <f t="shared" si="20"/>
        <v>196.83369999999999</v>
      </c>
    </row>
    <row r="185" spans="4:12" x14ac:dyDescent="0.25">
      <c r="D185" s="9">
        <v>31885473.031316504</v>
      </c>
      <c r="K185" s="124">
        <v>178</v>
      </c>
      <c r="L185" s="11">
        <f t="shared" si="20"/>
        <v>197.84780000000001</v>
      </c>
    </row>
    <row r="186" spans="4:12" x14ac:dyDescent="0.25">
      <c r="D186" s="9">
        <v>48173921.070234112</v>
      </c>
      <c r="K186" s="124">
        <v>179</v>
      </c>
      <c r="L186" s="11">
        <f t="shared" si="20"/>
        <v>198.86189999999999</v>
      </c>
    </row>
    <row r="187" spans="4:12" x14ac:dyDescent="0.25">
      <c r="D187" s="9">
        <v>69318618.911523253</v>
      </c>
      <c r="K187" s="124">
        <v>180</v>
      </c>
      <c r="L187" s="11">
        <f t="shared" si="20"/>
        <v>199.876</v>
      </c>
    </row>
    <row r="188" spans="4:12" x14ac:dyDescent="0.25">
      <c r="D188" s="9">
        <v>107889410.27667983</v>
      </c>
      <c r="K188" s="124">
        <v>181</v>
      </c>
      <c r="L188" s="11">
        <f t="shared" si="20"/>
        <v>200.89009999999999</v>
      </c>
    </row>
    <row r="189" spans="4:12" x14ac:dyDescent="0.25">
      <c r="D189" s="9">
        <v>20009448.707813922</v>
      </c>
      <c r="K189" s="124">
        <v>182</v>
      </c>
      <c r="L189" s="11">
        <f t="shared" si="20"/>
        <v>201.9042</v>
      </c>
    </row>
    <row r="190" spans="4:12" x14ac:dyDescent="0.25">
      <c r="D190" s="9">
        <v>25611906.840985101</v>
      </c>
      <c r="K190" s="124">
        <v>183</v>
      </c>
      <c r="L190" s="11">
        <f t="shared" si="20"/>
        <v>202.91829999999999</v>
      </c>
    </row>
    <row r="191" spans="4:12" x14ac:dyDescent="0.25">
      <c r="D191" s="9">
        <v>44346019.337184548</v>
      </c>
      <c r="K191" s="124">
        <v>184</v>
      </c>
      <c r="L191" s="11">
        <f t="shared" si="20"/>
        <v>203.9324</v>
      </c>
    </row>
    <row r="192" spans="4:12" x14ac:dyDescent="0.25">
      <c r="D192" s="9">
        <v>19730848.28215263</v>
      </c>
      <c r="K192" s="124">
        <v>185</v>
      </c>
      <c r="L192" s="11">
        <f t="shared" si="20"/>
        <v>204.94649999999999</v>
      </c>
    </row>
    <row r="193" spans="4:12" x14ac:dyDescent="0.25">
      <c r="D193" s="9">
        <v>26811783.764062021</v>
      </c>
      <c r="K193" s="124">
        <v>186</v>
      </c>
      <c r="L193" s="11">
        <f t="shared" si="20"/>
        <v>205.9606</v>
      </c>
    </row>
    <row r="194" spans="4:12" x14ac:dyDescent="0.25">
      <c r="D194" s="9">
        <v>18946345.758589238</v>
      </c>
      <c r="K194" s="124">
        <v>187</v>
      </c>
      <c r="L194" s="11">
        <f t="shared" si="20"/>
        <v>206.97469999999998</v>
      </c>
    </row>
    <row r="195" spans="4:12" x14ac:dyDescent="0.25">
      <c r="D195" s="9">
        <v>26767640.01216175</v>
      </c>
      <c r="K195" s="124">
        <v>188</v>
      </c>
      <c r="L195" s="11">
        <f t="shared" si="20"/>
        <v>207.9888</v>
      </c>
    </row>
    <row r="196" spans="4:12" x14ac:dyDescent="0.25">
      <c r="D196" s="9">
        <v>40517600.243235022</v>
      </c>
      <c r="K196" s="124">
        <v>189</v>
      </c>
      <c r="L196" s="11">
        <f t="shared" si="20"/>
        <v>209.00289999999998</v>
      </c>
    </row>
    <row r="197" spans="4:12" x14ac:dyDescent="0.25">
      <c r="D197" s="9">
        <v>59511774.76436606</v>
      </c>
      <c r="K197" s="124">
        <v>190</v>
      </c>
      <c r="L197" s="11">
        <f t="shared" si="20"/>
        <v>210.017</v>
      </c>
    </row>
    <row r="198" spans="4:12" x14ac:dyDescent="0.25">
      <c r="D198" s="9">
        <v>82205458.680449992</v>
      </c>
      <c r="K198" s="124">
        <v>191</v>
      </c>
      <c r="L198" s="11">
        <f t="shared" si="20"/>
        <v>211.03109999999998</v>
      </c>
    </row>
    <row r="199" spans="4:12" x14ac:dyDescent="0.25">
      <c r="D199" s="9">
        <v>19672046.457889937</v>
      </c>
      <c r="K199" s="124">
        <v>192</v>
      </c>
      <c r="L199" s="11">
        <f t="shared" si="20"/>
        <v>212.04519999999999</v>
      </c>
    </row>
    <row r="200" spans="4:12" x14ac:dyDescent="0.25">
      <c r="D200" s="9">
        <v>27468281.909394953</v>
      </c>
      <c r="K200" s="124">
        <v>193</v>
      </c>
      <c r="L200" s="11">
        <f t="shared" si="20"/>
        <v>213.05930000000001</v>
      </c>
    </row>
    <row r="201" spans="4:12" x14ac:dyDescent="0.25">
      <c r="D201" s="9">
        <v>42908867.619337186</v>
      </c>
      <c r="K201" s="124">
        <v>194</v>
      </c>
      <c r="L201" s="11">
        <f t="shared" ref="L201:L207" si="21">$L$5+$K$5*K201</f>
        <v>214.07339999999999</v>
      </c>
    </row>
    <row r="202" spans="4:12" x14ac:dyDescent="0.25">
      <c r="D202" s="9">
        <v>61499423.776223779</v>
      </c>
      <c r="K202" s="124">
        <v>195</v>
      </c>
      <c r="L202" s="11">
        <f t="shared" si="21"/>
        <v>215.08750000000001</v>
      </c>
    </row>
    <row r="203" spans="4:12" x14ac:dyDescent="0.25">
      <c r="D203" s="9">
        <v>19054887.686226815</v>
      </c>
      <c r="K203" s="124">
        <v>196</v>
      </c>
      <c r="L203" s="11">
        <f t="shared" si="21"/>
        <v>216.10159999999999</v>
      </c>
    </row>
    <row r="204" spans="4:12" x14ac:dyDescent="0.25">
      <c r="D204" s="9">
        <v>24929902.341137119</v>
      </c>
      <c r="K204" s="124">
        <v>197</v>
      </c>
      <c r="L204" s="11">
        <f t="shared" si="21"/>
        <v>217.1157</v>
      </c>
    </row>
    <row r="205" spans="4:12" x14ac:dyDescent="0.25">
      <c r="D205" s="9">
        <v>39323627.363940403</v>
      </c>
      <c r="K205" s="124">
        <v>198</v>
      </c>
      <c r="L205" s="11">
        <f t="shared" si="21"/>
        <v>218.12979999999999</v>
      </c>
    </row>
    <row r="206" spans="4:12" x14ac:dyDescent="0.25">
      <c r="D206" s="9">
        <v>17490034.417756159</v>
      </c>
      <c r="K206" s="124">
        <v>199</v>
      </c>
      <c r="L206" s="11">
        <f t="shared" si="21"/>
        <v>219.1439</v>
      </c>
    </row>
    <row r="207" spans="4:12" x14ac:dyDescent="0.25">
      <c r="D207" s="9">
        <v>23485624.323502589</v>
      </c>
      <c r="K207" s="124">
        <v>200</v>
      </c>
      <c r="L207" s="11">
        <f t="shared" si="21"/>
        <v>220.15799999999999</v>
      </c>
    </row>
    <row r="208" spans="4:12" x14ac:dyDescent="0.25">
      <c r="D208" s="9">
        <v>40190379.81149286</v>
      </c>
    </row>
    <row r="209" spans="4:4" x14ac:dyDescent="0.25">
      <c r="D209" s="9">
        <v>17815226.512617815</v>
      </c>
    </row>
    <row r="210" spans="4:4" x14ac:dyDescent="0.25">
      <c r="D210" s="9">
        <v>25066381.757373061</v>
      </c>
    </row>
    <row r="211" spans="4:4" x14ac:dyDescent="0.25">
      <c r="D211" s="9">
        <v>40397165.825478874</v>
      </c>
    </row>
    <row r="212" spans="4:4" x14ac:dyDescent="0.25">
      <c r="D212" s="9">
        <v>19022130.495591365</v>
      </c>
    </row>
    <row r="213" spans="4:4" x14ac:dyDescent="0.25">
      <c r="D213" s="9">
        <v>25387217.756156884</v>
      </c>
    </row>
    <row r="214" spans="4:4" x14ac:dyDescent="0.25">
      <c r="D214" s="9">
        <v>17082868.713894803</v>
      </c>
    </row>
    <row r="215" spans="4:4" x14ac:dyDescent="0.25">
      <c r="D215" s="9">
        <v>24054723.502584364</v>
      </c>
    </row>
    <row r="216" spans="4:4" x14ac:dyDescent="0.25">
      <c r="D216" s="9">
        <v>39055239.160839155</v>
      </c>
    </row>
    <row r="217" spans="4:4" x14ac:dyDescent="0.25">
      <c r="D217" s="9">
        <v>22190279.355427179</v>
      </c>
    </row>
    <row r="218" spans="4:4" x14ac:dyDescent="0.25">
      <c r="D218" s="9">
        <v>36953457.707509883</v>
      </c>
    </row>
    <row r="219" spans="4:4" x14ac:dyDescent="0.25">
      <c r="D219" s="9">
        <v>48994890.605047114</v>
      </c>
    </row>
    <row r="220" spans="4:4" x14ac:dyDescent="0.25">
      <c r="D220" s="9">
        <v>78306876.740650654</v>
      </c>
    </row>
    <row r="221" spans="4:4" x14ac:dyDescent="0.25">
      <c r="D221" s="9">
        <v>22972673.761021584</v>
      </c>
    </row>
    <row r="222" spans="4:4" x14ac:dyDescent="0.25">
      <c r="D222" s="9">
        <v>37058402.918820314</v>
      </c>
    </row>
    <row r="223" spans="4:4" x14ac:dyDescent="0.25">
      <c r="D223" s="9">
        <v>45393461.35603527</v>
      </c>
    </row>
    <row r="224" spans="4:4" x14ac:dyDescent="0.25">
      <c r="D224" s="9">
        <v>69997466.46397081</v>
      </c>
    </row>
    <row r="225" spans="4:4" x14ac:dyDescent="0.25">
      <c r="D225" s="9">
        <v>23504738.218303431</v>
      </c>
    </row>
    <row r="226" spans="4:4" x14ac:dyDescent="0.25">
      <c r="D226" s="9">
        <v>37212500.334448159</v>
      </c>
    </row>
    <row r="227" spans="4:4" x14ac:dyDescent="0.25">
      <c r="D227" s="9">
        <v>41866552.508361198</v>
      </c>
    </row>
    <row r="228" spans="4:4" x14ac:dyDescent="0.25">
      <c r="D228" s="9">
        <v>63615309.698996648</v>
      </c>
    </row>
    <row r="229" spans="4:4" x14ac:dyDescent="0.25">
      <c r="D229" s="9">
        <v>118500310.611128</v>
      </c>
    </row>
    <row r="230" spans="4:4" x14ac:dyDescent="0.25">
      <c r="D230" s="9">
        <v>24573953.906962603</v>
      </c>
    </row>
    <row r="231" spans="4:4" x14ac:dyDescent="0.25">
      <c r="D231" s="9">
        <v>37110605.290361807</v>
      </c>
    </row>
    <row r="232" spans="4:4" x14ac:dyDescent="0.25">
      <c r="D232" s="9">
        <v>47890415.81027668</v>
      </c>
    </row>
    <row r="233" spans="4:4" x14ac:dyDescent="0.25">
      <c r="D233" s="9">
        <v>18569740.589844935</v>
      </c>
    </row>
    <row r="234" spans="4:4" x14ac:dyDescent="0.25">
      <c r="D234" s="9">
        <v>25429040.072970506</v>
      </c>
    </row>
    <row r="235" spans="4:4" x14ac:dyDescent="0.25">
      <c r="D235" s="9">
        <v>17730661.964122836</v>
      </c>
    </row>
    <row r="236" spans="4:4" x14ac:dyDescent="0.25">
      <c r="D236" s="9">
        <v>23443848.707813926</v>
      </c>
    </row>
    <row r="237" spans="4:4" x14ac:dyDescent="0.25">
      <c r="D237" s="9">
        <v>36861438.491942838</v>
      </c>
    </row>
    <row r="238" spans="4:4" x14ac:dyDescent="0.25">
      <c r="D238" s="9">
        <v>55754455.457585886</v>
      </c>
    </row>
    <row r="239" spans="4:4" x14ac:dyDescent="0.25">
      <c r="D239" s="9">
        <v>77623219.458802059</v>
      </c>
    </row>
    <row r="240" spans="4:4" x14ac:dyDescent="0.25">
      <c r="D240" s="9">
        <v>18162558.102766801</v>
      </c>
    </row>
    <row r="241" spans="4:4" x14ac:dyDescent="0.25">
      <c r="D241" s="9">
        <v>25998846.336272418</v>
      </c>
    </row>
    <row r="242" spans="4:4" x14ac:dyDescent="0.25">
      <c r="D242" s="9">
        <v>41039352.751596227</v>
      </c>
    </row>
    <row r="243" spans="4:4" x14ac:dyDescent="0.25">
      <c r="D243" s="9">
        <v>57263651.200972937</v>
      </c>
    </row>
    <row r="244" spans="4:4" x14ac:dyDescent="0.25">
      <c r="D244" s="9">
        <v>80092385.770750985</v>
      </c>
    </row>
    <row r="245" spans="4:4" x14ac:dyDescent="0.25">
      <c r="D245" s="9">
        <v>125405739.86013986</v>
      </c>
    </row>
    <row r="246" spans="4:4" x14ac:dyDescent="0.25">
      <c r="D246" s="9">
        <v>20220383.581635755</v>
      </c>
    </row>
    <row r="247" spans="4:4" x14ac:dyDescent="0.25">
      <c r="D247" s="9">
        <v>29212562.35937975</v>
      </c>
    </row>
    <row r="248" spans="4:4" x14ac:dyDescent="0.25">
      <c r="D248" s="9">
        <v>43186218.060200661</v>
      </c>
    </row>
    <row r="249" spans="4:4" x14ac:dyDescent="0.25">
      <c r="D249" s="9">
        <v>19506276.92307692</v>
      </c>
    </row>
    <row r="250" spans="4:4" x14ac:dyDescent="0.25">
      <c r="D250" s="9">
        <v>25355454.910307083</v>
      </c>
    </row>
    <row r="251" spans="4:4" x14ac:dyDescent="0.25">
      <c r="D251" s="9">
        <v>19222718.151413802</v>
      </c>
    </row>
    <row r="252" spans="4:4" x14ac:dyDescent="0.25">
      <c r="D252" s="9">
        <v>26314208.574034661</v>
      </c>
    </row>
    <row r="253" spans="4:4" x14ac:dyDescent="0.25">
      <c r="D253" s="9">
        <v>42338397.567649737</v>
      </c>
    </row>
    <row r="254" spans="4:4" x14ac:dyDescent="0.25">
      <c r="D254" s="9">
        <v>59016362.663423538</v>
      </c>
    </row>
    <row r="255" spans="4:4" x14ac:dyDescent="0.25">
      <c r="D255" s="9">
        <v>83423387.290969908</v>
      </c>
    </row>
    <row r="256" spans="4:4" x14ac:dyDescent="0.25">
      <c r="D256" s="9">
        <v>18862208.574034657</v>
      </c>
    </row>
    <row r="257" spans="4:4" x14ac:dyDescent="0.25">
      <c r="D257" s="9">
        <v>25128435.147461236</v>
      </c>
    </row>
    <row r="258" spans="4:4" x14ac:dyDescent="0.25">
      <c r="D258" s="9">
        <v>41533547.217999399</v>
      </c>
    </row>
    <row r="259" spans="4:4" x14ac:dyDescent="0.25">
      <c r="D259" s="9">
        <v>57357794.101550631</v>
      </c>
    </row>
    <row r="260" spans="4:4" x14ac:dyDescent="0.25">
      <c r="D260" s="9">
        <v>81402100.334448159</v>
      </c>
    </row>
    <row r="261" spans="4:4" x14ac:dyDescent="0.25">
      <c r="D261" s="9">
        <v>109814245.30252357</v>
      </c>
    </row>
    <row r="262" spans="4:4" x14ac:dyDescent="0.25">
      <c r="D262" s="9">
        <v>18912447.065977499</v>
      </c>
    </row>
    <row r="263" spans="4:4" x14ac:dyDescent="0.25">
      <c r="D263" s="9">
        <v>26709691.456369717</v>
      </c>
    </row>
    <row r="264" spans="4:4" x14ac:dyDescent="0.25">
      <c r="D264" s="9">
        <v>40654796.959562175</v>
      </c>
    </row>
    <row r="265" spans="4:4" x14ac:dyDescent="0.25">
      <c r="D265" s="9">
        <v>45526023.472179994</v>
      </c>
    </row>
    <row r="266" spans="4:4" x14ac:dyDescent="0.25">
      <c r="D266" s="9">
        <v>76041502.462754637</v>
      </c>
    </row>
    <row r="267" spans="4:4" x14ac:dyDescent="0.25">
      <c r="D267" s="9">
        <v>18115088.35512314</v>
      </c>
    </row>
    <row r="268" spans="4:4" x14ac:dyDescent="0.25">
      <c r="D268" s="9">
        <v>23312285.071450286</v>
      </c>
    </row>
    <row r="269" spans="4:4" x14ac:dyDescent="0.25">
      <c r="D269" s="9">
        <v>34469990.878686532</v>
      </c>
    </row>
    <row r="270" spans="4:4" x14ac:dyDescent="0.25">
      <c r="D270" s="9">
        <v>56254159.197324418</v>
      </c>
    </row>
    <row r="271" spans="4:4" x14ac:dyDescent="0.25">
      <c r="D271" s="9">
        <v>79133284.037701428</v>
      </c>
    </row>
    <row r="272" spans="4:4" x14ac:dyDescent="0.25">
      <c r="D272" s="9">
        <v>115947240.37701429</v>
      </c>
    </row>
    <row r="273" spans="4:4" x14ac:dyDescent="0.25">
      <c r="D273" s="9">
        <v>244631644.87686226</v>
      </c>
    </row>
    <row r="274" spans="4:4" x14ac:dyDescent="0.25">
      <c r="D274" s="9">
        <v>19764375.068409853</v>
      </c>
    </row>
    <row r="275" spans="4:4" x14ac:dyDescent="0.25">
      <c r="D275" s="9">
        <v>26335124.84037701</v>
      </c>
    </row>
    <row r="276" spans="4:4" x14ac:dyDescent="0.25">
      <c r="D276" s="9">
        <v>40906184.493767105</v>
      </c>
    </row>
    <row r="277" spans="4:4" x14ac:dyDescent="0.25">
      <c r="D277" s="9">
        <v>19376209.911827303</v>
      </c>
    </row>
    <row r="278" spans="4:4" x14ac:dyDescent="0.25">
      <c r="D278" s="9">
        <v>27161959.98783825</v>
      </c>
    </row>
    <row r="279" spans="4:4" x14ac:dyDescent="0.25">
      <c r="D279" s="9">
        <v>42925571.784736998</v>
      </c>
    </row>
    <row r="280" spans="4:4" x14ac:dyDescent="0.25">
      <c r="D280" s="9">
        <v>20606947.765278194</v>
      </c>
    </row>
    <row r="281" spans="4:4" x14ac:dyDescent="0.25">
      <c r="D281" s="9">
        <v>24232711.705685619</v>
      </c>
    </row>
    <row r="282" spans="4:4" x14ac:dyDescent="0.25">
      <c r="D282" s="9">
        <v>39401901.124961987</v>
      </c>
    </row>
    <row r="283" spans="4:4" x14ac:dyDescent="0.25">
      <c r="D283" s="9">
        <v>58067244.025539674</v>
      </c>
    </row>
    <row r="284" spans="4:4" x14ac:dyDescent="0.25">
      <c r="D284" s="9">
        <v>83810205.168744296</v>
      </c>
    </row>
    <row r="285" spans="4:4" x14ac:dyDescent="0.25">
      <c r="D285" s="9">
        <v>116725204.01337792</v>
      </c>
    </row>
    <row r="286" spans="4:4" x14ac:dyDescent="0.25">
      <c r="D286" s="9">
        <v>21016983.155974455</v>
      </c>
    </row>
    <row r="287" spans="4:4" x14ac:dyDescent="0.25">
      <c r="D287" s="9">
        <v>21125759.318941928</v>
      </c>
    </row>
    <row r="288" spans="4:4" x14ac:dyDescent="0.25">
      <c r="D288" s="9">
        <v>27291882.760717545</v>
      </c>
    </row>
    <row r="289" spans="4:4" x14ac:dyDescent="0.25">
      <c r="D289" s="9">
        <v>41963661.416844025</v>
      </c>
    </row>
    <row r="290" spans="4:4" x14ac:dyDescent="0.25">
      <c r="D290" s="9">
        <v>57463937.245363325</v>
      </c>
    </row>
    <row r="291" spans="4:4" x14ac:dyDescent="0.25">
      <c r="D291" s="9">
        <v>77836461.903314069</v>
      </c>
    </row>
    <row r="292" spans="4:4" x14ac:dyDescent="0.25">
      <c r="D292" s="9">
        <v>20096787.838248707</v>
      </c>
    </row>
    <row r="293" spans="4:4" x14ac:dyDescent="0.25">
      <c r="D293" s="9">
        <v>27258635.451505017</v>
      </c>
    </row>
    <row r="294" spans="4:4" x14ac:dyDescent="0.25">
      <c r="D294" s="9">
        <v>20968405.71602311</v>
      </c>
    </row>
    <row r="295" spans="4:4" x14ac:dyDescent="0.25">
      <c r="D295" s="9">
        <v>19329129.096989967</v>
      </c>
    </row>
    <row r="296" spans="4:4" x14ac:dyDescent="0.25">
      <c r="D296" s="9">
        <v>24328928.428093642</v>
      </c>
    </row>
    <row r="297" spans="4:4" x14ac:dyDescent="0.25">
      <c r="D297" s="9">
        <v>39456376.284584977</v>
      </c>
    </row>
    <row r="298" spans="4:4" x14ac:dyDescent="0.25">
      <c r="D298" s="9">
        <v>20023645.36333232</v>
      </c>
    </row>
    <row r="299" spans="4:4" x14ac:dyDescent="0.25">
      <c r="D299" s="9">
        <v>25454583.399209488</v>
      </c>
    </row>
    <row r="300" spans="4:4" x14ac:dyDescent="0.25">
      <c r="D300" s="9">
        <v>39743730.009121314</v>
      </c>
    </row>
    <row r="301" spans="4:4" x14ac:dyDescent="0.25">
      <c r="D301" s="9">
        <v>61420572.818485856</v>
      </c>
    </row>
    <row r="302" spans="4:4" x14ac:dyDescent="0.25">
      <c r="D302" s="9">
        <v>25008818.485861961</v>
      </c>
    </row>
    <row r="303" spans="4:4" x14ac:dyDescent="0.25">
      <c r="D303" s="9">
        <v>22659829.73548191</v>
      </c>
    </row>
    <row r="304" spans="4:4" x14ac:dyDescent="0.25">
      <c r="D304" s="9">
        <v>35905405.655214347</v>
      </c>
    </row>
    <row r="305" spans="4:4" x14ac:dyDescent="0.25">
      <c r="D305" s="9">
        <v>47423181.270902999</v>
      </c>
    </row>
    <row r="306" spans="4:4" x14ac:dyDescent="0.25">
      <c r="D306" s="9">
        <v>77692655.761629671</v>
      </c>
    </row>
    <row r="307" spans="4:4" x14ac:dyDescent="0.25">
      <c r="D307" s="9">
        <v>183084473.09212527</v>
      </c>
    </row>
    <row r="308" spans="4:4" x14ac:dyDescent="0.25">
      <c r="D308" s="9">
        <v>284837413.80358768</v>
      </c>
    </row>
    <row r="309" spans="4:4" x14ac:dyDescent="0.25">
      <c r="D309" s="9">
        <v>27003392.885375496</v>
      </c>
    </row>
    <row r="310" spans="4:4" x14ac:dyDescent="0.25">
      <c r="D310" s="9">
        <v>44321005.290361807</v>
      </c>
    </row>
    <row r="311" spans="4:4" x14ac:dyDescent="0.25">
      <c r="D311" s="9">
        <v>51026175.37245363</v>
      </c>
    </row>
    <row r="312" spans="4:4" x14ac:dyDescent="0.25">
      <c r="D312" s="9">
        <v>71266594.101550624</v>
      </c>
    </row>
    <row r="313" spans="4:4" x14ac:dyDescent="0.25">
      <c r="D313" s="9">
        <v>25213057.950744905</v>
      </c>
    </row>
    <row r="314" spans="4:4" x14ac:dyDescent="0.25">
      <c r="D314" s="9">
        <v>38341626.147765279</v>
      </c>
    </row>
    <row r="315" spans="4:4" x14ac:dyDescent="0.25">
      <c r="D315" s="9">
        <v>50094358.163575552</v>
      </c>
    </row>
    <row r="316" spans="4:4" x14ac:dyDescent="0.25">
      <c r="D316" s="9">
        <v>75733957.798723027</v>
      </c>
    </row>
    <row r="317" spans="4:4" x14ac:dyDescent="0.25">
      <c r="D317" s="9">
        <v>137554844.39039224</v>
      </c>
    </row>
    <row r="318" spans="4:4" x14ac:dyDescent="0.25">
      <c r="D318" s="9">
        <v>20659761.872909699</v>
      </c>
    </row>
    <row r="319" spans="4:4" x14ac:dyDescent="0.25">
      <c r="D319" s="9">
        <v>22177022.316813622</v>
      </c>
    </row>
    <row r="320" spans="4:4" x14ac:dyDescent="0.25">
      <c r="D320" s="9">
        <v>28696273.517786555</v>
      </c>
    </row>
    <row r="321" spans="4:4" x14ac:dyDescent="0.25">
      <c r="D321" s="9">
        <v>41976722.529644273</v>
      </c>
    </row>
    <row r="322" spans="4:4" x14ac:dyDescent="0.25">
      <c r="D322" s="9">
        <v>59808873.700212829</v>
      </c>
    </row>
    <row r="323" spans="4:4" x14ac:dyDescent="0.25">
      <c r="D323" s="9">
        <v>20069480.4499848</v>
      </c>
    </row>
    <row r="324" spans="4:4" x14ac:dyDescent="0.25">
      <c r="D324" s="9">
        <v>27295176.771055035</v>
      </c>
    </row>
    <row r="325" spans="4:4" x14ac:dyDescent="0.25">
      <c r="D325" s="9">
        <v>43788940.346609913</v>
      </c>
    </row>
    <row r="326" spans="4:4" x14ac:dyDescent="0.25">
      <c r="D326" s="9">
        <v>60656023.107327446</v>
      </c>
    </row>
    <row r="327" spans="4:4" x14ac:dyDescent="0.25">
      <c r="D327" s="9">
        <v>20922155.062328976</v>
      </c>
    </row>
    <row r="328" spans="4:4" x14ac:dyDescent="0.25">
      <c r="D328" s="9">
        <v>22050697.598054122</v>
      </c>
    </row>
    <row r="329" spans="4:4" x14ac:dyDescent="0.25">
      <c r="D329" s="9">
        <v>25902576.588628761</v>
      </c>
    </row>
    <row r="330" spans="4:4" x14ac:dyDescent="0.25">
      <c r="D330" s="9">
        <v>25590152.994831257</v>
      </c>
    </row>
    <row r="331" spans="4:4" x14ac:dyDescent="0.25">
      <c r="D331" s="9">
        <v>41047026.208574027</v>
      </c>
    </row>
    <row r="332" spans="4:4" x14ac:dyDescent="0.25">
      <c r="D332" s="9">
        <v>49471698.145332925</v>
      </c>
    </row>
    <row r="333" spans="4:4" x14ac:dyDescent="0.25">
      <c r="D333" s="9">
        <v>21741040.681058068</v>
      </c>
    </row>
    <row r="334" spans="4:4" x14ac:dyDescent="0.25">
      <c r="D334" s="9">
        <v>27045895.28732137</v>
      </c>
    </row>
    <row r="335" spans="4:4" x14ac:dyDescent="0.25">
      <c r="D335" s="9">
        <v>41813564.487686224</v>
      </c>
    </row>
    <row r="336" spans="4:4" x14ac:dyDescent="0.25">
      <c r="D336" s="9">
        <v>19348700.760109454</v>
      </c>
    </row>
    <row r="337" spans="4:4" x14ac:dyDescent="0.25">
      <c r="D337" s="9">
        <v>19409982.487078138</v>
      </c>
    </row>
    <row r="338" spans="4:4" x14ac:dyDescent="0.25">
      <c r="D338" s="9">
        <v>30887849.079219788</v>
      </c>
    </row>
    <row r="339" spans="4:4" x14ac:dyDescent="0.25">
      <c r="D339" s="9">
        <v>40719506.810504526</v>
      </c>
    </row>
    <row r="340" spans="4:4" x14ac:dyDescent="0.25">
      <c r="D340" s="9">
        <v>56400732.701318517</v>
      </c>
    </row>
    <row r="341" spans="4:4" x14ac:dyDescent="0.25">
      <c r="D341" s="9">
        <v>87731429.334205076</v>
      </c>
    </row>
    <row r="342" spans="4:4" x14ac:dyDescent="0.25">
      <c r="D342" s="9">
        <v>169147583.30609131</v>
      </c>
    </row>
    <row r="343" spans="4:4" x14ac:dyDescent="0.25">
      <c r="D343" s="9">
        <v>19524423.123024959</v>
      </c>
    </row>
    <row r="344" spans="4:4" x14ac:dyDescent="0.25">
      <c r="D344" s="9">
        <v>31154789.255748071</v>
      </c>
    </row>
    <row r="345" spans="4:4" x14ac:dyDescent="0.25">
      <c r="D345" s="9">
        <v>40570238.531110391</v>
      </c>
    </row>
    <row r="346" spans="4:4" x14ac:dyDescent="0.25">
      <c r="D346" s="9">
        <v>60836962.188078903</v>
      </c>
    </row>
    <row r="347" spans="4:4" x14ac:dyDescent="0.25">
      <c r="D347" s="9">
        <v>84639629.07268171</v>
      </c>
    </row>
    <row r="348" spans="4:4" x14ac:dyDescent="0.25">
      <c r="D348" s="9">
        <v>156823488.17696416</v>
      </c>
    </row>
    <row r="349" spans="4:4" x14ac:dyDescent="0.25">
      <c r="D349" s="9">
        <v>20677774.436090227</v>
      </c>
    </row>
    <row r="350" spans="4:4" x14ac:dyDescent="0.25">
      <c r="D350" s="9">
        <v>30840203.334423013</v>
      </c>
    </row>
    <row r="351" spans="4:4" x14ac:dyDescent="0.25">
      <c r="D351" s="9">
        <v>42995307.072027899</v>
      </c>
    </row>
    <row r="352" spans="4:4" x14ac:dyDescent="0.25">
      <c r="D352" s="9">
        <v>59703342.595619485</v>
      </c>
    </row>
    <row r="353" spans="4:4" x14ac:dyDescent="0.25">
      <c r="D353" s="9">
        <v>20222166.06734227</v>
      </c>
    </row>
    <row r="354" spans="4:4" x14ac:dyDescent="0.25">
      <c r="D354" s="9">
        <v>32237415.277323749</v>
      </c>
    </row>
    <row r="355" spans="4:4" x14ac:dyDescent="0.25">
      <c r="D355" s="9">
        <v>41746812.901819773</v>
      </c>
    </row>
    <row r="356" spans="4:4" x14ac:dyDescent="0.25">
      <c r="D356" s="9">
        <v>56641298.899422474</v>
      </c>
    </row>
    <row r="357" spans="4:4" x14ac:dyDescent="0.25">
      <c r="D357" s="9">
        <v>85385106.4618067</v>
      </c>
    </row>
    <row r="358" spans="4:4" x14ac:dyDescent="0.25">
      <c r="D358" s="9">
        <v>19942564.454614796</v>
      </c>
    </row>
    <row r="359" spans="4:4" x14ac:dyDescent="0.25">
      <c r="D359" s="9">
        <v>28337262.286150157</v>
      </c>
    </row>
    <row r="360" spans="4:4" x14ac:dyDescent="0.25">
      <c r="D360" s="9">
        <v>41102714.394682363</v>
      </c>
    </row>
    <row r="361" spans="4:4" x14ac:dyDescent="0.25">
      <c r="D361" s="9">
        <v>58296434.782608703</v>
      </c>
    </row>
    <row r="362" spans="4:4" x14ac:dyDescent="0.25">
      <c r="D362" s="9">
        <v>24487517.27143947</v>
      </c>
    </row>
    <row r="363" spans="4:4" x14ac:dyDescent="0.25">
      <c r="D363" s="9">
        <v>25126546.256946716</v>
      </c>
    </row>
    <row r="364" spans="4:4" x14ac:dyDescent="0.25">
      <c r="D364" s="9">
        <v>37695077.694235586</v>
      </c>
    </row>
    <row r="365" spans="4:4" x14ac:dyDescent="0.25">
      <c r="D365" s="9">
        <v>23402584.504740112</v>
      </c>
    </row>
    <row r="366" spans="4:4" x14ac:dyDescent="0.25">
      <c r="D366" s="9">
        <v>34302016.781083152</v>
      </c>
    </row>
    <row r="367" spans="4:4" x14ac:dyDescent="0.25">
      <c r="D367" s="9">
        <v>41358095.020159096</v>
      </c>
    </row>
    <row r="368" spans="4:4" x14ac:dyDescent="0.25">
      <c r="D368" s="9">
        <v>23530717.990628749</v>
      </c>
    </row>
    <row r="369" spans="4:4" x14ac:dyDescent="0.25">
      <c r="D369" s="9">
        <v>34197531.001416586</v>
      </c>
    </row>
    <row r="370" spans="4:4" x14ac:dyDescent="0.25">
      <c r="D370" s="9">
        <v>45025587.337910004</v>
      </c>
    </row>
    <row r="371" spans="4:4" x14ac:dyDescent="0.25">
      <c r="D371" s="9">
        <v>67199002.942137957</v>
      </c>
    </row>
    <row r="372" spans="4:4" x14ac:dyDescent="0.25">
      <c r="D372" s="9">
        <v>155083141.44055796</v>
      </c>
    </row>
    <row r="373" spans="4:4" x14ac:dyDescent="0.25">
      <c r="D373" s="9">
        <v>224519188.18786097</v>
      </c>
    </row>
    <row r="374" spans="4:4" x14ac:dyDescent="0.25">
      <c r="D374" s="9">
        <v>305330546.25694674</v>
      </c>
    </row>
    <row r="375" spans="4:4" x14ac:dyDescent="0.25">
      <c r="D375" s="9">
        <v>22032789.03781192</v>
      </c>
    </row>
    <row r="376" spans="4:4" x14ac:dyDescent="0.25">
      <c r="D376" s="9">
        <v>21269048.05491991</v>
      </c>
    </row>
    <row r="377" spans="4:4" x14ac:dyDescent="0.25">
      <c r="D377" s="9">
        <v>20955573.934837092</v>
      </c>
    </row>
    <row r="378" spans="4:4" x14ac:dyDescent="0.25">
      <c r="D378" s="9">
        <v>33186050.670153648</v>
      </c>
    </row>
    <row r="379" spans="4:4" x14ac:dyDescent="0.25">
      <c r="D379" s="9">
        <v>40790859.104282446</v>
      </c>
    </row>
    <row r="380" spans="4:4" x14ac:dyDescent="0.25">
      <c r="D380" s="9">
        <v>52908046.96523919</v>
      </c>
    </row>
    <row r="381" spans="4:4" x14ac:dyDescent="0.25">
      <c r="D381" s="9">
        <v>19763648.7959028</v>
      </c>
    </row>
    <row r="382" spans="4:4" x14ac:dyDescent="0.25">
      <c r="D382" s="9">
        <v>28780959.790781304</v>
      </c>
    </row>
    <row r="383" spans="4:4" x14ac:dyDescent="0.25">
      <c r="D383" s="9">
        <v>33664848.752315573</v>
      </c>
    </row>
    <row r="384" spans="4:4" x14ac:dyDescent="0.25">
      <c r="D384" s="9">
        <v>19709566.198103961</v>
      </c>
    </row>
    <row r="385" spans="4:4" x14ac:dyDescent="0.25">
      <c r="D385" s="9">
        <v>30895473.575242456</v>
      </c>
    </row>
    <row r="386" spans="4:4" x14ac:dyDescent="0.25">
      <c r="D386" s="9">
        <v>37208673.640623301</v>
      </c>
    </row>
    <row r="387" spans="4:4" x14ac:dyDescent="0.25">
      <c r="D387" s="9">
        <v>54983203.443391085</v>
      </c>
    </row>
    <row r="388" spans="4:4" x14ac:dyDescent="0.25">
      <c r="D388" s="9">
        <v>77952955.649994567</v>
      </c>
    </row>
    <row r="389" spans="4:4" x14ac:dyDescent="0.25">
      <c r="D389" s="9">
        <v>140290075.73281032</v>
      </c>
    </row>
    <row r="390" spans="4:4" x14ac:dyDescent="0.25">
      <c r="D390" s="9">
        <v>194704917.18426505</v>
      </c>
    </row>
    <row r="391" spans="4:4" x14ac:dyDescent="0.25">
      <c r="D391" s="9">
        <v>21155360.575351421</v>
      </c>
    </row>
    <row r="392" spans="4:4" x14ac:dyDescent="0.25">
      <c r="D392" s="9">
        <v>32649363.626457453</v>
      </c>
    </row>
    <row r="393" spans="4:4" x14ac:dyDescent="0.25">
      <c r="D393" s="9">
        <v>41109275.79819113</v>
      </c>
    </row>
    <row r="394" spans="4:4" x14ac:dyDescent="0.25">
      <c r="D394" s="9">
        <v>55077120.627656102</v>
      </c>
    </row>
    <row r="395" spans="4:4" x14ac:dyDescent="0.25">
      <c r="D395" s="9">
        <v>19509070.393374741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A033-BE1A-4072-9D16-DF5F58649534}">
  <sheetPr codeName="Sheet25">
    <tabColor theme="4" tint="0.79998168889431442"/>
  </sheetPr>
  <dimension ref="B1:LC162"/>
  <sheetViews>
    <sheetView zoomScale="85" zoomScaleNormal="85" workbookViewId="0">
      <selection activeCell="DB42" sqref="DB42"/>
    </sheetView>
  </sheetViews>
  <sheetFormatPr defaultRowHeight="15" x14ac:dyDescent="0.25"/>
  <cols>
    <col min="1" max="1" width="2.7109375" style="1" customWidth="1"/>
    <col min="2" max="5" width="11.7109375" style="1" customWidth="1"/>
    <col min="6" max="6" width="2.7109375" style="1" customWidth="1"/>
    <col min="7" max="11" width="11.7109375" style="1" customWidth="1"/>
    <col min="12" max="12" width="2.7109375" style="1" customWidth="1"/>
    <col min="13" max="16" width="13.7109375" style="2" customWidth="1"/>
    <col min="17" max="17" width="2.7109375" style="1" customWidth="1"/>
    <col min="18" max="18" width="76.7109375" style="1" customWidth="1"/>
    <col min="19" max="19" width="2.7109375" style="1" customWidth="1"/>
    <col min="20" max="23" width="11.7109375" style="1" customWidth="1"/>
    <col min="24" max="24" width="2.7109375" style="1" customWidth="1"/>
    <col min="25" max="26" width="11.7109375" style="1" customWidth="1"/>
    <col min="27" max="27" width="2.7109375" style="1" customWidth="1"/>
    <col min="28" max="31" width="13.7109375" style="2" customWidth="1"/>
    <col min="32" max="32" width="2.7109375" style="1" customWidth="1"/>
    <col min="33" max="33" width="76.7109375" style="1" customWidth="1"/>
    <col min="34" max="34" width="2.7109375" style="1" customWidth="1"/>
    <col min="35" max="38" width="11.7109375" style="1" customWidth="1"/>
    <col min="39" max="39" width="2.7109375" style="1" customWidth="1"/>
    <col min="40" max="41" width="11.7109375" style="1" customWidth="1"/>
    <col min="42" max="42" width="2.7109375" style="1" customWidth="1"/>
    <col min="43" max="46" width="13.7109375" style="2" customWidth="1"/>
    <col min="47" max="47" width="2.7109375" style="1" customWidth="1"/>
    <col min="48" max="48" width="76.7109375" style="1" customWidth="1"/>
    <col min="49" max="49" width="2.7109375" style="1" customWidth="1"/>
    <col min="50" max="53" width="11.7109375" style="1" customWidth="1"/>
    <col min="54" max="54" width="2.7109375" style="1" customWidth="1"/>
    <col min="55" max="56" width="11.7109375" style="1" customWidth="1"/>
    <col min="57" max="57" width="2.7109375" style="1" customWidth="1"/>
    <col min="58" max="61" width="13.7109375" style="2" customWidth="1"/>
    <col min="62" max="62" width="2.7109375" style="1" customWidth="1"/>
    <col min="63" max="63" width="76.7109375" style="1" customWidth="1"/>
    <col min="64" max="64" width="2.7109375" style="1" customWidth="1"/>
    <col min="65" max="68" width="11.7109375" style="1" customWidth="1"/>
    <col min="69" max="69" width="2.7109375" style="1" customWidth="1"/>
    <col min="70" max="71" width="11.7109375" style="1" customWidth="1"/>
    <col min="72" max="72" width="2.7109375" style="1" customWidth="1"/>
    <col min="73" max="76" width="13.7109375" style="2" customWidth="1"/>
    <col min="77" max="77" width="2.7109375" style="1" customWidth="1"/>
    <col min="78" max="78" width="76.7109375" style="1" customWidth="1"/>
    <col min="79" max="79" width="2.7109375" style="1" customWidth="1"/>
    <col min="80" max="83" width="11.7109375" style="1" customWidth="1"/>
    <col min="84" max="84" width="2.7109375" style="1" customWidth="1"/>
    <col min="85" max="86" width="11.7109375" style="1" customWidth="1"/>
    <col min="87" max="87" width="2.7109375" style="1" customWidth="1"/>
    <col min="88" max="91" width="13.7109375" style="2" customWidth="1"/>
    <col min="92" max="92" width="2.7109375" style="1" customWidth="1"/>
    <col min="93" max="93" width="76.7109375" style="1" customWidth="1"/>
    <col min="94" max="94" width="2.7109375" style="1" customWidth="1"/>
    <col min="95" max="98" width="11.7109375" style="1" customWidth="1"/>
    <col min="99" max="99" width="2.7109375" style="1" customWidth="1"/>
    <col min="100" max="101" width="11.7109375" style="1" customWidth="1"/>
    <col min="102" max="102" width="2.7109375" style="1" customWidth="1"/>
    <col min="103" max="106" width="13.7109375" style="2" customWidth="1"/>
    <col min="107" max="107" width="2.7109375" style="1" customWidth="1"/>
    <col min="108" max="108" width="76.7109375" style="1" customWidth="1"/>
    <col min="109" max="109" width="2.7109375" style="1" customWidth="1"/>
    <col min="110" max="111" width="11.7109375" style="1" customWidth="1"/>
    <col min="112" max="113" width="12.28515625" style="1" bestFit="1" customWidth="1"/>
    <col min="114" max="114" width="2.7109375" style="1" customWidth="1"/>
    <col min="115" max="117" width="11.7109375" style="1" customWidth="1"/>
    <col min="118" max="118" width="2.7109375" style="1" customWidth="1"/>
    <col min="119" max="122" width="13.7109375" style="2" customWidth="1"/>
    <col min="123" max="123" width="2.7109375" style="1" customWidth="1"/>
    <col min="124" max="124" width="76.7109375" style="1" customWidth="1"/>
    <col min="125" max="125" width="2.7109375" style="1" customWidth="1"/>
    <col min="126" max="127" width="11.7109375" style="1" customWidth="1"/>
    <col min="128" max="129" width="12.28515625" style="1" bestFit="1" customWidth="1"/>
    <col min="130" max="130" width="2.7109375" style="1" customWidth="1"/>
    <col min="131" max="133" width="11.7109375" style="1" customWidth="1"/>
    <col min="134" max="134" width="2.7109375" style="1" customWidth="1"/>
    <col min="135" max="138" width="13.7109375" style="2" customWidth="1"/>
    <col min="139" max="139" width="2.7109375" style="1" customWidth="1"/>
    <col min="140" max="140" width="76.7109375" style="1" customWidth="1"/>
    <col min="141" max="141" width="2.7109375" style="1" customWidth="1"/>
    <col min="142" max="143" width="11.7109375" style="1" customWidth="1"/>
    <col min="144" max="145" width="12.28515625" style="1" bestFit="1" customWidth="1"/>
    <col min="146" max="146" width="2.7109375" style="1" customWidth="1"/>
    <col min="147" max="149" width="11.7109375" style="1" customWidth="1"/>
    <col min="150" max="150" width="2.7109375" style="1" customWidth="1"/>
    <col min="151" max="152" width="11.7109375" style="1" customWidth="1"/>
    <col min="153" max="154" width="12.28515625" style="1" bestFit="1" customWidth="1"/>
    <col min="155" max="155" width="2.7109375" style="1" customWidth="1"/>
    <col min="156" max="158" width="11.7109375" style="1" customWidth="1"/>
    <col min="159" max="159" width="2.7109375" style="1" customWidth="1"/>
    <col min="160" max="160" width="76.7109375" style="1" customWidth="1"/>
    <col min="161" max="161" width="2.7109375" style="1" customWidth="1"/>
    <col min="162" max="165" width="11.7109375" style="1" customWidth="1"/>
    <col min="166" max="166" width="2.7109375" style="1" customWidth="1"/>
    <col min="167" max="168" width="11.7109375" style="1" customWidth="1"/>
    <col min="169" max="169" width="2.7109375" style="1" customWidth="1"/>
    <col min="170" max="173" width="11.7109375" style="1" customWidth="1"/>
    <col min="174" max="174" width="2.7109375" style="1" customWidth="1"/>
    <col min="175" max="176" width="11.7109375" style="1" customWidth="1"/>
    <col min="177" max="177" width="2.7109375" style="1" customWidth="1"/>
    <col min="178" max="181" width="11.7109375" style="1" customWidth="1"/>
    <col min="182" max="182" width="2.7109375" style="1" customWidth="1"/>
    <col min="183" max="184" width="11.7109375" style="1" customWidth="1"/>
    <col min="185" max="185" width="2.7109375" style="1" customWidth="1"/>
    <col min="186" max="189" width="11.7109375" style="1" customWidth="1"/>
    <col min="190" max="190" width="2.7109375" style="1" customWidth="1"/>
    <col min="191" max="192" width="11.7109375" style="1" customWidth="1"/>
    <col min="193" max="193" width="2.7109375" style="1" customWidth="1"/>
    <col min="194" max="197" width="11.7109375" style="1" customWidth="1"/>
    <col min="198" max="198" width="2.7109375" style="1" customWidth="1"/>
    <col min="199" max="200" width="11.7109375" style="1" customWidth="1"/>
    <col min="201" max="201" width="2.7109375" style="1" customWidth="1"/>
    <col min="202" max="205" width="11.7109375" style="1" customWidth="1"/>
    <col min="206" max="206" width="2.7109375" style="1" customWidth="1"/>
    <col min="207" max="208" width="11.7109375" style="1" customWidth="1"/>
    <col min="209" max="209" width="2.7109375" style="1" customWidth="1"/>
    <col min="210" max="213" width="11.7109375" style="1" customWidth="1"/>
    <col min="214" max="214" width="2.7109375" style="1" customWidth="1"/>
    <col min="215" max="216" width="11.7109375" style="1" customWidth="1"/>
    <col min="217" max="217" width="2.7109375" style="1" customWidth="1"/>
    <col min="218" max="221" width="11.7109375" style="1" customWidth="1"/>
    <col min="222" max="222" width="2.7109375" style="1" customWidth="1"/>
    <col min="223" max="224" width="11.7109375" style="1" customWidth="1"/>
    <col min="225" max="225" width="2.7109375" style="1" customWidth="1"/>
    <col min="226" max="229" width="11.7109375" style="1" customWidth="1"/>
    <col min="230" max="230" width="2.7109375" style="1" customWidth="1"/>
    <col min="231" max="232" width="11.7109375" style="1" customWidth="1"/>
    <col min="233" max="233" width="2.7109375" style="1" customWidth="1"/>
    <col min="234" max="237" width="11.7109375" style="1" customWidth="1"/>
    <col min="238" max="238" width="2.7109375" style="1" customWidth="1"/>
    <col min="239" max="240" width="11.7109375" style="1" customWidth="1"/>
    <col min="241" max="241" width="2.7109375" style="1" customWidth="1"/>
    <col min="242" max="245" width="11.7109375" style="1" customWidth="1"/>
    <col min="246" max="246" width="2.7109375" style="1" customWidth="1"/>
    <col min="247" max="248" width="11.7109375" style="1" customWidth="1"/>
    <col min="249" max="249" width="2.7109375" style="1" customWidth="1"/>
    <col min="250" max="253" width="11.7109375" style="1" customWidth="1"/>
    <col min="254" max="254" width="2.7109375" style="1" customWidth="1"/>
    <col min="255" max="256" width="11.7109375" style="1" customWidth="1"/>
    <col min="257" max="257" width="2.7109375" style="1" customWidth="1"/>
    <col min="258" max="315" width="9.140625" style="98"/>
    <col min="316" max="16384" width="9.140625" style="1"/>
  </cols>
  <sheetData>
    <row r="1" spans="2:256" x14ac:dyDescent="0.25">
      <c r="EL1" s="99"/>
      <c r="EM1" s="99"/>
      <c r="EN1" s="99"/>
      <c r="EO1" s="99"/>
      <c r="EP1" s="99"/>
      <c r="EQ1" s="99"/>
      <c r="ER1" s="99"/>
      <c r="ES1" s="99"/>
      <c r="ET1" s="99"/>
      <c r="EU1" s="99"/>
      <c r="EV1" s="99"/>
      <c r="EW1" s="99"/>
      <c r="EX1" s="99"/>
      <c r="EY1" s="99"/>
      <c r="EZ1" s="99"/>
      <c r="FA1" s="99"/>
      <c r="FB1" s="99"/>
      <c r="FC1" s="99"/>
      <c r="FD1" s="99"/>
      <c r="FE1" s="99"/>
      <c r="FF1" s="99"/>
      <c r="FG1" s="99"/>
      <c r="FH1" s="99"/>
      <c r="FI1" s="99"/>
      <c r="FJ1" s="99"/>
      <c r="FK1" s="99"/>
      <c r="FL1" s="99"/>
      <c r="FM1" s="99"/>
      <c r="FN1" s="99"/>
      <c r="FO1" s="99"/>
      <c r="FP1" s="99"/>
      <c r="FQ1" s="99"/>
      <c r="FR1" s="99"/>
      <c r="FS1" s="99"/>
      <c r="FT1" s="99"/>
      <c r="FU1" s="99"/>
      <c r="FV1" s="99"/>
      <c r="FW1" s="99"/>
      <c r="FX1" s="99"/>
      <c r="FY1" s="99"/>
      <c r="FZ1" s="99"/>
      <c r="GA1" s="99"/>
      <c r="GB1" s="99"/>
      <c r="GC1" s="99"/>
      <c r="GD1" s="99"/>
      <c r="GE1" s="99"/>
      <c r="GF1" s="99"/>
      <c r="GG1" s="99"/>
      <c r="GH1" s="99"/>
      <c r="GI1" s="99"/>
      <c r="GJ1" s="99"/>
      <c r="GK1" s="99"/>
      <c r="GL1" s="99"/>
      <c r="GM1" s="99"/>
      <c r="GN1" s="99"/>
      <c r="GO1" s="99"/>
      <c r="GP1" s="99"/>
      <c r="GQ1" s="99"/>
      <c r="GR1" s="99"/>
      <c r="GS1" s="99"/>
      <c r="GT1" s="99"/>
      <c r="GU1" s="99"/>
      <c r="GV1" s="99"/>
      <c r="GW1" s="99"/>
      <c r="GX1" s="99"/>
      <c r="GY1" s="99"/>
      <c r="GZ1" s="99"/>
      <c r="HA1" s="99"/>
      <c r="HB1" s="99"/>
      <c r="HC1" s="99"/>
      <c r="HD1" s="99"/>
      <c r="HE1" s="99"/>
      <c r="HF1" s="99"/>
      <c r="HG1" s="99"/>
      <c r="HH1" s="99"/>
      <c r="HI1" s="99"/>
      <c r="HJ1" s="99"/>
      <c r="HK1" s="99"/>
      <c r="HL1" s="99"/>
      <c r="HM1" s="99"/>
      <c r="HN1" s="99"/>
      <c r="HO1" s="99"/>
      <c r="HP1" s="99"/>
      <c r="HQ1" s="99"/>
      <c r="HR1" s="99"/>
      <c r="HS1" s="99"/>
      <c r="HT1" s="99"/>
      <c r="HU1" s="99"/>
      <c r="HV1" s="99"/>
      <c r="HW1" s="99"/>
      <c r="HX1" s="99"/>
      <c r="HY1" s="99"/>
      <c r="HZ1" s="99"/>
      <c r="IA1" s="99"/>
      <c r="IB1" s="99"/>
      <c r="IC1" s="99"/>
      <c r="ID1" s="99"/>
      <c r="IE1" s="99"/>
      <c r="IF1" s="99"/>
      <c r="IG1" s="99"/>
      <c r="IH1" s="99"/>
      <c r="II1" s="99"/>
      <c r="IJ1" s="99"/>
      <c r="IK1" s="99"/>
      <c r="IL1" s="99"/>
      <c r="IM1" s="99"/>
      <c r="IN1" s="99"/>
      <c r="IO1" s="99"/>
      <c r="IP1" s="99"/>
      <c r="IQ1" s="99"/>
      <c r="IR1" s="99"/>
      <c r="IS1" s="99"/>
      <c r="IT1" s="99"/>
      <c r="IU1" s="99"/>
      <c r="IV1" s="99"/>
    </row>
    <row r="2" spans="2:256" x14ac:dyDescent="0.25">
      <c r="B2" s="81" t="s">
        <v>27</v>
      </c>
      <c r="C2" s="81" t="s">
        <v>26</v>
      </c>
      <c r="D2" s="81" t="s">
        <v>25</v>
      </c>
      <c r="E2" s="81" t="s">
        <v>24</v>
      </c>
      <c r="G2" s="81" t="s">
        <v>24</v>
      </c>
      <c r="H2" s="81" t="s">
        <v>125</v>
      </c>
      <c r="I2" s="81" t="s">
        <v>130</v>
      </c>
      <c r="J2" s="81"/>
      <c r="K2" s="81"/>
      <c r="M2" s="78" t="s">
        <v>124</v>
      </c>
      <c r="N2" s="78"/>
      <c r="O2" s="78"/>
      <c r="P2" s="78"/>
      <c r="R2" s="79" t="s">
        <v>123</v>
      </c>
      <c r="S2" s="67"/>
      <c r="T2" s="81" t="s">
        <v>27</v>
      </c>
      <c r="U2" s="81" t="s">
        <v>26</v>
      </c>
      <c r="V2" s="81" t="s">
        <v>25</v>
      </c>
      <c r="W2" s="81" t="s">
        <v>24</v>
      </c>
      <c r="Y2" s="81" t="s">
        <v>24</v>
      </c>
      <c r="Z2" s="81" t="s">
        <v>125</v>
      </c>
      <c r="AB2" s="78" t="s">
        <v>124</v>
      </c>
      <c r="AC2" s="78"/>
      <c r="AD2" s="78"/>
      <c r="AE2" s="78"/>
      <c r="AG2" s="79" t="s">
        <v>123</v>
      </c>
      <c r="AH2" s="67"/>
      <c r="AI2" s="81" t="s">
        <v>27</v>
      </c>
      <c r="AJ2" s="81" t="s">
        <v>26</v>
      </c>
      <c r="AK2" s="81" t="s">
        <v>25</v>
      </c>
      <c r="AL2" s="81" t="s">
        <v>24</v>
      </c>
      <c r="AN2" s="81" t="s">
        <v>24</v>
      </c>
      <c r="AO2" s="81" t="s">
        <v>125</v>
      </c>
      <c r="AQ2" s="78" t="s">
        <v>124</v>
      </c>
      <c r="AR2" s="78"/>
      <c r="AS2" s="78"/>
      <c r="AT2" s="78"/>
      <c r="AV2" s="79" t="s">
        <v>123</v>
      </c>
      <c r="AW2" s="67"/>
      <c r="AX2" s="81" t="s">
        <v>27</v>
      </c>
      <c r="AY2" s="81" t="s">
        <v>26</v>
      </c>
      <c r="AZ2" s="81" t="s">
        <v>25</v>
      </c>
      <c r="BA2" s="81" t="s">
        <v>24</v>
      </c>
      <c r="BC2" s="81" t="s">
        <v>24</v>
      </c>
      <c r="BD2" s="81" t="s">
        <v>125</v>
      </c>
      <c r="BF2" s="78" t="s">
        <v>124</v>
      </c>
      <c r="BG2" s="78"/>
      <c r="BH2" s="78"/>
      <c r="BI2" s="78"/>
      <c r="BK2" s="79" t="s">
        <v>123</v>
      </c>
      <c r="BL2" s="67"/>
      <c r="BM2" s="81" t="s">
        <v>27</v>
      </c>
      <c r="BN2" s="81" t="s">
        <v>26</v>
      </c>
      <c r="BO2" s="81" t="s">
        <v>25</v>
      </c>
      <c r="BP2" s="81" t="s">
        <v>24</v>
      </c>
      <c r="BR2" s="81" t="s">
        <v>24</v>
      </c>
      <c r="BS2" s="81" t="s">
        <v>125</v>
      </c>
      <c r="BU2" s="78" t="s">
        <v>124</v>
      </c>
      <c r="BV2" s="78"/>
      <c r="BW2" s="78"/>
      <c r="BX2" s="78"/>
      <c r="BZ2" s="79" t="s">
        <v>123</v>
      </c>
      <c r="CA2" s="67"/>
      <c r="CB2" s="81" t="s">
        <v>27</v>
      </c>
      <c r="CC2" s="81" t="s">
        <v>26</v>
      </c>
      <c r="CD2" s="81" t="s">
        <v>25</v>
      </c>
      <c r="CE2" s="81" t="s">
        <v>24</v>
      </c>
      <c r="CG2" s="81" t="s">
        <v>24</v>
      </c>
      <c r="CH2" s="81" t="s">
        <v>125</v>
      </c>
      <c r="CJ2" s="78" t="s">
        <v>124</v>
      </c>
      <c r="CK2" s="78"/>
      <c r="CL2" s="78"/>
      <c r="CM2" s="78"/>
      <c r="CO2" s="79" t="s">
        <v>123</v>
      </c>
      <c r="CP2" s="67"/>
      <c r="CQ2" s="81" t="s">
        <v>27</v>
      </c>
      <c r="CR2" s="81" t="s">
        <v>26</v>
      </c>
      <c r="CS2" s="81" t="s">
        <v>25</v>
      </c>
      <c r="CT2" s="81" t="s">
        <v>24</v>
      </c>
      <c r="CV2" s="81" t="s">
        <v>24</v>
      </c>
      <c r="CW2" s="81" t="s">
        <v>125</v>
      </c>
      <c r="CY2" s="78" t="s">
        <v>124</v>
      </c>
      <c r="CZ2" s="78"/>
      <c r="DA2" s="78"/>
      <c r="DB2" s="78"/>
      <c r="DD2" s="79" t="s">
        <v>123</v>
      </c>
      <c r="DE2" s="67"/>
      <c r="DF2" s="93" t="s">
        <v>145</v>
      </c>
      <c r="DG2" s="93" t="s">
        <v>26</v>
      </c>
      <c r="DH2" s="93" t="s">
        <v>25</v>
      </c>
      <c r="DI2" s="93" t="s">
        <v>24</v>
      </c>
      <c r="DK2" s="93" t="s">
        <v>24</v>
      </c>
      <c r="DL2" s="93" t="s">
        <v>125</v>
      </c>
      <c r="DM2" s="93" t="s">
        <v>25</v>
      </c>
      <c r="DN2" s="67"/>
      <c r="DO2" s="78" t="s">
        <v>124</v>
      </c>
      <c r="DP2" s="78"/>
      <c r="DQ2" s="78"/>
      <c r="DR2" s="78"/>
      <c r="DT2" s="79" t="s">
        <v>123</v>
      </c>
      <c r="DU2" s="67"/>
      <c r="DV2" s="93" t="s">
        <v>145</v>
      </c>
      <c r="DW2" s="93" t="s">
        <v>26</v>
      </c>
      <c r="DX2" s="93" t="s">
        <v>25</v>
      </c>
      <c r="DY2" s="93" t="s">
        <v>24</v>
      </c>
      <c r="EA2" s="93" t="s">
        <v>24</v>
      </c>
      <c r="EB2" s="93" t="s">
        <v>125</v>
      </c>
      <c r="EC2" s="93" t="s">
        <v>25</v>
      </c>
      <c r="ED2" s="67"/>
      <c r="EE2" s="78" t="s">
        <v>124</v>
      </c>
      <c r="EF2" s="78"/>
      <c r="EG2" s="78"/>
      <c r="EH2" s="78"/>
      <c r="EJ2" s="79" t="s">
        <v>123</v>
      </c>
      <c r="EK2" s="67"/>
      <c r="EL2" s="93" t="s">
        <v>145</v>
      </c>
      <c r="EM2" s="93" t="s">
        <v>26</v>
      </c>
      <c r="EN2" s="93" t="s">
        <v>25</v>
      </c>
      <c r="EO2" s="93" t="s">
        <v>24</v>
      </c>
      <c r="EQ2" s="93" t="s">
        <v>24</v>
      </c>
      <c r="ER2" s="93" t="s">
        <v>125</v>
      </c>
      <c r="ES2" s="93" t="s">
        <v>25</v>
      </c>
      <c r="EU2" s="93" t="s">
        <v>145</v>
      </c>
      <c r="EV2" s="93" t="s">
        <v>26</v>
      </c>
      <c r="EW2" s="93" t="s">
        <v>25</v>
      </c>
      <c r="EX2" s="93" t="s">
        <v>24</v>
      </c>
      <c r="EZ2" s="93" t="s">
        <v>24</v>
      </c>
      <c r="FA2" s="93" t="s">
        <v>125</v>
      </c>
      <c r="FB2" s="93" t="s">
        <v>25</v>
      </c>
      <c r="FD2" s="79" t="s">
        <v>123</v>
      </c>
      <c r="FE2" s="67"/>
      <c r="FF2" s="80" t="s">
        <v>128</v>
      </c>
      <c r="FG2" s="80" t="s">
        <v>26</v>
      </c>
      <c r="FH2" s="80" t="s">
        <v>25</v>
      </c>
      <c r="FI2" s="80" t="s">
        <v>24</v>
      </c>
      <c r="FK2" s="80" t="s">
        <v>24</v>
      </c>
      <c r="FL2" s="80" t="s">
        <v>125</v>
      </c>
      <c r="FN2" s="80" t="s">
        <v>128</v>
      </c>
      <c r="FO2" s="80" t="s">
        <v>26</v>
      </c>
      <c r="FP2" s="80" t="s">
        <v>25</v>
      </c>
      <c r="FQ2" s="80" t="s">
        <v>24</v>
      </c>
      <c r="FS2" s="80" t="s">
        <v>24</v>
      </c>
      <c r="FT2" s="80" t="s">
        <v>125</v>
      </c>
      <c r="FV2" s="80" t="s">
        <v>128</v>
      </c>
      <c r="FW2" s="80" t="s">
        <v>26</v>
      </c>
      <c r="FX2" s="80" t="s">
        <v>25</v>
      </c>
      <c r="FY2" s="80" t="s">
        <v>24</v>
      </c>
      <c r="GA2" s="80" t="s">
        <v>24</v>
      </c>
      <c r="GB2" s="80" t="s">
        <v>125</v>
      </c>
      <c r="GD2" s="80" t="s">
        <v>128</v>
      </c>
      <c r="GE2" s="80" t="s">
        <v>26</v>
      </c>
      <c r="GF2" s="80" t="s">
        <v>25</v>
      </c>
      <c r="GG2" s="80" t="s">
        <v>24</v>
      </c>
      <c r="GI2" s="80" t="s">
        <v>24</v>
      </c>
      <c r="GJ2" s="80" t="s">
        <v>125</v>
      </c>
      <c r="GL2" s="80" t="s">
        <v>128</v>
      </c>
      <c r="GM2" s="80" t="s">
        <v>26</v>
      </c>
      <c r="GN2" s="80" t="s">
        <v>25</v>
      </c>
      <c r="GO2" s="80" t="s">
        <v>24</v>
      </c>
      <c r="GQ2" s="80" t="s">
        <v>24</v>
      </c>
      <c r="GR2" s="80" t="s">
        <v>125</v>
      </c>
      <c r="GT2" s="80" t="s">
        <v>128</v>
      </c>
      <c r="GU2" s="80" t="s">
        <v>26</v>
      </c>
      <c r="GV2" s="80" t="s">
        <v>25</v>
      </c>
      <c r="GW2" s="80" t="s">
        <v>24</v>
      </c>
      <c r="GY2" s="80" t="s">
        <v>24</v>
      </c>
      <c r="GZ2" s="80" t="s">
        <v>125</v>
      </c>
      <c r="HB2" s="80" t="s">
        <v>128</v>
      </c>
      <c r="HC2" s="80" t="s">
        <v>26</v>
      </c>
      <c r="HD2" s="80" t="s">
        <v>25</v>
      </c>
      <c r="HE2" s="80" t="s">
        <v>24</v>
      </c>
      <c r="HG2" s="80" t="s">
        <v>24</v>
      </c>
      <c r="HH2" s="80" t="s">
        <v>125</v>
      </c>
      <c r="HJ2" s="80" t="s">
        <v>128</v>
      </c>
      <c r="HK2" s="80" t="s">
        <v>26</v>
      </c>
      <c r="HL2" s="80" t="s">
        <v>25</v>
      </c>
      <c r="HM2" s="80" t="s">
        <v>24</v>
      </c>
      <c r="HO2" s="80" t="s">
        <v>24</v>
      </c>
      <c r="HP2" s="80" t="s">
        <v>125</v>
      </c>
      <c r="HR2" s="80" t="s">
        <v>128</v>
      </c>
      <c r="HS2" s="80" t="s">
        <v>26</v>
      </c>
      <c r="HT2" s="80" t="s">
        <v>25</v>
      </c>
      <c r="HU2" s="80" t="s">
        <v>24</v>
      </c>
      <c r="HW2" s="80" t="s">
        <v>24</v>
      </c>
      <c r="HX2" s="80" t="s">
        <v>125</v>
      </c>
      <c r="HZ2" s="80" t="s">
        <v>128</v>
      </c>
      <c r="IA2" s="80" t="s">
        <v>26</v>
      </c>
      <c r="IB2" s="80" t="s">
        <v>25</v>
      </c>
      <c r="IC2" s="80" t="s">
        <v>24</v>
      </c>
      <c r="IE2" s="80" t="s">
        <v>24</v>
      </c>
      <c r="IF2" s="80" t="s">
        <v>125</v>
      </c>
      <c r="IH2" s="79" t="s">
        <v>127</v>
      </c>
      <c r="II2" s="79" t="s">
        <v>26</v>
      </c>
      <c r="IJ2" s="79" t="s">
        <v>25</v>
      </c>
      <c r="IK2" s="79" t="s">
        <v>24</v>
      </c>
      <c r="IM2" s="79" t="s">
        <v>24</v>
      </c>
      <c r="IN2" s="79" t="s">
        <v>125</v>
      </c>
      <c r="IP2" s="79" t="s">
        <v>126</v>
      </c>
      <c r="IQ2" s="79" t="s">
        <v>26</v>
      </c>
      <c r="IR2" s="79" t="s">
        <v>25</v>
      </c>
      <c r="IS2" s="79" t="s">
        <v>24</v>
      </c>
      <c r="IU2" s="79" t="s">
        <v>24</v>
      </c>
      <c r="IV2" s="79" t="s">
        <v>125</v>
      </c>
    </row>
    <row r="3" spans="2:256" x14ac:dyDescent="0.25">
      <c r="B3" s="16" t="s">
        <v>135</v>
      </c>
      <c r="C3" s="16">
        <v>45370</v>
      </c>
      <c r="D3" s="15">
        <v>20737410.487410486</v>
      </c>
      <c r="E3" s="14">
        <v>20000000</v>
      </c>
      <c r="G3" s="14">
        <v>3000000</v>
      </c>
      <c r="H3" s="1">
        <f t="shared" ref="H3:H10" si="0">COUNTIF($E:$E,G3)</f>
        <v>11</v>
      </c>
      <c r="I3" s="39">
        <f t="shared" ref="I3:I10" si="1">AVERAGEIF($E:$E,$G3,$D:$D)</f>
        <v>8691246.8342468347</v>
      </c>
      <c r="J3" s="39"/>
      <c r="K3" s="39"/>
      <c r="T3" s="16" t="s">
        <v>33</v>
      </c>
      <c r="U3" s="16">
        <v>43284</v>
      </c>
      <c r="V3" s="15">
        <v>14432465.953785647</v>
      </c>
      <c r="W3" s="14">
        <v>10000000</v>
      </c>
      <c r="Y3" s="14">
        <v>2000000</v>
      </c>
      <c r="Z3" s="1">
        <f t="shared" ref="Z3:Z12" si="2">COUNTIF($W:$W,Y3)</f>
        <v>11</v>
      </c>
      <c r="AI3" s="16" t="s">
        <v>39</v>
      </c>
      <c r="AJ3" s="16">
        <v>43648</v>
      </c>
      <c r="AK3" s="15">
        <v>8430652.777777778</v>
      </c>
      <c r="AL3" s="14">
        <v>2000000</v>
      </c>
      <c r="AN3" s="14">
        <v>2000000</v>
      </c>
      <c r="AO3" s="1">
        <f t="shared" ref="AO3:AO11" si="3">COUNTIF($AL:$AL,AN3)</f>
        <v>15</v>
      </c>
      <c r="AX3" s="16" t="s">
        <v>38</v>
      </c>
      <c r="AY3" s="16">
        <v>44376</v>
      </c>
      <c r="AZ3" s="15">
        <v>14779653.146509342</v>
      </c>
      <c r="BA3" s="14">
        <v>10000000</v>
      </c>
      <c r="BC3" s="14">
        <v>2000000</v>
      </c>
      <c r="BD3" s="1">
        <f t="shared" ref="BD3:BD12" si="4">COUNTIF($BA:$BA,BC3)</f>
        <v>16</v>
      </c>
      <c r="BM3" s="16" t="s">
        <v>35</v>
      </c>
      <c r="BN3" s="16">
        <v>44383</v>
      </c>
      <c r="BO3" s="15">
        <v>25373026.302851532</v>
      </c>
      <c r="BP3" s="14">
        <v>20000000</v>
      </c>
      <c r="BR3" s="14">
        <v>2000000</v>
      </c>
      <c r="BS3" s="1">
        <f t="shared" ref="BS3:BS9" si="5">COUNTIF($BP:$BP,BR3)</f>
        <v>26</v>
      </c>
      <c r="CB3" s="16" t="s">
        <v>37</v>
      </c>
      <c r="CC3" s="16">
        <v>45104</v>
      </c>
      <c r="CD3" s="15">
        <v>10458440.863940863</v>
      </c>
      <c r="CE3" s="14">
        <v>5000000</v>
      </c>
      <c r="CG3" s="14">
        <v>3000000</v>
      </c>
      <c r="CH3" s="1">
        <f t="shared" ref="CH3:CH8" si="6">COUNTIF($CE:$CE,CG3)</f>
        <v>26</v>
      </c>
      <c r="CQ3" s="16" t="s">
        <v>115</v>
      </c>
      <c r="CR3" s="16">
        <v>45111</v>
      </c>
      <c r="CS3" s="15">
        <v>14557561.099561101</v>
      </c>
      <c r="CT3" s="14">
        <v>10000000</v>
      </c>
      <c r="CV3" s="14">
        <v>3000000</v>
      </c>
      <c r="CW3" s="1">
        <f t="shared" ref="CW3:CW8" si="7">COUNTIF($CE:$CE,CV3)</f>
        <v>26</v>
      </c>
      <c r="DF3" s="16" t="s">
        <v>127</v>
      </c>
      <c r="DG3" s="16">
        <v>44691</v>
      </c>
      <c r="DH3" s="15">
        <v>9919419.3706981335</v>
      </c>
      <c r="DI3" s="14">
        <v>5000000</v>
      </c>
      <c r="DK3" s="14">
        <v>2000000</v>
      </c>
      <c r="DL3" s="1">
        <f t="shared" ref="DL3:DL8" si="8">COUNTIF($DI:$DI,DK3)</f>
        <v>14</v>
      </c>
      <c r="DM3" s="14">
        <f t="shared" ref="DM3:DM8" si="9">AVERAGEIF($DI:$DI,DK3,$DH:$DH)</f>
        <v>9073231.4492906313</v>
      </c>
      <c r="DN3" s="14"/>
      <c r="DV3" s="16" t="s">
        <v>126</v>
      </c>
      <c r="DW3" s="16">
        <v>45041</v>
      </c>
      <c r="DX3" s="15">
        <v>9725124.2781242765</v>
      </c>
      <c r="DY3" s="14">
        <v>5000000</v>
      </c>
      <c r="EA3" s="14">
        <v>3000000</v>
      </c>
      <c r="EB3" s="1">
        <f t="shared" ref="EB3:EB8" si="10">COUNTIF($DY:$DY,EA3)</f>
        <v>13</v>
      </c>
      <c r="EC3" s="14">
        <f t="shared" ref="EC3:EC8" si="11">AVERAGEIF($DY:$DY,EA3,$DX:$DX)</f>
        <v>8802283.5111123063</v>
      </c>
      <c r="ED3" s="14"/>
      <c r="EL3" s="16" t="s">
        <v>127</v>
      </c>
      <c r="EM3" s="16">
        <v>44565</v>
      </c>
      <c r="EN3" s="15">
        <v>13895292</v>
      </c>
      <c r="EO3" s="14">
        <v>10000000</v>
      </c>
      <c r="EQ3" s="14">
        <v>2000000</v>
      </c>
      <c r="ER3" s="1">
        <f t="shared" ref="ER3:ER8" si="12">COUNTIF($DI:$DI,EQ3)</f>
        <v>14</v>
      </c>
      <c r="ES3" s="14">
        <f t="shared" ref="ES3:ES8" si="13">AVERAGEIF($DI:$DI,EQ3,$DH:$DH)</f>
        <v>9073231.4492906313</v>
      </c>
      <c r="EU3" s="16" t="s">
        <v>126</v>
      </c>
      <c r="EV3" s="16">
        <v>44698</v>
      </c>
      <c r="EW3" s="15">
        <v>14327800</v>
      </c>
      <c r="EX3" s="14">
        <v>10000000</v>
      </c>
      <c r="EZ3" s="14">
        <v>3000000</v>
      </c>
      <c r="FA3" s="1">
        <f t="shared" ref="FA3:FA8" si="14">COUNTIF($DY:$DY,EZ3)</f>
        <v>13</v>
      </c>
      <c r="FB3" s="14">
        <f t="shared" ref="FB3:FB8" si="15">AVERAGEIF($DY:$DY,EZ3,$DX:$DX)</f>
        <v>8802283.5111123063</v>
      </c>
      <c r="FF3" s="16" t="s">
        <v>83</v>
      </c>
      <c r="FG3" s="16">
        <v>42920</v>
      </c>
      <c r="FH3" s="15">
        <v>31919691</v>
      </c>
      <c r="FI3" s="14">
        <v>30000000</v>
      </c>
      <c r="FK3" s="14">
        <v>2000000</v>
      </c>
      <c r="FL3" s="1">
        <f t="shared" ref="FL3:FL10" si="16">COUNTIF($FI:$FI,FK3)</f>
        <v>5</v>
      </c>
      <c r="FN3" s="16" t="s">
        <v>82</v>
      </c>
      <c r="FO3" s="16">
        <v>43102</v>
      </c>
      <c r="FP3" s="15">
        <v>40876776</v>
      </c>
      <c r="FQ3" s="14">
        <v>40000000</v>
      </c>
      <c r="FS3" s="14">
        <v>2000000</v>
      </c>
      <c r="FT3" s="1">
        <f t="shared" ref="FT3:FT8" si="17">COUNTIF($FQ:$FQ,FS3)</f>
        <v>8</v>
      </c>
      <c r="FV3" s="16" t="s">
        <v>81</v>
      </c>
      <c r="FW3" s="16">
        <v>43284</v>
      </c>
      <c r="FX3" s="15">
        <v>13758963</v>
      </c>
      <c r="FY3" s="14">
        <v>10000000</v>
      </c>
      <c r="GA3" s="14">
        <v>2000000</v>
      </c>
      <c r="GB3" s="1">
        <f t="shared" ref="GB3:GB10" si="18">COUNTIF($FY:$FY,GA3)</f>
        <v>7</v>
      </c>
      <c r="GD3" s="16" t="s">
        <v>79</v>
      </c>
      <c r="GE3" s="16">
        <v>43466</v>
      </c>
      <c r="GF3" s="15">
        <v>6416859</v>
      </c>
      <c r="GG3" s="14">
        <v>2000000</v>
      </c>
      <c r="GI3" s="14">
        <v>2000000</v>
      </c>
      <c r="GJ3" s="1">
        <f t="shared" ref="GJ3:GJ12" si="19">COUNTIF($GG:$GG,GI3)</f>
        <v>4</v>
      </c>
      <c r="GL3" s="16" t="s">
        <v>78</v>
      </c>
      <c r="GM3" s="16">
        <v>43648</v>
      </c>
      <c r="GN3" s="15">
        <v>7528545</v>
      </c>
      <c r="GO3" s="14">
        <v>2000000</v>
      </c>
      <c r="GQ3" s="14">
        <v>2000000</v>
      </c>
      <c r="GR3" s="1">
        <f t="shared" ref="GR3:GR10" si="20">COUNTIF($GO:$GO,GQ3)</f>
        <v>7</v>
      </c>
      <c r="GT3" s="16" t="s">
        <v>77</v>
      </c>
      <c r="GU3" s="16">
        <v>43837</v>
      </c>
      <c r="GV3" s="15">
        <v>11276244</v>
      </c>
      <c r="GW3" s="14">
        <v>5000000</v>
      </c>
      <c r="GY3" s="14">
        <v>2000000</v>
      </c>
      <c r="GZ3" s="1">
        <f t="shared" ref="GZ3:GZ8" si="21">COUNTIF($GW:$GW,GY3)</f>
        <v>8</v>
      </c>
      <c r="HB3" s="16" t="s">
        <v>70</v>
      </c>
      <c r="HC3" s="16">
        <v>44019</v>
      </c>
      <c r="HD3" s="15">
        <v>49696836</v>
      </c>
      <c r="HE3" s="14">
        <v>50000000</v>
      </c>
      <c r="HG3" s="14">
        <v>2000000</v>
      </c>
      <c r="HH3" s="1">
        <f t="shared" ref="HH3:HH9" si="22">COUNTIF($HE:$HE,HG3)</f>
        <v>9</v>
      </c>
      <c r="HJ3" s="16" t="s">
        <v>86</v>
      </c>
      <c r="HK3" s="16">
        <v>44201</v>
      </c>
      <c r="HL3" s="15">
        <v>9482565</v>
      </c>
      <c r="HM3" s="14">
        <v>2000000</v>
      </c>
      <c r="HO3" s="14">
        <v>2000000</v>
      </c>
      <c r="HP3" s="1">
        <f t="shared" ref="HP3:HP10" si="23">COUNTIF($HM:$HM,HO3)</f>
        <v>7</v>
      </c>
      <c r="HR3" s="16" t="s">
        <v>69</v>
      </c>
      <c r="HS3" s="16">
        <v>44383</v>
      </c>
      <c r="HT3" s="15">
        <v>25900683</v>
      </c>
      <c r="HU3" s="14">
        <v>20000000</v>
      </c>
      <c r="HW3" s="14">
        <v>2000000</v>
      </c>
      <c r="HX3" s="1">
        <f t="shared" ref="HX3:HX8" si="24">COUNTIF($HU:$HU,HW3)</f>
        <v>7</v>
      </c>
      <c r="HZ3" s="16" t="s">
        <v>76</v>
      </c>
      <c r="IA3" s="16">
        <v>44565</v>
      </c>
      <c r="IB3" s="15">
        <v>13895292</v>
      </c>
      <c r="IC3" s="14">
        <v>10000000</v>
      </c>
      <c r="IE3" s="14">
        <v>2000000</v>
      </c>
      <c r="IF3" s="1">
        <f t="shared" ref="IF3:IF9" si="25">COUNTIF($IC:$IC,IE3)</f>
        <v>6</v>
      </c>
      <c r="IH3" s="16" t="s">
        <v>127</v>
      </c>
      <c r="II3" s="16">
        <v>44327</v>
      </c>
      <c r="IJ3" s="15">
        <v>8611695</v>
      </c>
      <c r="IK3" s="14">
        <v>2000000</v>
      </c>
      <c r="IM3" s="14">
        <v>2000000</v>
      </c>
      <c r="IN3" s="1">
        <f t="shared" ref="IN3:IN8" si="26">COUNTIF($IK:$IK,IM3)</f>
        <v>16</v>
      </c>
      <c r="IP3" s="16" t="s">
        <v>126</v>
      </c>
      <c r="IQ3" s="16">
        <v>44698</v>
      </c>
      <c r="IR3" s="15">
        <v>14327800</v>
      </c>
      <c r="IS3" s="14">
        <v>10000000</v>
      </c>
      <c r="IU3" s="14">
        <v>3000000</v>
      </c>
      <c r="IV3" s="1">
        <f t="shared" ref="IV3:IV8" si="27">COUNTIF($IS:$IS,IU3)</f>
        <v>7</v>
      </c>
    </row>
    <row r="4" spans="2:256" x14ac:dyDescent="0.25">
      <c r="B4" s="16" t="s">
        <v>135</v>
      </c>
      <c r="C4" s="16">
        <v>45363</v>
      </c>
      <c r="D4" s="15">
        <v>14729771.309771309</v>
      </c>
      <c r="E4" s="14">
        <v>15000000</v>
      </c>
      <c r="G4" s="14">
        <v>5000000</v>
      </c>
      <c r="H4" s="1">
        <f t="shared" si="0"/>
        <v>10</v>
      </c>
      <c r="I4" s="39">
        <f t="shared" si="1"/>
        <v>9684060.5451605432</v>
      </c>
      <c r="J4" s="39"/>
      <c r="K4" s="39"/>
      <c r="M4" s="76"/>
      <c r="N4" s="75" t="s">
        <v>122</v>
      </c>
      <c r="O4" s="75" t="s">
        <v>121</v>
      </c>
      <c r="P4" s="75" t="s">
        <v>120</v>
      </c>
      <c r="T4" s="16" t="s">
        <v>33</v>
      </c>
      <c r="U4" s="16">
        <v>43291</v>
      </c>
      <c r="V4" s="15">
        <v>16654095.87020649</v>
      </c>
      <c r="W4" s="14">
        <v>15000000</v>
      </c>
      <c r="Y4" s="14">
        <v>5000000</v>
      </c>
      <c r="Z4" s="1">
        <f t="shared" si="2"/>
        <v>9</v>
      </c>
      <c r="AB4" s="76"/>
      <c r="AC4" s="75" t="s">
        <v>122</v>
      </c>
      <c r="AD4" s="75" t="s">
        <v>121</v>
      </c>
      <c r="AE4" s="75" t="s">
        <v>120</v>
      </c>
      <c r="AI4" s="16" t="s">
        <v>39</v>
      </c>
      <c r="AJ4" s="16">
        <v>43655</v>
      </c>
      <c r="AK4" s="15">
        <v>9676387.4139626361</v>
      </c>
      <c r="AL4" s="14">
        <v>5000000</v>
      </c>
      <c r="AN4" s="14">
        <v>5000000</v>
      </c>
      <c r="AO4" s="1">
        <f t="shared" si="3"/>
        <v>13</v>
      </c>
      <c r="AQ4" s="76"/>
      <c r="AR4" s="75" t="s">
        <v>122</v>
      </c>
      <c r="AS4" s="75" t="s">
        <v>121</v>
      </c>
      <c r="AT4" s="75" t="s">
        <v>120</v>
      </c>
      <c r="AX4" s="16" t="s">
        <v>38</v>
      </c>
      <c r="AY4" s="16">
        <v>44369</v>
      </c>
      <c r="AZ4" s="15">
        <v>10317431.661750248</v>
      </c>
      <c r="BA4" s="14">
        <v>5000000</v>
      </c>
      <c r="BC4" s="14">
        <v>5000000</v>
      </c>
      <c r="BD4" s="1">
        <f t="shared" si="4"/>
        <v>14</v>
      </c>
      <c r="BF4" s="76"/>
      <c r="BG4" s="75" t="s">
        <v>122</v>
      </c>
      <c r="BH4" s="75" t="s">
        <v>121</v>
      </c>
      <c r="BI4" s="75" t="s">
        <v>120</v>
      </c>
      <c r="BM4" s="16" t="s">
        <v>35</v>
      </c>
      <c r="BN4" s="16">
        <v>44390</v>
      </c>
      <c r="BO4" s="15">
        <v>9220282.9400196653</v>
      </c>
      <c r="BP4" s="14">
        <v>2000000</v>
      </c>
      <c r="BR4" s="14">
        <v>3000000</v>
      </c>
      <c r="BS4" s="1">
        <f t="shared" si="5"/>
        <v>4</v>
      </c>
      <c r="BU4" s="76"/>
      <c r="BV4" s="75" t="s">
        <v>122</v>
      </c>
      <c r="BW4" s="75" t="s">
        <v>121</v>
      </c>
      <c r="BX4" s="75" t="s">
        <v>120</v>
      </c>
      <c r="CB4" s="16" t="s">
        <v>37</v>
      </c>
      <c r="CC4" s="16">
        <v>45097</v>
      </c>
      <c r="CD4" s="15">
        <v>7897734.6962346965</v>
      </c>
      <c r="CE4" s="14">
        <v>3000000</v>
      </c>
      <c r="CG4" s="14">
        <v>5000000</v>
      </c>
      <c r="CH4" s="1">
        <f t="shared" si="6"/>
        <v>24</v>
      </c>
      <c r="CJ4" s="76"/>
      <c r="CK4" s="75" t="s">
        <v>122</v>
      </c>
      <c r="CL4" s="75" t="s">
        <v>121</v>
      </c>
      <c r="CM4" s="75" t="s">
        <v>120</v>
      </c>
      <c r="CQ4" s="16" t="s">
        <v>115</v>
      </c>
      <c r="CR4" s="16">
        <v>45118</v>
      </c>
      <c r="CS4" s="15">
        <v>20429754.215754211</v>
      </c>
      <c r="CT4" s="14">
        <v>20000000</v>
      </c>
      <c r="CV4" s="14">
        <v>5000000</v>
      </c>
      <c r="CW4" s="1">
        <f t="shared" si="7"/>
        <v>24</v>
      </c>
      <c r="CY4" s="76"/>
      <c r="CZ4" s="75" t="s">
        <v>122</v>
      </c>
      <c r="DA4" s="75" t="s">
        <v>121</v>
      </c>
      <c r="DB4" s="75" t="s">
        <v>120</v>
      </c>
      <c r="DF4" s="16" t="s">
        <v>127</v>
      </c>
      <c r="DG4" s="16">
        <v>44684</v>
      </c>
      <c r="DH4" s="15">
        <v>8234016.3470993135</v>
      </c>
      <c r="DI4" s="14">
        <v>2000000</v>
      </c>
      <c r="DK4" s="14">
        <v>5000000</v>
      </c>
      <c r="DL4" s="1">
        <f t="shared" si="8"/>
        <v>13</v>
      </c>
      <c r="DM4" s="14">
        <f t="shared" si="9"/>
        <v>11219228.065199306</v>
      </c>
      <c r="DN4" s="14"/>
      <c r="DO4" s="76"/>
      <c r="DP4" s="75" t="s">
        <v>122</v>
      </c>
      <c r="DQ4" s="75" t="s">
        <v>121</v>
      </c>
      <c r="DR4" s="75" t="s">
        <v>120</v>
      </c>
      <c r="DV4" s="16" t="s">
        <v>126</v>
      </c>
      <c r="DW4" s="16">
        <v>45034</v>
      </c>
      <c r="DX4" s="15">
        <v>9270009.4710094687</v>
      </c>
      <c r="DY4" s="14">
        <v>3000000</v>
      </c>
      <c r="EA4" s="14">
        <v>5000000</v>
      </c>
      <c r="EB4" s="1">
        <f t="shared" si="10"/>
        <v>12</v>
      </c>
      <c r="EC4" s="14">
        <f t="shared" si="11"/>
        <v>10617691.177648038</v>
      </c>
      <c r="ED4" s="14"/>
      <c r="EE4" s="76"/>
      <c r="EF4" s="75" t="s">
        <v>122</v>
      </c>
      <c r="EG4" s="75" t="s">
        <v>121</v>
      </c>
      <c r="EH4" s="75" t="s">
        <v>120</v>
      </c>
      <c r="EL4" s="16" t="s">
        <v>127</v>
      </c>
      <c r="EM4" s="16">
        <v>44572</v>
      </c>
      <c r="EN4" s="15">
        <v>24878085</v>
      </c>
      <c r="EO4" s="14">
        <v>20000000</v>
      </c>
      <c r="EQ4" s="14">
        <v>5000000</v>
      </c>
      <c r="ER4" s="1">
        <f t="shared" si="12"/>
        <v>13</v>
      </c>
      <c r="ES4" s="14">
        <f t="shared" si="13"/>
        <v>11219228.065199306</v>
      </c>
      <c r="EU4" s="16" t="s">
        <v>126</v>
      </c>
      <c r="EV4" s="16">
        <v>44705</v>
      </c>
      <c r="EW4" s="15">
        <v>7044904</v>
      </c>
      <c r="EX4" s="14">
        <v>3000000</v>
      </c>
      <c r="EZ4" s="14">
        <v>5000000</v>
      </c>
      <c r="FA4" s="1">
        <f t="shared" si="14"/>
        <v>12</v>
      </c>
      <c r="FB4" s="14">
        <f t="shared" si="15"/>
        <v>10617691.177648038</v>
      </c>
      <c r="FF4" s="16" t="s">
        <v>83</v>
      </c>
      <c r="FG4" s="16">
        <v>42927</v>
      </c>
      <c r="FH4" s="15">
        <v>38580672</v>
      </c>
      <c r="FI4" s="14">
        <v>40000000</v>
      </c>
      <c r="FK4" s="14">
        <v>5000000</v>
      </c>
      <c r="FL4" s="1">
        <f t="shared" si="16"/>
        <v>5</v>
      </c>
      <c r="FN4" s="16" t="s">
        <v>82</v>
      </c>
      <c r="FO4" s="16">
        <v>43109</v>
      </c>
      <c r="FP4" s="15">
        <v>7241532</v>
      </c>
      <c r="FQ4" s="14">
        <v>2000000</v>
      </c>
      <c r="FS4" s="14">
        <v>5000000</v>
      </c>
      <c r="FT4" s="1">
        <f t="shared" si="17"/>
        <v>7</v>
      </c>
      <c r="FV4" s="16" t="s">
        <v>81</v>
      </c>
      <c r="FW4" s="16">
        <v>43291</v>
      </c>
      <c r="FX4" s="15">
        <v>16095174</v>
      </c>
      <c r="FY4" s="14">
        <v>15000000</v>
      </c>
      <c r="GA4" s="14">
        <v>5000000</v>
      </c>
      <c r="GB4" s="1">
        <f t="shared" si="18"/>
        <v>5</v>
      </c>
      <c r="GD4" s="16" t="s">
        <v>79</v>
      </c>
      <c r="GE4" s="16">
        <v>43473</v>
      </c>
      <c r="GF4" s="15">
        <v>8535918</v>
      </c>
      <c r="GG4" s="14">
        <v>5000000</v>
      </c>
      <c r="GI4" s="14">
        <v>5000000</v>
      </c>
      <c r="GJ4" s="1">
        <f t="shared" si="19"/>
        <v>4</v>
      </c>
      <c r="GL4" s="16" t="s">
        <v>78</v>
      </c>
      <c r="GM4" s="16">
        <v>43655</v>
      </c>
      <c r="GN4" s="15">
        <v>9306390</v>
      </c>
      <c r="GO4" s="14">
        <v>5000000</v>
      </c>
      <c r="GQ4" s="14">
        <v>5000000</v>
      </c>
      <c r="GR4" s="1">
        <f t="shared" si="20"/>
        <v>6</v>
      </c>
      <c r="GT4" s="16" t="s">
        <v>77</v>
      </c>
      <c r="GU4" s="16">
        <v>43844</v>
      </c>
      <c r="GV4" s="15">
        <v>16197225</v>
      </c>
      <c r="GW4" s="14">
        <v>10000000</v>
      </c>
      <c r="GY4" s="14">
        <v>5000000</v>
      </c>
      <c r="GZ4" s="1">
        <f t="shared" si="21"/>
        <v>7</v>
      </c>
      <c r="HB4" s="16" t="s">
        <v>70</v>
      </c>
      <c r="HC4" s="16">
        <v>44026</v>
      </c>
      <c r="HD4" s="15">
        <v>10168560</v>
      </c>
      <c r="HE4" s="14">
        <v>2000000</v>
      </c>
      <c r="HG4" s="14">
        <v>5000000</v>
      </c>
      <c r="HH4" s="1">
        <f t="shared" si="22"/>
        <v>7</v>
      </c>
      <c r="HJ4" s="16" t="s">
        <v>86</v>
      </c>
      <c r="HK4" s="16">
        <v>44208</v>
      </c>
      <c r="HL4" s="15">
        <v>12725664</v>
      </c>
      <c r="HM4" s="14">
        <v>5000000</v>
      </c>
      <c r="HO4" s="14">
        <v>5000000</v>
      </c>
      <c r="HP4" s="1">
        <f t="shared" si="23"/>
        <v>7</v>
      </c>
      <c r="HR4" s="16" t="s">
        <v>69</v>
      </c>
      <c r="HS4" s="16">
        <v>44390</v>
      </c>
      <c r="HT4" s="15">
        <v>8983533</v>
      </c>
      <c r="HU4" s="14">
        <v>2000000</v>
      </c>
      <c r="HW4" s="14">
        <v>5000000</v>
      </c>
      <c r="HX4" s="1">
        <f t="shared" si="24"/>
        <v>6</v>
      </c>
      <c r="HZ4" s="16" t="s">
        <v>76</v>
      </c>
      <c r="IA4" s="16">
        <v>44572</v>
      </c>
      <c r="IB4" s="15">
        <v>24878085</v>
      </c>
      <c r="IC4" s="14">
        <v>20000000</v>
      </c>
      <c r="IE4" s="14">
        <v>3000000</v>
      </c>
      <c r="IF4" s="1">
        <f t="shared" si="25"/>
        <v>2</v>
      </c>
      <c r="IH4" s="16" t="s">
        <v>127</v>
      </c>
      <c r="II4" s="16">
        <v>44334</v>
      </c>
      <c r="IJ4" s="15">
        <v>12194703</v>
      </c>
      <c r="IK4" s="14">
        <v>5000000</v>
      </c>
      <c r="IM4" s="14">
        <v>5000000</v>
      </c>
      <c r="IN4" s="1">
        <f t="shared" si="26"/>
        <v>14</v>
      </c>
      <c r="IP4" s="16" t="s">
        <v>126</v>
      </c>
      <c r="IQ4" s="16">
        <v>44705</v>
      </c>
      <c r="IR4" s="15">
        <v>7044904</v>
      </c>
      <c r="IS4" s="14">
        <v>3000000</v>
      </c>
      <c r="IU4" s="14">
        <v>5000000</v>
      </c>
      <c r="IV4" s="1">
        <f t="shared" si="27"/>
        <v>7</v>
      </c>
    </row>
    <row r="5" spans="2:256" x14ac:dyDescent="0.25">
      <c r="B5" s="16" t="s">
        <v>135</v>
      </c>
      <c r="C5" s="16">
        <v>45356</v>
      </c>
      <c r="D5" s="15">
        <v>11997695.888195887</v>
      </c>
      <c r="E5" s="14">
        <v>8000000</v>
      </c>
      <c r="G5" s="14">
        <v>10000000</v>
      </c>
      <c r="H5" s="1">
        <f t="shared" si="0"/>
        <v>10</v>
      </c>
      <c r="I5" s="39">
        <f t="shared" si="1"/>
        <v>14364972.638022641</v>
      </c>
      <c r="J5" s="39"/>
      <c r="K5" s="39"/>
      <c r="T5" s="16" t="s">
        <v>33</v>
      </c>
      <c r="U5" s="16">
        <v>43298</v>
      </c>
      <c r="V5" s="15">
        <v>25270413.102261558</v>
      </c>
      <c r="W5" s="14">
        <v>30000000</v>
      </c>
      <c r="Y5" s="14">
        <v>10000000</v>
      </c>
      <c r="Z5" s="1">
        <f t="shared" si="2"/>
        <v>10</v>
      </c>
      <c r="AI5" s="16" t="s">
        <v>39</v>
      </c>
      <c r="AJ5" s="16">
        <v>43662</v>
      </c>
      <c r="AK5" s="15">
        <v>13883266.470009834</v>
      </c>
      <c r="AL5" s="14">
        <v>10000000</v>
      </c>
      <c r="AN5" s="14">
        <v>10000000</v>
      </c>
      <c r="AO5" s="1">
        <f t="shared" si="3"/>
        <v>11</v>
      </c>
      <c r="AX5" s="16" t="s">
        <v>38</v>
      </c>
      <c r="AY5" s="16">
        <v>44362</v>
      </c>
      <c r="AZ5" s="15">
        <v>8353085.0540806307</v>
      </c>
      <c r="BA5" s="14">
        <v>2000000</v>
      </c>
      <c r="BC5" s="14">
        <v>10000000</v>
      </c>
      <c r="BD5" s="1">
        <f t="shared" si="4"/>
        <v>10</v>
      </c>
      <c r="BM5" s="16" t="s">
        <v>35</v>
      </c>
      <c r="BN5" s="16">
        <v>44397</v>
      </c>
      <c r="BO5" s="15">
        <v>11303058.628318587</v>
      </c>
      <c r="BP5" s="14">
        <v>5000000</v>
      </c>
      <c r="BR5" s="14">
        <v>5000000</v>
      </c>
      <c r="BS5" s="1">
        <f t="shared" si="5"/>
        <v>26</v>
      </c>
      <c r="CB5" s="16" t="s">
        <v>37</v>
      </c>
      <c r="CC5" s="16">
        <v>45090</v>
      </c>
      <c r="CD5" s="15">
        <v>17313915.453915451</v>
      </c>
      <c r="CE5" s="14">
        <v>20000000</v>
      </c>
      <c r="CG5" s="14">
        <v>10000000</v>
      </c>
      <c r="CH5" s="1">
        <f t="shared" si="6"/>
        <v>22</v>
      </c>
      <c r="CQ5" s="16" t="s">
        <v>115</v>
      </c>
      <c r="CR5" s="16">
        <v>45125</v>
      </c>
      <c r="CS5" s="15">
        <v>8391166.3201663196</v>
      </c>
      <c r="CT5" s="14">
        <v>3000000</v>
      </c>
      <c r="CV5" s="14">
        <v>10000000</v>
      </c>
      <c r="CW5" s="1">
        <f t="shared" si="7"/>
        <v>22</v>
      </c>
      <c r="DF5" s="16" t="s">
        <v>127</v>
      </c>
      <c r="DG5" s="16">
        <v>44677</v>
      </c>
      <c r="DH5" s="15">
        <v>21468686.578171093</v>
      </c>
      <c r="DI5" s="14">
        <v>20000000</v>
      </c>
      <c r="DK5" s="14">
        <v>10000000</v>
      </c>
      <c r="DL5" s="1">
        <f t="shared" si="8"/>
        <v>11</v>
      </c>
      <c r="DM5" s="14">
        <f t="shared" si="9"/>
        <v>16756106.619290249</v>
      </c>
      <c r="DN5" s="14"/>
      <c r="DV5" s="16" t="s">
        <v>126</v>
      </c>
      <c r="DW5" s="16">
        <v>45027</v>
      </c>
      <c r="DX5" s="15">
        <v>24316174.405174401</v>
      </c>
      <c r="DY5" s="14">
        <v>30000000</v>
      </c>
      <c r="EA5" s="14">
        <v>10000000</v>
      </c>
      <c r="EB5" s="1">
        <f t="shared" si="10"/>
        <v>11</v>
      </c>
      <c r="EC5" s="14">
        <f t="shared" si="11"/>
        <v>13579888.338428162</v>
      </c>
      <c r="ED5" s="14"/>
      <c r="EL5" s="16" t="s">
        <v>127</v>
      </c>
      <c r="EM5" s="16">
        <v>44579</v>
      </c>
      <c r="EN5" s="15">
        <v>31693230</v>
      </c>
      <c r="EO5" s="14">
        <v>30000000</v>
      </c>
      <c r="EQ5" s="14">
        <v>10000000</v>
      </c>
      <c r="ER5" s="1">
        <f t="shared" si="12"/>
        <v>11</v>
      </c>
      <c r="ES5" s="14">
        <f t="shared" si="13"/>
        <v>16756106.619290249</v>
      </c>
      <c r="EU5" s="16" t="s">
        <v>126</v>
      </c>
      <c r="EV5" s="16">
        <v>44712</v>
      </c>
      <c r="EW5" s="15">
        <v>11113346</v>
      </c>
      <c r="EX5" s="14">
        <v>5000000</v>
      </c>
      <c r="EZ5" s="14">
        <v>10000000</v>
      </c>
      <c r="FA5" s="1">
        <f t="shared" si="14"/>
        <v>11</v>
      </c>
      <c r="FB5" s="14">
        <f t="shared" si="15"/>
        <v>13579888.338428162</v>
      </c>
      <c r="FF5" s="16" t="s">
        <v>83</v>
      </c>
      <c r="FG5" s="16">
        <v>42934</v>
      </c>
      <c r="FH5" s="15">
        <v>59494776</v>
      </c>
      <c r="FI5" s="14">
        <v>50000000</v>
      </c>
      <c r="FK5" s="14">
        <v>10000000</v>
      </c>
      <c r="FL5" s="1">
        <f t="shared" si="16"/>
        <v>4</v>
      </c>
      <c r="FN5" s="16" t="s">
        <v>82</v>
      </c>
      <c r="FO5" s="16">
        <v>43116</v>
      </c>
      <c r="FP5" s="15">
        <v>8507121</v>
      </c>
      <c r="FQ5" s="14">
        <v>2000000</v>
      </c>
      <c r="FS5" s="14">
        <v>10000000</v>
      </c>
      <c r="FT5" s="1">
        <f t="shared" si="17"/>
        <v>6</v>
      </c>
      <c r="FV5" s="16" t="s">
        <v>81</v>
      </c>
      <c r="FW5" s="16">
        <v>43298</v>
      </c>
      <c r="FX5" s="15">
        <v>25795152</v>
      </c>
      <c r="FY5" s="14">
        <v>30000000</v>
      </c>
      <c r="GA5" s="14">
        <v>10000000</v>
      </c>
      <c r="GB5" s="1">
        <f t="shared" si="18"/>
        <v>6</v>
      </c>
      <c r="GD5" s="16" t="s">
        <v>79</v>
      </c>
      <c r="GE5" s="16">
        <v>43480</v>
      </c>
      <c r="GF5" s="15">
        <v>11939532</v>
      </c>
      <c r="GG5" s="14">
        <v>10000000</v>
      </c>
      <c r="GI5" s="14">
        <v>10000000</v>
      </c>
      <c r="GJ5" s="1">
        <f t="shared" si="19"/>
        <v>4</v>
      </c>
      <c r="GL5" s="16" t="s">
        <v>78</v>
      </c>
      <c r="GM5" s="16">
        <v>43662</v>
      </c>
      <c r="GN5" s="15">
        <v>14218323</v>
      </c>
      <c r="GO5" s="14">
        <v>10000000</v>
      </c>
      <c r="GQ5" s="14">
        <v>10000000</v>
      </c>
      <c r="GR5" s="1">
        <f t="shared" si="20"/>
        <v>5</v>
      </c>
      <c r="GT5" s="16" t="s">
        <v>77</v>
      </c>
      <c r="GU5" s="16">
        <v>43851</v>
      </c>
      <c r="GV5" s="15">
        <v>8005914</v>
      </c>
      <c r="GW5" s="14">
        <v>2000000</v>
      </c>
      <c r="GY5" s="14">
        <v>10000000</v>
      </c>
      <c r="GZ5" s="1">
        <f t="shared" si="21"/>
        <v>6</v>
      </c>
      <c r="HB5" s="16" t="s">
        <v>70</v>
      </c>
      <c r="HC5" s="16">
        <v>44033</v>
      </c>
      <c r="HD5" s="15">
        <v>12070728</v>
      </c>
      <c r="HE5" s="14">
        <v>5000000</v>
      </c>
      <c r="HG5" s="14">
        <v>10000000</v>
      </c>
      <c r="HH5" s="1">
        <f t="shared" si="22"/>
        <v>4</v>
      </c>
      <c r="HJ5" s="16" t="s">
        <v>86</v>
      </c>
      <c r="HK5" s="16">
        <v>44215</v>
      </c>
      <c r="HL5" s="15">
        <v>17893116</v>
      </c>
      <c r="HM5" s="14">
        <v>10000000</v>
      </c>
      <c r="HO5" s="14">
        <v>10000000</v>
      </c>
      <c r="HP5" s="1">
        <f t="shared" si="23"/>
        <v>4</v>
      </c>
      <c r="HR5" s="16" t="s">
        <v>69</v>
      </c>
      <c r="HS5" s="16">
        <v>44397</v>
      </c>
      <c r="HT5" s="15">
        <v>11009502</v>
      </c>
      <c r="HU5" s="14">
        <v>5000000</v>
      </c>
      <c r="HW5" s="14">
        <v>10000000</v>
      </c>
      <c r="HX5" s="1">
        <f t="shared" si="24"/>
        <v>5</v>
      </c>
      <c r="HZ5" s="16" t="s">
        <v>76</v>
      </c>
      <c r="IA5" s="16">
        <v>44579</v>
      </c>
      <c r="IB5" s="15">
        <v>31693230</v>
      </c>
      <c r="IC5" s="14">
        <v>30000000</v>
      </c>
      <c r="IE5" s="14">
        <v>5000000</v>
      </c>
      <c r="IF5" s="1">
        <f t="shared" si="25"/>
        <v>7</v>
      </c>
      <c r="IH5" s="16" t="s">
        <v>127</v>
      </c>
      <c r="II5" s="16">
        <v>44341</v>
      </c>
      <c r="IJ5" s="15">
        <v>8270916</v>
      </c>
      <c r="IK5" s="14">
        <v>2000000</v>
      </c>
      <c r="IM5" s="14">
        <v>10000000</v>
      </c>
      <c r="IN5" s="1">
        <f t="shared" si="26"/>
        <v>11</v>
      </c>
      <c r="IP5" s="16" t="s">
        <v>126</v>
      </c>
      <c r="IQ5" s="16">
        <v>44712</v>
      </c>
      <c r="IR5" s="15">
        <v>11113346</v>
      </c>
      <c r="IS5" s="14">
        <v>5000000</v>
      </c>
      <c r="IU5" s="14">
        <v>10000000</v>
      </c>
      <c r="IV5" s="1">
        <f t="shared" si="27"/>
        <v>7</v>
      </c>
    </row>
    <row r="6" spans="2:256" x14ac:dyDescent="0.25">
      <c r="B6" s="16" t="s">
        <v>135</v>
      </c>
      <c r="C6" s="16">
        <v>45349</v>
      </c>
      <c r="D6" s="15">
        <v>9128848.8103488106</v>
      </c>
      <c r="E6" s="14">
        <v>3000000</v>
      </c>
      <c r="G6" s="14">
        <v>15000000</v>
      </c>
      <c r="H6" s="1">
        <f t="shared" si="0"/>
        <v>3</v>
      </c>
      <c r="I6" s="39">
        <f t="shared" si="1"/>
        <v>15595799.222299224</v>
      </c>
      <c r="J6" s="39"/>
      <c r="K6" s="39"/>
      <c r="M6" s="73" t="s">
        <v>117</v>
      </c>
      <c r="N6" s="72"/>
      <c r="O6" s="70">
        <v>0.68969999999999998</v>
      </c>
      <c r="P6" s="70">
        <v>6.7061000000000002</v>
      </c>
      <c r="T6" s="16" t="s">
        <v>33</v>
      </c>
      <c r="U6" s="16">
        <v>43305</v>
      </c>
      <c r="V6" s="15">
        <v>31103626.106194694</v>
      </c>
      <c r="W6" s="14">
        <v>40000000</v>
      </c>
      <c r="Y6" s="14">
        <v>15000000</v>
      </c>
      <c r="Z6" s="1">
        <f t="shared" si="2"/>
        <v>7</v>
      </c>
      <c r="AB6" s="73" t="s">
        <v>117</v>
      </c>
      <c r="AC6" s="72"/>
      <c r="AD6" s="70">
        <v>0.78359999999999996</v>
      </c>
      <c r="AE6" s="70">
        <v>5.6858000000000004</v>
      </c>
      <c r="AI6" s="16" t="s">
        <v>39</v>
      </c>
      <c r="AJ6" s="16">
        <v>43669</v>
      </c>
      <c r="AK6" s="15">
        <v>21902785.398230091</v>
      </c>
      <c r="AL6" s="14">
        <v>15000000</v>
      </c>
      <c r="AN6" s="14">
        <v>15000000</v>
      </c>
      <c r="AO6" s="1">
        <f t="shared" si="3"/>
        <v>6</v>
      </c>
      <c r="AQ6" s="73" t="s">
        <v>117</v>
      </c>
      <c r="AR6" s="72"/>
      <c r="AS6" s="70">
        <v>0.75660000000000005</v>
      </c>
      <c r="AT6" s="70">
        <v>7.2455999999999996</v>
      </c>
      <c r="AX6" s="16" t="s">
        <v>38</v>
      </c>
      <c r="AY6" s="16">
        <v>44355</v>
      </c>
      <c r="AZ6" s="15">
        <v>17663805.555555556</v>
      </c>
      <c r="BA6" s="14">
        <v>10000000</v>
      </c>
      <c r="BC6" s="14">
        <v>12000000</v>
      </c>
      <c r="BD6" s="1">
        <f t="shared" si="4"/>
        <v>0</v>
      </c>
      <c r="BF6" s="73" t="s">
        <v>117</v>
      </c>
      <c r="BG6" s="72"/>
      <c r="BH6" s="70">
        <v>0.76390000000000002</v>
      </c>
      <c r="BI6" s="70">
        <v>8.5350000000000001</v>
      </c>
      <c r="BM6" s="16" t="s">
        <v>35</v>
      </c>
      <c r="BN6" s="16">
        <v>44404</v>
      </c>
      <c r="BO6" s="15">
        <v>15715806.907571292</v>
      </c>
      <c r="BP6" s="14">
        <v>10000000</v>
      </c>
      <c r="BR6" s="14">
        <v>10000000</v>
      </c>
      <c r="BS6" s="1">
        <f t="shared" si="5"/>
        <v>22</v>
      </c>
      <c r="BU6" s="73" t="s">
        <v>117</v>
      </c>
      <c r="BV6" s="72"/>
      <c r="BW6" s="70">
        <v>0.83420000000000005</v>
      </c>
      <c r="BX6" s="70">
        <v>7.5385</v>
      </c>
      <c r="CB6" s="16" t="s">
        <v>37</v>
      </c>
      <c r="CC6" s="16">
        <v>45083</v>
      </c>
      <c r="CD6" s="15">
        <v>13397146.454146456</v>
      </c>
      <c r="CE6" s="14">
        <v>10000000</v>
      </c>
      <c r="CG6" s="14">
        <v>20000000</v>
      </c>
      <c r="CH6" s="1">
        <f t="shared" si="6"/>
        <v>20</v>
      </c>
      <c r="CJ6" s="73" t="s">
        <v>117</v>
      </c>
      <c r="CK6" s="72"/>
      <c r="CL6" s="70">
        <v>0.66869999999999996</v>
      </c>
      <c r="CM6" s="70">
        <v>7.0575000000000001</v>
      </c>
      <c r="CQ6" s="16" t="s">
        <v>115</v>
      </c>
      <c r="CR6" s="16">
        <v>45132</v>
      </c>
      <c r="CS6" s="15">
        <v>9303610.3026103005</v>
      </c>
      <c r="CT6" s="14">
        <v>5000000</v>
      </c>
      <c r="CV6" s="14">
        <v>20000000</v>
      </c>
      <c r="CW6" s="1">
        <f t="shared" si="7"/>
        <v>20</v>
      </c>
      <c r="CY6" s="73" t="s">
        <v>117</v>
      </c>
      <c r="CZ6" s="72"/>
      <c r="DA6" s="70">
        <v>0.68130000000000002</v>
      </c>
      <c r="DB6" s="70">
        <v>6.6062000000000003</v>
      </c>
      <c r="DF6" s="16" t="s">
        <v>127</v>
      </c>
      <c r="DG6" s="16">
        <v>44670</v>
      </c>
      <c r="DH6" s="15">
        <v>16153900.442477878</v>
      </c>
      <c r="DI6" s="14">
        <v>10000000</v>
      </c>
      <c r="DK6" s="14">
        <v>20000000</v>
      </c>
      <c r="DL6" s="1">
        <f t="shared" si="8"/>
        <v>6</v>
      </c>
      <c r="DM6" s="14">
        <f t="shared" si="9"/>
        <v>23315735.373647988</v>
      </c>
      <c r="DN6" s="14"/>
      <c r="DO6" s="73" t="s">
        <v>117</v>
      </c>
      <c r="DP6" s="72"/>
      <c r="DQ6" s="70">
        <v>0.86950000000000005</v>
      </c>
      <c r="DR6" s="70">
        <v>6.7275</v>
      </c>
      <c r="DV6" s="16" t="s">
        <v>126</v>
      </c>
      <c r="DW6" s="16">
        <v>45020</v>
      </c>
      <c r="DX6" s="15">
        <v>20387653.730653729</v>
      </c>
      <c r="DY6" s="14">
        <v>20000000</v>
      </c>
      <c r="EA6" s="14">
        <v>20000000</v>
      </c>
      <c r="EB6" s="1">
        <f t="shared" si="10"/>
        <v>9</v>
      </c>
      <c r="EC6" s="14">
        <f t="shared" si="11"/>
        <v>20693178.22019887</v>
      </c>
      <c r="ED6" s="14"/>
      <c r="EE6" s="73" t="s">
        <v>117</v>
      </c>
      <c r="EF6" s="72"/>
      <c r="EG6" s="70">
        <v>0.76659999999999995</v>
      </c>
      <c r="EH6" s="70">
        <v>4.8662000000000001</v>
      </c>
      <c r="EL6" s="16" t="s">
        <v>127</v>
      </c>
      <c r="EM6" s="16">
        <v>44586</v>
      </c>
      <c r="EN6" s="15">
        <v>48101343</v>
      </c>
      <c r="EO6" s="14">
        <v>50000000</v>
      </c>
      <c r="EQ6" s="14">
        <v>20000000</v>
      </c>
      <c r="ER6" s="1">
        <f t="shared" si="12"/>
        <v>6</v>
      </c>
      <c r="ES6" s="14">
        <f t="shared" si="13"/>
        <v>23315735.373647988</v>
      </c>
      <c r="EU6" s="16" t="s">
        <v>126</v>
      </c>
      <c r="EV6" s="16">
        <v>44719</v>
      </c>
      <c r="EW6" s="15">
        <v>10186086</v>
      </c>
      <c r="EX6" s="14">
        <v>3000000</v>
      </c>
      <c r="EZ6" s="14">
        <v>20000000</v>
      </c>
      <c r="FA6" s="1">
        <f t="shared" si="14"/>
        <v>9</v>
      </c>
      <c r="FB6" s="14">
        <f t="shared" si="15"/>
        <v>20693178.22019887</v>
      </c>
      <c r="FF6" s="16" t="s">
        <v>83</v>
      </c>
      <c r="FG6" s="16">
        <v>42941</v>
      </c>
      <c r="FH6" s="15">
        <v>8908191</v>
      </c>
      <c r="FI6" s="14">
        <v>2000000</v>
      </c>
      <c r="FK6" s="14">
        <v>15000000</v>
      </c>
      <c r="FL6" s="1">
        <f t="shared" si="16"/>
        <v>4</v>
      </c>
      <c r="FN6" s="16" t="s">
        <v>82</v>
      </c>
      <c r="FO6" s="16">
        <v>43123</v>
      </c>
      <c r="FP6" s="15">
        <v>10687254</v>
      </c>
      <c r="FQ6" s="14">
        <v>5000000</v>
      </c>
      <c r="FS6" s="14">
        <v>15000000</v>
      </c>
      <c r="FT6" s="1">
        <f t="shared" si="17"/>
        <v>3</v>
      </c>
      <c r="FV6" s="16" t="s">
        <v>81</v>
      </c>
      <c r="FW6" s="16">
        <v>43305</v>
      </c>
      <c r="FX6" s="15">
        <v>31123032</v>
      </c>
      <c r="FY6" s="14">
        <v>40000000</v>
      </c>
      <c r="GA6" s="14">
        <v>15000000</v>
      </c>
      <c r="GB6" s="1">
        <f t="shared" si="18"/>
        <v>3</v>
      </c>
      <c r="GD6" s="16" t="s">
        <v>79</v>
      </c>
      <c r="GE6" s="16">
        <v>43487</v>
      </c>
      <c r="GF6" s="15">
        <v>20528433</v>
      </c>
      <c r="GG6" s="14">
        <v>15000000</v>
      </c>
      <c r="GI6" s="14">
        <v>15000000</v>
      </c>
      <c r="GJ6" s="1">
        <f t="shared" si="19"/>
        <v>4</v>
      </c>
      <c r="GL6" s="16" t="s">
        <v>78</v>
      </c>
      <c r="GM6" s="16">
        <v>43669</v>
      </c>
      <c r="GN6" s="15">
        <v>20933766</v>
      </c>
      <c r="GO6" s="14">
        <v>15000000</v>
      </c>
      <c r="GQ6" s="14">
        <v>15000000</v>
      </c>
      <c r="GR6" s="1">
        <f t="shared" si="20"/>
        <v>3</v>
      </c>
      <c r="GT6" s="16" t="s">
        <v>77</v>
      </c>
      <c r="GU6" s="16">
        <v>43858</v>
      </c>
      <c r="GV6" s="15">
        <v>9440805</v>
      </c>
      <c r="GW6" s="14">
        <v>5000000</v>
      </c>
      <c r="GY6" s="14">
        <v>15000000</v>
      </c>
      <c r="GZ6" s="1">
        <f t="shared" si="21"/>
        <v>3</v>
      </c>
      <c r="HB6" s="16" t="s">
        <v>70</v>
      </c>
      <c r="HC6" s="16">
        <v>44040</v>
      </c>
      <c r="HD6" s="15">
        <v>20400630</v>
      </c>
      <c r="HE6" s="14">
        <v>12000000</v>
      </c>
      <c r="HG6" s="14">
        <v>12000000</v>
      </c>
      <c r="HH6" s="1">
        <f t="shared" si="22"/>
        <v>2</v>
      </c>
      <c r="HJ6" s="16" t="s">
        <v>86</v>
      </c>
      <c r="HK6" s="16">
        <v>44222</v>
      </c>
      <c r="HL6" s="15">
        <v>25849614</v>
      </c>
      <c r="HM6" s="14">
        <v>20000000</v>
      </c>
      <c r="HO6" s="14">
        <v>15000000</v>
      </c>
      <c r="HP6" s="1">
        <f t="shared" si="23"/>
        <v>2</v>
      </c>
      <c r="HR6" s="16" t="s">
        <v>69</v>
      </c>
      <c r="HS6" s="16">
        <v>44404</v>
      </c>
      <c r="HT6" s="15">
        <v>14462184</v>
      </c>
      <c r="HU6" s="14">
        <v>10000000</v>
      </c>
      <c r="HW6" s="14">
        <v>20000000</v>
      </c>
      <c r="HX6" s="1">
        <f t="shared" si="24"/>
        <v>4</v>
      </c>
      <c r="HZ6" s="16" t="s">
        <v>76</v>
      </c>
      <c r="IA6" s="16">
        <v>44586</v>
      </c>
      <c r="IB6" s="15">
        <v>48101343</v>
      </c>
      <c r="IC6" s="14">
        <v>50000000</v>
      </c>
      <c r="IE6" s="14">
        <v>10000000</v>
      </c>
      <c r="IF6" s="1">
        <f t="shared" si="25"/>
        <v>6</v>
      </c>
      <c r="IH6" s="16" t="s">
        <v>127</v>
      </c>
      <c r="II6" s="16">
        <v>44348</v>
      </c>
      <c r="IJ6" s="15">
        <v>11632857</v>
      </c>
      <c r="IK6" s="14">
        <v>5000000</v>
      </c>
      <c r="IM6" s="14">
        <v>20000000</v>
      </c>
      <c r="IN6" s="1">
        <f t="shared" si="26"/>
        <v>6</v>
      </c>
      <c r="IP6" s="16" t="s">
        <v>126</v>
      </c>
      <c r="IQ6" s="16">
        <v>44719</v>
      </c>
      <c r="IR6" s="15">
        <v>10186086</v>
      </c>
      <c r="IS6" s="14">
        <v>3000000</v>
      </c>
      <c r="IU6" s="14">
        <v>20000000</v>
      </c>
      <c r="IV6" s="1">
        <f t="shared" si="27"/>
        <v>4</v>
      </c>
    </row>
    <row r="7" spans="2:256" x14ac:dyDescent="0.25">
      <c r="B7" s="16" t="s">
        <v>135</v>
      </c>
      <c r="C7" s="16">
        <v>45342</v>
      </c>
      <c r="D7" s="15">
        <v>31100381.612381607</v>
      </c>
      <c r="E7" s="14">
        <v>30000000</v>
      </c>
      <c r="G7" s="14">
        <v>20000000</v>
      </c>
      <c r="H7" s="1">
        <f t="shared" si="0"/>
        <v>10</v>
      </c>
      <c r="I7" s="39">
        <f t="shared" si="1"/>
        <v>20885000.069300067</v>
      </c>
      <c r="J7" s="39"/>
      <c r="K7" s="39"/>
      <c r="M7" s="69"/>
      <c r="N7" s="69"/>
      <c r="O7" s="69"/>
      <c r="P7" s="69"/>
      <c r="T7" s="16" t="s">
        <v>33</v>
      </c>
      <c r="U7" s="16">
        <v>43312</v>
      </c>
      <c r="V7" s="15">
        <v>38919567.477876119</v>
      </c>
      <c r="W7" s="14">
        <v>50000000</v>
      </c>
      <c r="Y7" s="14">
        <v>20000000</v>
      </c>
      <c r="Z7" s="1">
        <f t="shared" si="2"/>
        <v>1</v>
      </c>
      <c r="AB7" s="69"/>
      <c r="AC7" s="69"/>
      <c r="AD7" s="69"/>
      <c r="AE7" s="69"/>
      <c r="AI7" s="16" t="s">
        <v>39</v>
      </c>
      <c r="AJ7" s="16">
        <v>43676</v>
      </c>
      <c r="AK7" s="15">
        <v>28630879.424778771</v>
      </c>
      <c r="AL7" s="14">
        <v>25000000</v>
      </c>
      <c r="AN7" s="14">
        <v>20000000</v>
      </c>
      <c r="AO7" s="1">
        <f t="shared" si="3"/>
        <v>2</v>
      </c>
      <c r="AQ7" s="69"/>
      <c r="AR7" s="69"/>
      <c r="AS7" s="69"/>
      <c r="AT7" s="69"/>
      <c r="AX7" s="16" t="s">
        <v>38</v>
      </c>
      <c r="AY7" s="16">
        <v>44348</v>
      </c>
      <c r="AZ7" s="15">
        <v>12060125.245821046</v>
      </c>
      <c r="BA7" s="14">
        <v>5000000</v>
      </c>
      <c r="BC7" s="14">
        <v>15000000</v>
      </c>
      <c r="BD7" s="1">
        <f t="shared" si="4"/>
        <v>2</v>
      </c>
      <c r="BF7" s="69"/>
      <c r="BG7" s="69"/>
      <c r="BH7" s="69"/>
      <c r="BI7" s="69"/>
      <c r="BM7" s="16" t="s">
        <v>35</v>
      </c>
      <c r="BN7" s="16">
        <v>44411</v>
      </c>
      <c r="BO7" s="15">
        <v>8737466.5683382507</v>
      </c>
      <c r="BP7" s="14">
        <v>2000000</v>
      </c>
      <c r="BR7" s="14">
        <v>20000000</v>
      </c>
      <c r="BS7" s="1">
        <f t="shared" si="5"/>
        <v>14</v>
      </c>
      <c r="BU7" s="69"/>
      <c r="BV7" s="69"/>
      <c r="BW7" s="69"/>
      <c r="BX7" s="69"/>
      <c r="CB7" s="16" t="s">
        <v>37</v>
      </c>
      <c r="CC7" s="16">
        <v>45076</v>
      </c>
      <c r="CD7" s="15">
        <v>9865218.9882189874</v>
      </c>
      <c r="CE7" s="14">
        <v>5000000</v>
      </c>
      <c r="CG7" s="14">
        <v>30000000</v>
      </c>
      <c r="CH7" s="1">
        <f t="shared" si="6"/>
        <v>10</v>
      </c>
      <c r="CJ7" s="69"/>
      <c r="CK7" s="69"/>
      <c r="CL7" s="69"/>
      <c r="CM7" s="69"/>
      <c r="CQ7" s="16" t="s">
        <v>115</v>
      </c>
      <c r="CR7" s="16">
        <v>45139</v>
      </c>
      <c r="CS7" s="15">
        <v>12713646.107646106</v>
      </c>
      <c r="CT7" s="14">
        <v>10000000</v>
      </c>
      <c r="CV7" s="14">
        <v>30000000</v>
      </c>
      <c r="CW7" s="1">
        <f t="shared" si="7"/>
        <v>10</v>
      </c>
      <c r="CY7" s="69"/>
      <c r="CZ7" s="69"/>
      <c r="DA7" s="69"/>
      <c r="DB7" s="69"/>
      <c r="DF7" s="16" t="s">
        <v>127</v>
      </c>
      <c r="DG7" s="16">
        <v>44663</v>
      </c>
      <c r="DH7" s="15">
        <v>11151636.184857424</v>
      </c>
      <c r="DI7" s="14">
        <v>5000000</v>
      </c>
      <c r="DK7" s="14">
        <v>30000000</v>
      </c>
      <c r="DL7" s="1">
        <f t="shared" si="8"/>
        <v>4</v>
      </c>
      <c r="DM7" s="14">
        <f t="shared" si="9"/>
        <v>33740757.558997057</v>
      </c>
      <c r="DO7" s="69"/>
      <c r="DP7" s="69"/>
      <c r="DQ7" s="69"/>
      <c r="DR7" s="69"/>
      <c r="DV7" s="16" t="s">
        <v>126</v>
      </c>
      <c r="DW7" s="16">
        <v>45013</v>
      </c>
      <c r="DX7" s="15">
        <v>14791094.479094479</v>
      </c>
      <c r="DY7" s="14">
        <v>10000000</v>
      </c>
      <c r="EA7" s="14">
        <v>30000000</v>
      </c>
      <c r="EB7" s="1">
        <f t="shared" si="10"/>
        <v>4</v>
      </c>
      <c r="EC7" s="14">
        <f t="shared" si="11"/>
        <v>25387419.48057656</v>
      </c>
      <c r="EE7" s="69"/>
      <c r="EF7" s="69"/>
      <c r="EG7" s="69"/>
      <c r="EH7" s="69"/>
      <c r="EL7" s="16" t="s">
        <v>127</v>
      </c>
      <c r="EM7" s="16">
        <v>44593</v>
      </c>
      <c r="EN7" s="15">
        <v>9278637</v>
      </c>
      <c r="EO7" s="14">
        <v>2000000</v>
      </c>
      <c r="EQ7" s="14">
        <v>30000000</v>
      </c>
      <c r="ER7" s="1">
        <f t="shared" si="12"/>
        <v>4</v>
      </c>
      <c r="ES7" s="14">
        <f t="shared" si="13"/>
        <v>33740757.558997057</v>
      </c>
      <c r="EU7" s="16" t="s">
        <v>126</v>
      </c>
      <c r="EV7" s="16">
        <v>44726</v>
      </c>
      <c r="EW7" s="15">
        <v>8929954</v>
      </c>
      <c r="EX7" s="14">
        <v>5000000</v>
      </c>
      <c r="EZ7" s="14">
        <v>30000000</v>
      </c>
      <c r="FA7" s="1">
        <f t="shared" si="14"/>
        <v>4</v>
      </c>
      <c r="FB7" s="14">
        <f t="shared" si="15"/>
        <v>25387419.48057656</v>
      </c>
      <c r="FF7" s="16" t="s">
        <v>83</v>
      </c>
      <c r="FG7" s="16">
        <v>42948</v>
      </c>
      <c r="FH7" s="15">
        <v>10701783</v>
      </c>
      <c r="FI7" s="14">
        <v>5000000</v>
      </c>
      <c r="FK7" s="14">
        <v>20000000</v>
      </c>
      <c r="FL7" s="1">
        <f t="shared" si="16"/>
        <v>1</v>
      </c>
      <c r="FN7" s="16" t="s">
        <v>82</v>
      </c>
      <c r="FO7" s="16">
        <v>43130</v>
      </c>
      <c r="FP7" s="15">
        <v>16569846</v>
      </c>
      <c r="FQ7" s="14">
        <v>10000000</v>
      </c>
      <c r="FS7" s="14">
        <v>30000000</v>
      </c>
      <c r="FT7" s="1">
        <f t="shared" si="17"/>
        <v>1</v>
      </c>
      <c r="FV7" s="16" t="s">
        <v>81</v>
      </c>
      <c r="FW7" s="16">
        <v>43312</v>
      </c>
      <c r="FX7" s="15">
        <v>38966256</v>
      </c>
      <c r="FY7" s="14">
        <v>50000000</v>
      </c>
      <c r="GA7" s="14">
        <v>30000000</v>
      </c>
      <c r="GB7" s="1">
        <f t="shared" si="18"/>
        <v>2</v>
      </c>
      <c r="GD7" s="16" t="s">
        <v>79</v>
      </c>
      <c r="GE7" s="16">
        <v>43494</v>
      </c>
      <c r="GF7" s="15">
        <v>23408568</v>
      </c>
      <c r="GG7" s="14">
        <v>20000000</v>
      </c>
      <c r="GI7" s="14">
        <v>20000000</v>
      </c>
      <c r="GJ7" s="1">
        <f t="shared" si="19"/>
        <v>1</v>
      </c>
      <c r="GL7" s="16" t="s">
        <v>78</v>
      </c>
      <c r="GM7" s="16">
        <v>43676</v>
      </c>
      <c r="GN7" s="15">
        <v>28282134</v>
      </c>
      <c r="GO7" s="14">
        <v>25000000</v>
      </c>
      <c r="GQ7" s="14">
        <v>20000000</v>
      </c>
      <c r="GR7" s="1">
        <f t="shared" si="20"/>
        <v>1</v>
      </c>
      <c r="GT7" s="16" t="s">
        <v>77</v>
      </c>
      <c r="GU7" s="16">
        <v>43865</v>
      </c>
      <c r="GV7" s="15">
        <v>15374379</v>
      </c>
      <c r="GW7" s="14">
        <v>10000000</v>
      </c>
      <c r="GY7" s="14">
        <v>20000000</v>
      </c>
      <c r="GZ7" s="1">
        <f t="shared" si="21"/>
        <v>1</v>
      </c>
      <c r="HB7" s="16" t="s">
        <v>70</v>
      </c>
      <c r="HC7" s="16">
        <v>44047</v>
      </c>
      <c r="HD7" s="15">
        <v>9176151</v>
      </c>
      <c r="HE7" s="14">
        <v>2000000</v>
      </c>
      <c r="HG7" s="14">
        <v>20000000</v>
      </c>
      <c r="HH7" s="1">
        <f t="shared" si="22"/>
        <v>2</v>
      </c>
      <c r="HJ7" s="16" t="s">
        <v>86</v>
      </c>
      <c r="HK7" s="16">
        <v>44229</v>
      </c>
      <c r="HL7" s="15">
        <v>32113614</v>
      </c>
      <c r="HM7" s="14">
        <v>30000000</v>
      </c>
      <c r="HO7" s="14">
        <v>20000000</v>
      </c>
      <c r="HP7" s="1">
        <f t="shared" si="23"/>
        <v>2</v>
      </c>
      <c r="HR7" s="16" t="s">
        <v>69</v>
      </c>
      <c r="HS7" s="16">
        <v>44411</v>
      </c>
      <c r="HT7" s="15">
        <v>8087433</v>
      </c>
      <c r="HU7" s="14">
        <v>2000000</v>
      </c>
      <c r="HW7" s="14">
        <v>30000000</v>
      </c>
      <c r="HX7" s="1">
        <f t="shared" si="24"/>
        <v>3</v>
      </c>
      <c r="HZ7" s="16" t="s">
        <v>76</v>
      </c>
      <c r="IA7" s="16">
        <v>44593</v>
      </c>
      <c r="IB7" s="15">
        <v>9278637</v>
      </c>
      <c r="IC7" s="14">
        <v>2000000</v>
      </c>
      <c r="IE7" s="14">
        <v>20000000</v>
      </c>
      <c r="IF7" s="1">
        <f t="shared" si="25"/>
        <v>3</v>
      </c>
      <c r="IH7" s="16" t="s">
        <v>127</v>
      </c>
      <c r="II7" s="16">
        <v>44355</v>
      </c>
      <c r="IJ7" s="15">
        <v>17794719</v>
      </c>
      <c r="IK7" s="14">
        <v>10000000</v>
      </c>
      <c r="IM7" s="14">
        <v>30000000</v>
      </c>
      <c r="IN7" s="1">
        <f t="shared" si="26"/>
        <v>4</v>
      </c>
      <c r="IP7" s="16" t="s">
        <v>126</v>
      </c>
      <c r="IQ7" s="16">
        <v>44726</v>
      </c>
      <c r="IR7" s="15">
        <v>8929954</v>
      </c>
      <c r="IS7" s="14">
        <v>5000000</v>
      </c>
      <c r="IU7" s="14">
        <v>30000000</v>
      </c>
      <c r="IV7" s="1">
        <f t="shared" si="27"/>
        <v>2</v>
      </c>
    </row>
    <row r="8" spans="2:256" x14ac:dyDescent="0.25">
      <c r="B8" s="16" t="s">
        <v>135</v>
      </c>
      <c r="C8" s="16">
        <v>45335</v>
      </c>
      <c r="D8" s="15">
        <v>24152813.005313005</v>
      </c>
      <c r="E8" s="14">
        <v>20000000</v>
      </c>
      <c r="G8" s="14">
        <v>30000000</v>
      </c>
      <c r="H8" s="1">
        <f t="shared" si="0"/>
        <v>6</v>
      </c>
      <c r="I8" s="39">
        <f t="shared" si="1"/>
        <v>27792359.609609608</v>
      </c>
      <c r="J8" s="39"/>
      <c r="K8" s="39"/>
      <c r="M8" s="2" t="s">
        <v>41</v>
      </c>
      <c r="N8" s="2" t="s">
        <v>25</v>
      </c>
      <c r="T8" s="16" t="s">
        <v>33</v>
      </c>
      <c r="U8" s="16">
        <v>43319</v>
      </c>
      <c r="V8" s="15">
        <v>64902499.508357935</v>
      </c>
      <c r="W8" s="14">
        <v>70000000</v>
      </c>
      <c r="Y8" s="14">
        <v>30000000</v>
      </c>
      <c r="Z8" s="1">
        <f t="shared" si="2"/>
        <v>4</v>
      </c>
      <c r="AB8" s="2" t="s">
        <v>41</v>
      </c>
      <c r="AC8" s="2" t="s">
        <v>25</v>
      </c>
      <c r="AI8" s="16" t="s">
        <v>39</v>
      </c>
      <c r="AJ8" s="16">
        <v>43683</v>
      </c>
      <c r="AK8" s="15">
        <v>35846270.157325476</v>
      </c>
      <c r="AL8" s="14">
        <v>40000000</v>
      </c>
      <c r="AN8" s="14">
        <v>25000000</v>
      </c>
      <c r="AO8" s="1">
        <f t="shared" si="3"/>
        <v>2</v>
      </c>
      <c r="AQ8" s="2" t="s">
        <v>41</v>
      </c>
      <c r="AR8" s="2" t="s">
        <v>25</v>
      </c>
      <c r="AX8" s="16" t="s">
        <v>38</v>
      </c>
      <c r="AY8" s="16">
        <v>44341</v>
      </c>
      <c r="AZ8" s="15">
        <v>8917251.2291052137</v>
      </c>
      <c r="BA8" s="14">
        <v>2000000</v>
      </c>
      <c r="BC8" s="14">
        <v>20000000</v>
      </c>
      <c r="BD8" s="1">
        <f t="shared" si="4"/>
        <v>4</v>
      </c>
      <c r="BF8" s="2" t="s">
        <v>41</v>
      </c>
      <c r="BG8" s="2" t="s">
        <v>25</v>
      </c>
      <c r="BM8" s="16" t="s">
        <v>35</v>
      </c>
      <c r="BN8" s="16">
        <v>44418</v>
      </c>
      <c r="BO8" s="15">
        <v>10800299.778761065</v>
      </c>
      <c r="BP8" s="14">
        <v>5000000</v>
      </c>
      <c r="BR8" s="14">
        <v>30000000</v>
      </c>
      <c r="BS8" s="1">
        <f t="shared" si="5"/>
        <v>8</v>
      </c>
      <c r="BU8" s="2" t="s">
        <v>41</v>
      </c>
      <c r="BV8" s="2" t="s">
        <v>25</v>
      </c>
      <c r="CB8" s="16" t="s">
        <v>37</v>
      </c>
      <c r="CC8" s="16">
        <v>45069</v>
      </c>
      <c r="CD8" s="15">
        <v>8703118.3876183871</v>
      </c>
      <c r="CE8" s="14">
        <v>3000000</v>
      </c>
      <c r="CG8" s="14">
        <v>50000000</v>
      </c>
      <c r="CH8" s="1">
        <f t="shared" si="6"/>
        <v>2</v>
      </c>
      <c r="CJ8" s="2" t="s">
        <v>41</v>
      </c>
      <c r="CK8" s="2" t="s">
        <v>25</v>
      </c>
      <c r="CQ8" s="16" t="s">
        <v>115</v>
      </c>
      <c r="CR8" s="16">
        <v>45146</v>
      </c>
      <c r="CS8" s="15">
        <v>22289923.538923535</v>
      </c>
      <c r="CT8" s="14">
        <v>20000000</v>
      </c>
      <c r="CV8" s="14">
        <v>50000000</v>
      </c>
      <c r="CW8" s="1">
        <f t="shared" si="7"/>
        <v>2</v>
      </c>
      <c r="CY8" s="2" t="s">
        <v>41</v>
      </c>
      <c r="CZ8" s="2" t="s">
        <v>25</v>
      </c>
      <c r="DF8" s="16" t="s">
        <v>127</v>
      </c>
      <c r="DG8" s="16">
        <v>44656</v>
      </c>
      <c r="DH8" s="15">
        <v>8264872.0501474943</v>
      </c>
      <c r="DI8" s="14">
        <v>2000000</v>
      </c>
      <c r="DK8" s="14">
        <v>50000000</v>
      </c>
      <c r="DL8" s="1">
        <f t="shared" si="8"/>
        <v>2</v>
      </c>
      <c r="DM8" s="14">
        <f t="shared" si="9"/>
        <v>48317783.062930189</v>
      </c>
      <c r="DO8" s="2" t="s">
        <v>41</v>
      </c>
      <c r="DP8" s="2" t="s">
        <v>25</v>
      </c>
      <c r="DV8" s="16" t="s">
        <v>126</v>
      </c>
      <c r="DW8" s="16">
        <v>45006</v>
      </c>
      <c r="DX8" s="15">
        <v>10052417.532917533</v>
      </c>
      <c r="DY8" s="14">
        <v>5000000</v>
      </c>
      <c r="EA8" s="14">
        <v>50000000</v>
      </c>
      <c r="EB8" s="1">
        <f t="shared" si="10"/>
        <v>1</v>
      </c>
      <c r="EC8" s="14">
        <f t="shared" si="11"/>
        <v>41464495.575221241</v>
      </c>
      <c r="EE8" s="2" t="s">
        <v>41</v>
      </c>
      <c r="EF8" s="2" t="s">
        <v>25</v>
      </c>
      <c r="EL8" s="16" t="s">
        <v>127</v>
      </c>
      <c r="EM8" s="16">
        <v>44600</v>
      </c>
      <c r="EN8" s="15">
        <v>11077362</v>
      </c>
      <c r="EO8" s="14">
        <v>5000000</v>
      </c>
      <c r="EQ8" s="14">
        <v>50000000</v>
      </c>
      <c r="ER8" s="1">
        <f t="shared" si="12"/>
        <v>2</v>
      </c>
      <c r="ES8" s="14">
        <f t="shared" si="13"/>
        <v>48317783.062930189</v>
      </c>
      <c r="EU8" s="16" t="s">
        <v>126</v>
      </c>
      <c r="EV8" s="16">
        <v>44733</v>
      </c>
      <c r="EW8" s="15">
        <v>11924379</v>
      </c>
      <c r="EX8" s="14">
        <v>10000000</v>
      </c>
      <c r="EZ8" s="14">
        <v>50000000</v>
      </c>
      <c r="FA8" s="1">
        <f t="shared" si="14"/>
        <v>1</v>
      </c>
      <c r="FB8" s="14">
        <f t="shared" si="15"/>
        <v>41464495.575221241</v>
      </c>
      <c r="FF8" s="16" t="s">
        <v>83</v>
      </c>
      <c r="FG8" s="16">
        <v>42955</v>
      </c>
      <c r="FH8" s="15">
        <v>7992777</v>
      </c>
      <c r="FI8" s="14">
        <v>2000000</v>
      </c>
      <c r="FK8" s="14">
        <v>30000000</v>
      </c>
      <c r="FL8" s="1">
        <f t="shared" si="16"/>
        <v>4</v>
      </c>
      <c r="FN8" s="16" t="s">
        <v>82</v>
      </c>
      <c r="FO8" s="16">
        <v>43137</v>
      </c>
      <c r="FP8" s="15">
        <v>7613544</v>
      </c>
      <c r="FQ8" s="14">
        <v>2000000</v>
      </c>
      <c r="FS8" s="14">
        <v>40000000</v>
      </c>
      <c r="FT8" s="1">
        <f t="shared" si="17"/>
        <v>1</v>
      </c>
      <c r="FV8" s="16" t="s">
        <v>81</v>
      </c>
      <c r="FW8" s="16">
        <v>43319</v>
      </c>
      <c r="FX8" s="15">
        <v>64538688</v>
      </c>
      <c r="FY8" s="14">
        <v>70000000</v>
      </c>
      <c r="GA8" s="14">
        <v>40000000</v>
      </c>
      <c r="GB8" s="1">
        <f t="shared" si="18"/>
        <v>1</v>
      </c>
      <c r="GD8" s="16" t="s">
        <v>79</v>
      </c>
      <c r="GE8" s="16">
        <v>43501</v>
      </c>
      <c r="GF8" s="15">
        <v>8489199</v>
      </c>
      <c r="GG8" s="14">
        <v>2000000</v>
      </c>
      <c r="GI8" s="14">
        <v>30000000</v>
      </c>
      <c r="GJ8" s="1">
        <f t="shared" si="19"/>
        <v>2</v>
      </c>
      <c r="GL8" s="16" t="s">
        <v>78</v>
      </c>
      <c r="GM8" s="16">
        <v>43683</v>
      </c>
      <c r="GN8" s="15">
        <v>34974348</v>
      </c>
      <c r="GO8" s="14">
        <v>40000000</v>
      </c>
      <c r="GQ8" s="14">
        <v>25000000</v>
      </c>
      <c r="GR8" s="1">
        <f t="shared" si="20"/>
        <v>2</v>
      </c>
      <c r="GT8" s="16" t="s">
        <v>77</v>
      </c>
      <c r="GU8" s="16">
        <v>43872</v>
      </c>
      <c r="GV8" s="15">
        <v>9226872</v>
      </c>
      <c r="GW8" s="14">
        <v>2000000</v>
      </c>
      <c r="GY8" s="14">
        <v>30000000</v>
      </c>
      <c r="GZ8" s="1">
        <f t="shared" si="21"/>
        <v>1</v>
      </c>
      <c r="HB8" s="16" t="s">
        <v>70</v>
      </c>
      <c r="HC8" s="16">
        <v>44054</v>
      </c>
      <c r="HD8" s="15">
        <v>14102874</v>
      </c>
      <c r="HE8" s="14">
        <v>5000000</v>
      </c>
      <c r="HG8" s="14">
        <v>30000000</v>
      </c>
      <c r="HH8" s="1">
        <f t="shared" si="22"/>
        <v>1</v>
      </c>
      <c r="HJ8" s="16" t="s">
        <v>86</v>
      </c>
      <c r="HK8" s="16">
        <v>44236</v>
      </c>
      <c r="HL8" s="15">
        <v>9317700</v>
      </c>
      <c r="HM8" s="14">
        <v>2000000</v>
      </c>
      <c r="HO8" s="14">
        <v>25000000</v>
      </c>
      <c r="HP8" s="1">
        <f t="shared" si="23"/>
        <v>1</v>
      </c>
      <c r="HR8" s="16" t="s">
        <v>69</v>
      </c>
      <c r="HS8" s="16">
        <v>44418</v>
      </c>
      <c r="HT8" s="15">
        <v>10671159</v>
      </c>
      <c r="HU8" s="14">
        <v>5000000</v>
      </c>
      <c r="HW8" s="14">
        <v>50000000</v>
      </c>
      <c r="HX8" s="1">
        <f t="shared" si="24"/>
        <v>1</v>
      </c>
      <c r="HZ8" s="16" t="s">
        <v>76</v>
      </c>
      <c r="IA8" s="16">
        <v>44600</v>
      </c>
      <c r="IB8" s="15">
        <v>11077362</v>
      </c>
      <c r="IC8" s="14">
        <v>5000000</v>
      </c>
      <c r="IE8" s="14">
        <v>30000000</v>
      </c>
      <c r="IF8" s="1">
        <f t="shared" si="25"/>
        <v>1</v>
      </c>
      <c r="IH8" s="16" t="s">
        <v>127</v>
      </c>
      <c r="II8" s="16">
        <v>44362</v>
      </c>
      <c r="IJ8" s="15">
        <v>9136740</v>
      </c>
      <c r="IK8" s="14">
        <v>2000000</v>
      </c>
      <c r="IM8" s="14">
        <v>50000000</v>
      </c>
      <c r="IN8" s="1">
        <f t="shared" si="26"/>
        <v>2</v>
      </c>
      <c r="IP8" s="16" t="s">
        <v>126</v>
      </c>
      <c r="IQ8" s="16">
        <v>44733</v>
      </c>
      <c r="IR8" s="15">
        <v>11924379</v>
      </c>
      <c r="IS8" s="14">
        <v>10000000</v>
      </c>
      <c r="IU8" s="14">
        <v>50000000</v>
      </c>
      <c r="IV8" s="1">
        <f t="shared" si="27"/>
        <v>1</v>
      </c>
    </row>
    <row r="9" spans="2:256" x14ac:dyDescent="0.25">
      <c r="B9" s="16" t="s">
        <v>135</v>
      </c>
      <c r="C9" s="16">
        <v>45328</v>
      </c>
      <c r="D9" s="15">
        <v>18082208.708708707</v>
      </c>
      <c r="E9" s="14">
        <v>10000000</v>
      </c>
      <c r="G9" s="14">
        <v>40000000</v>
      </c>
      <c r="H9" s="1">
        <f t="shared" si="0"/>
        <v>1</v>
      </c>
      <c r="I9" s="39">
        <f t="shared" si="1"/>
        <v>32184130.399630401</v>
      </c>
      <c r="J9" s="39"/>
      <c r="K9" s="39"/>
      <c r="M9" s="40">
        <v>3</v>
      </c>
      <c r="N9" s="39">
        <f t="shared" ref="N9:N20" si="28">($N$6*M9^2+$O$6*M9+$P$6)*1000000</f>
        <v>8775200</v>
      </c>
      <c r="O9" s="40">
        <v>3</v>
      </c>
      <c r="P9" s="39">
        <f t="shared" ref="P9:P17" si="29">($N$6*O9^2+$O$6*O9+$P$6)*1000000</f>
        <v>8775200</v>
      </c>
      <c r="T9" s="16" t="s">
        <v>33</v>
      </c>
      <c r="U9" s="16">
        <v>43326</v>
      </c>
      <c r="V9" s="15">
        <v>8200389.3805309748</v>
      </c>
      <c r="W9" s="14">
        <v>2000000</v>
      </c>
      <c r="Y9" s="14">
        <v>40000000</v>
      </c>
      <c r="Z9" s="1">
        <f t="shared" si="2"/>
        <v>3</v>
      </c>
      <c r="AB9" s="40">
        <v>2</v>
      </c>
      <c r="AC9" s="39">
        <f>($AC$6*AB9^2+$AD$6*AB9+$AE$6)*1000000</f>
        <v>7253000</v>
      </c>
      <c r="AD9" s="40"/>
      <c r="AE9" s="39"/>
      <c r="AI9" s="16" t="s">
        <v>39</v>
      </c>
      <c r="AJ9" s="16">
        <v>43690</v>
      </c>
      <c r="AK9" s="15">
        <v>8733127.0894788597</v>
      </c>
      <c r="AL9" s="14">
        <v>2000000</v>
      </c>
      <c r="AN9" s="14">
        <v>30000000</v>
      </c>
      <c r="AO9" s="1">
        <f t="shared" si="3"/>
        <v>1</v>
      </c>
      <c r="AQ9" s="40">
        <v>2</v>
      </c>
      <c r="AR9" s="39">
        <f>($AR$6*AQ9^2+$AS$6*AQ9+$AT$6)*1000000</f>
        <v>8758799.9999999981</v>
      </c>
      <c r="AS9" s="40"/>
      <c r="AT9" s="39"/>
      <c r="AX9" s="16" t="s">
        <v>38</v>
      </c>
      <c r="AY9" s="16">
        <v>44334</v>
      </c>
      <c r="AZ9" s="15">
        <v>11883051.745329402</v>
      </c>
      <c r="BA9" s="14">
        <v>5000000</v>
      </c>
      <c r="BC9" s="14">
        <v>25000000</v>
      </c>
      <c r="BD9" s="1">
        <f t="shared" si="4"/>
        <v>1</v>
      </c>
      <c r="BF9" s="40">
        <v>2</v>
      </c>
      <c r="BG9" s="39">
        <f>($BG$6*BF9^2+$BH$6*BF9+$BI$6)*1000000</f>
        <v>10062800</v>
      </c>
      <c r="BH9" s="40">
        <v>2</v>
      </c>
      <c r="BI9" s="39">
        <f>($BG$6*BH9^2+$BH$6*BH9+$BI$6)*1000000</f>
        <v>10062800</v>
      </c>
      <c r="BM9" s="16" t="s">
        <v>35</v>
      </c>
      <c r="BN9" s="16">
        <v>44425</v>
      </c>
      <c r="BO9" s="15">
        <v>21044769.665683389</v>
      </c>
      <c r="BP9" s="14">
        <v>10000000</v>
      </c>
      <c r="BR9" s="14">
        <v>50000000</v>
      </c>
      <c r="BS9" s="1">
        <f t="shared" si="5"/>
        <v>4</v>
      </c>
      <c r="BU9" s="40">
        <v>60</v>
      </c>
      <c r="BV9" s="39">
        <f>($BV$6*BU9^2+$BW$6*BU9+$BX$6)*1000000</f>
        <v>57590500.000000007</v>
      </c>
      <c r="BW9" s="40">
        <v>210</v>
      </c>
      <c r="BX9" s="39">
        <f t="shared" ref="BX9:BX23" si="30">($BV$6*BW9^2+$BW$6*BW9+$BX$6)*1000000</f>
        <v>182720500.00000003</v>
      </c>
      <c r="CB9" s="16" t="s">
        <v>37</v>
      </c>
      <c r="CC9" s="16">
        <v>45062</v>
      </c>
      <c r="CD9" s="15">
        <v>29237498.960498959</v>
      </c>
      <c r="CE9" s="14">
        <v>30000000</v>
      </c>
      <c r="CH9" s="1">
        <f>SUM(CH3:CH8)</f>
        <v>104</v>
      </c>
      <c r="CJ9" s="40">
        <v>3</v>
      </c>
      <c r="CK9" s="39">
        <f>($CK$6*CJ9^2+$CL$6*CJ9+$CM$6)*1000000</f>
        <v>9063600.0000000019</v>
      </c>
      <c r="CL9" s="40"/>
      <c r="CM9" s="39"/>
      <c r="CQ9" s="16" t="s">
        <v>115</v>
      </c>
      <c r="CR9" s="16">
        <v>45153</v>
      </c>
      <c r="CS9" s="15">
        <v>29189057.750057742</v>
      </c>
      <c r="CT9" s="14">
        <v>30000000</v>
      </c>
      <c r="CW9" s="1">
        <f>SUM(CW3:CW8)</f>
        <v>104</v>
      </c>
      <c r="CY9" s="40">
        <v>3</v>
      </c>
      <c r="CZ9" s="39">
        <f>($CZ$6*CY9^2+$DA$6*CY9+$DB$6)*1000000</f>
        <v>8650100</v>
      </c>
      <c r="DA9" s="40"/>
      <c r="DB9" s="39"/>
      <c r="DF9" s="16" t="s">
        <v>127</v>
      </c>
      <c r="DG9" s="16">
        <v>44649</v>
      </c>
      <c r="DH9" s="15">
        <v>8750404.9901671596</v>
      </c>
      <c r="DI9" s="14">
        <v>2000000</v>
      </c>
      <c r="DL9" s="1">
        <f>SUM(DL3:DL8)</f>
        <v>50</v>
      </c>
      <c r="DN9" s="68"/>
      <c r="DO9" s="40">
        <v>2</v>
      </c>
      <c r="DP9" s="39">
        <f>($DP$6*DO9^2+$DQ$6*DO9+$DR$6)*1000000</f>
        <v>8466500</v>
      </c>
      <c r="DQ9" s="40"/>
      <c r="DR9" s="39"/>
      <c r="DV9" s="16" t="s">
        <v>126</v>
      </c>
      <c r="DW9" s="16">
        <v>44999</v>
      </c>
      <c r="DX9" s="15">
        <v>9041554.6315546297</v>
      </c>
      <c r="DY9" s="14">
        <v>3000000</v>
      </c>
      <c r="EB9" s="1">
        <f>SUM(EB3:EB8)</f>
        <v>50</v>
      </c>
      <c r="ED9" s="68"/>
      <c r="EE9" s="40">
        <v>3</v>
      </c>
      <c r="EF9" s="39">
        <f>($EF$6*EE9^2+$EG$6*EE9+$EH$6)*1000000</f>
        <v>7166000</v>
      </c>
      <c r="EG9" s="40"/>
      <c r="EH9" s="39"/>
      <c r="EL9" s="16" t="s">
        <v>127</v>
      </c>
      <c r="EM9" s="16">
        <v>44607</v>
      </c>
      <c r="EN9" s="15">
        <v>14443305</v>
      </c>
      <c r="EO9" s="14">
        <v>10000000</v>
      </c>
      <c r="ER9" s="1">
        <f>SUM(ER3:ER8)</f>
        <v>50</v>
      </c>
      <c r="EU9" s="16" t="s">
        <v>126</v>
      </c>
      <c r="EV9" s="16">
        <v>44740</v>
      </c>
      <c r="EW9" s="15">
        <v>14489396</v>
      </c>
      <c r="EX9" s="14">
        <v>20000000</v>
      </c>
      <c r="FA9" s="1">
        <f>SUM(FA3:FA8)</f>
        <v>50</v>
      </c>
      <c r="FF9" s="16" t="s">
        <v>83</v>
      </c>
      <c r="FG9" s="16">
        <v>42962</v>
      </c>
      <c r="FH9" s="15">
        <v>12051588</v>
      </c>
      <c r="FI9" s="14">
        <v>5000000</v>
      </c>
      <c r="FK9" s="14">
        <v>40000000</v>
      </c>
      <c r="FL9" s="1">
        <f t="shared" si="16"/>
        <v>2</v>
      </c>
      <c r="FN9" s="16" t="s">
        <v>82</v>
      </c>
      <c r="FO9" s="16">
        <v>43144</v>
      </c>
      <c r="FP9" s="15">
        <v>9618024</v>
      </c>
      <c r="FQ9" s="14">
        <v>5000000</v>
      </c>
      <c r="FS9" s="1" t="s">
        <v>107</v>
      </c>
      <c r="FT9" s="1">
        <f>SUM(FT3:FT8)</f>
        <v>26</v>
      </c>
      <c r="FV9" s="16" t="s">
        <v>81</v>
      </c>
      <c r="FW9" s="16">
        <v>43326</v>
      </c>
      <c r="FX9" s="15">
        <v>8497551</v>
      </c>
      <c r="FY9" s="14">
        <v>2000000</v>
      </c>
      <c r="GA9" s="14">
        <v>50000000</v>
      </c>
      <c r="GB9" s="1">
        <f t="shared" si="18"/>
        <v>1</v>
      </c>
      <c r="GD9" s="16" t="s">
        <v>79</v>
      </c>
      <c r="GE9" s="16">
        <v>43508</v>
      </c>
      <c r="GF9" s="15">
        <v>10245903</v>
      </c>
      <c r="GG9" s="14">
        <v>5000000</v>
      </c>
      <c r="GI9" s="14">
        <v>40000000</v>
      </c>
      <c r="GJ9" s="1">
        <f t="shared" si="19"/>
        <v>2</v>
      </c>
      <c r="GL9" s="16" t="s">
        <v>78</v>
      </c>
      <c r="GM9" s="16">
        <v>43690</v>
      </c>
      <c r="GN9" s="15">
        <v>9684405</v>
      </c>
      <c r="GO9" s="14">
        <v>2000000</v>
      </c>
      <c r="GQ9" s="14">
        <v>40000000</v>
      </c>
      <c r="GR9" s="1">
        <f t="shared" si="20"/>
        <v>2</v>
      </c>
      <c r="GT9" s="16" t="s">
        <v>77</v>
      </c>
      <c r="GU9" s="16">
        <v>43879</v>
      </c>
      <c r="GV9" s="15">
        <v>10483935</v>
      </c>
      <c r="GW9" s="14">
        <v>5000000</v>
      </c>
      <c r="GZ9" s="1">
        <f>SUM(GZ3:GZ8)</f>
        <v>26</v>
      </c>
      <c r="HB9" s="16" t="s">
        <v>70</v>
      </c>
      <c r="HC9" s="16">
        <v>44061</v>
      </c>
      <c r="HD9" s="15">
        <v>22640010</v>
      </c>
      <c r="HE9" s="14">
        <v>12000000</v>
      </c>
      <c r="HG9" s="14">
        <v>50000000</v>
      </c>
      <c r="HH9" s="1">
        <f t="shared" si="22"/>
        <v>1</v>
      </c>
      <c r="HJ9" s="16" t="s">
        <v>86</v>
      </c>
      <c r="HK9" s="16">
        <v>44243</v>
      </c>
      <c r="HL9" s="15">
        <v>10680990</v>
      </c>
      <c r="HM9" s="14">
        <v>5000000</v>
      </c>
      <c r="HO9" s="14">
        <v>30000000</v>
      </c>
      <c r="HP9" s="1">
        <f t="shared" si="23"/>
        <v>2</v>
      </c>
      <c r="HR9" s="16" t="s">
        <v>69</v>
      </c>
      <c r="HS9" s="16">
        <v>44425</v>
      </c>
      <c r="HT9" s="15">
        <v>19284768</v>
      </c>
      <c r="HU9" s="14">
        <v>10000000</v>
      </c>
      <c r="HX9" s="1">
        <f>SUM(HX3:HX8)</f>
        <v>26</v>
      </c>
      <c r="HZ9" s="16" t="s">
        <v>76</v>
      </c>
      <c r="IA9" s="16">
        <v>44607</v>
      </c>
      <c r="IB9" s="15">
        <v>14443305</v>
      </c>
      <c r="IC9" s="14">
        <v>10000000</v>
      </c>
      <c r="IE9" s="14">
        <v>50000000</v>
      </c>
      <c r="IF9" s="1">
        <f t="shared" si="25"/>
        <v>1</v>
      </c>
      <c r="IH9" s="16" t="s">
        <v>127</v>
      </c>
      <c r="II9" s="16">
        <v>44369</v>
      </c>
      <c r="IJ9" s="15">
        <v>11375163</v>
      </c>
      <c r="IK9" s="14">
        <v>5000000</v>
      </c>
      <c r="IN9" s="1">
        <f>SUM(IN3:IN8)</f>
        <v>53</v>
      </c>
      <c r="IP9" s="16" t="s">
        <v>126</v>
      </c>
      <c r="IQ9" s="16">
        <v>44740</v>
      </c>
      <c r="IR9" s="15">
        <v>14489396</v>
      </c>
      <c r="IS9" s="14">
        <v>20000000</v>
      </c>
      <c r="IV9" s="1">
        <f>SUM(IV3:IV8)</f>
        <v>28</v>
      </c>
    </row>
    <row r="10" spans="2:256" x14ac:dyDescent="0.25">
      <c r="B10" s="16" t="s">
        <v>135</v>
      </c>
      <c r="C10" s="16">
        <v>45321</v>
      </c>
      <c r="D10" s="15">
        <v>9389303.5343035329</v>
      </c>
      <c r="E10" s="14">
        <v>5000000</v>
      </c>
      <c r="G10" s="14">
        <v>50000000</v>
      </c>
      <c r="H10" s="1">
        <f t="shared" si="0"/>
        <v>1</v>
      </c>
      <c r="I10" s="39">
        <f t="shared" si="1"/>
        <v>40500575.652575649</v>
      </c>
      <c r="J10" s="39"/>
      <c r="K10" s="39"/>
      <c r="M10" s="40">
        <v>5</v>
      </c>
      <c r="N10" s="39">
        <f t="shared" si="28"/>
        <v>10154600</v>
      </c>
      <c r="O10" s="40">
        <v>5</v>
      </c>
      <c r="P10" s="39">
        <f t="shared" si="29"/>
        <v>10154600</v>
      </c>
      <c r="T10" s="16" t="s">
        <v>33</v>
      </c>
      <c r="U10" s="16">
        <v>43333</v>
      </c>
      <c r="V10" s="15">
        <v>12572713.987217307</v>
      </c>
      <c r="W10" s="14">
        <v>5000000</v>
      </c>
      <c r="Y10" s="14">
        <v>50000000</v>
      </c>
      <c r="Z10" s="1">
        <f t="shared" si="2"/>
        <v>3</v>
      </c>
      <c r="AB10" s="40">
        <v>5</v>
      </c>
      <c r="AC10" s="39">
        <f t="shared" ref="AC10:AC17" si="31">($AC$6*AB10^2+$AD$6*AB10+$AE$6)*1000000</f>
        <v>9603800</v>
      </c>
      <c r="AD10" s="40"/>
      <c r="AE10" s="39"/>
      <c r="AI10" s="16" t="s">
        <v>39</v>
      </c>
      <c r="AJ10" s="16">
        <v>43697</v>
      </c>
      <c r="AK10" s="15">
        <v>10238481.071779745</v>
      </c>
      <c r="AL10" s="14">
        <v>5000000</v>
      </c>
      <c r="AN10" s="14">
        <v>40000000</v>
      </c>
      <c r="AO10" s="1">
        <f t="shared" si="3"/>
        <v>2</v>
      </c>
      <c r="AQ10" s="40">
        <v>5</v>
      </c>
      <c r="AR10" s="39">
        <f t="shared" ref="AR10:AR18" si="32">($AR$6*AQ10^2+$AS$6*AQ10+$AT$6)*1000000</f>
        <v>11028600</v>
      </c>
      <c r="AS10" s="40"/>
      <c r="AT10" s="39"/>
      <c r="AX10" s="16" t="s">
        <v>38</v>
      </c>
      <c r="AY10" s="16">
        <v>44327</v>
      </c>
      <c r="AZ10" s="15">
        <v>8842579.1543756165</v>
      </c>
      <c r="BA10" s="14">
        <v>2000000</v>
      </c>
      <c r="BC10" s="14">
        <v>30000000</v>
      </c>
      <c r="BD10" s="1">
        <f t="shared" si="4"/>
        <v>3</v>
      </c>
      <c r="BF10" s="40">
        <v>5</v>
      </c>
      <c r="BG10" s="39">
        <f t="shared" ref="BG10:BI18" si="33">($BG$6*BF10^2+$BH$6*BF10+$BI$6)*1000000</f>
        <v>12354500</v>
      </c>
      <c r="BH10" s="40">
        <v>5</v>
      </c>
      <c r="BI10" s="39">
        <f t="shared" si="33"/>
        <v>12354500</v>
      </c>
      <c r="BM10" s="16" t="s">
        <v>35</v>
      </c>
      <c r="BN10" s="16">
        <v>44432</v>
      </c>
      <c r="BO10" s="15">
        <v>9724531.5880039353</v>
      </c>
      <c r="BP10" s="14">
        <v>2000000</v>
      </c>
      <c r="BS10" s="1">
        <f>SUM(BS3:BS9)</f>
        <v>104</v>
      </c>
      <c r="BU10" s="40">
        <v>70</v>
      </c>
      <c r="BV10" s="39">
        <f t="shared" ref="BV10:BV23" si="34">($BV$6*BU10^2+$BW$6*BU10+$BX$6)*1000000</f>
        <v>65932500.000000007</v>
      </c>
      <c r="BW10" s="40">
        <v>220</v>
      </c>
      <c r="BX10" s="39">
        <f t="shared" si="30"/>
        <v>191062500</v>
      </c>
      <c r="CB10" s="16" t="s">
        <v>37</v>
      </c>
      <c r="CC10" s="16">
        <v>45055</v>
      </c>
      <c r="CD10" s="15">
        <v>21594296.604296606</v>
      </c>
      <c r="CE10" s="14">
        <v>20000000</v>
      </c>
      <c r="CJ10" s="40">
        <v>5</v>
      </c>
      <c r="CK10" s="39">
        <f t="shared" ref="CK10:CK18" si="35">($CK$6*CJ10^2+$CL$6*CJ10+$CM$6)*1000000</f>
        <v>10401000</v>
      </c>
      <c r="CL10" s="40"/>
      <c r="CM10" s="39"/>
      <c r="CQ10" s="16" t="s">
        <v>115</v>
      </c>
      <c r="CR10" s="16">
        <v>45160</v>
      </c>
      <c r="CS10" s="15">
        <v>8680352.275352275</v>
      </c>
      <c r="CT10" s="14">
        <v>3000000</v>
      </c>
      <c r="CY10" s="40">
        <v>5</v>
      </c>
      <c r="CZ10" s="39">
        <f t="shared" ref="CZ10:CZ22" si="36">($CZ$6*CY10^2+$DA$6*CY10+$DB$6)*1000000</f>
        <v>10012700</v>
      </c>
      <c r="DA10" s="40"/>
      <c r="DB10" s="39"/>
      <c r="DF10" s="16" t="s">
        <v>127</v>
      </c>
      <c r="DG10" s="16">
        <v>44642</v>
      </c>
      <c r="DH10" s="15">
        <v>11822875.491642086</v>
      </c>
      <c r="DI10" s="14">
        <v>5000000</v>
      </c>
      <c r="DO10" s="40">
        <v>5</v>
      </c>
      <c r="DP10" s="39">
        <f t="shared" ref="DP10:DP18" si="37">($DP$6*DO10^2+$DQ$6*DO10+$DR$6)*1000000</f>
        <v>11075000</v>
      </c>
      <c r="DQ10" s="40"/>
      <c r="DR10" s="39"/>
      <c r="DV10" s="16" t="s">
        <v>126</v>
      </c>
      <c r="DW10" s="16">
        <v>44992</v>
      </c>
      <c r="DX10" s="15">
        <v>21058703.164703164</v>
      </c>
      <c r="DY10" s="14">
        <v>20000000</v>
      </c>
      <c r="EE10" s="40">
        <v>5</v>
      </c>
      <c r="EF10" s="39">
        <f t="shared" ref="EF10:EF18" si="38">($EF$6*EE10^2+$EG$6*EE10+$EH$6)*1000000</f>
        <v>8699200</v>
      </c>
      <c r="EG10" s="40"/>
      <c r="EH10" s="39"/>
      <c r="EL10" s="16" t="s">
        <v>127</v>
      </c>
      <c r="EM10" s="16">
        <v>44614</v>
      </c>
      <c r="EN10" s="15">
        <v>8213148</v>
      </c>
      <c r="EO10" s="14">
        <v>2000000</v>
      </c>
      <c r="EU10" s="16" t="s">
        <v>126</v>
      </c>
      <c r="EV10" s="16">
        <v>44747</v>
      </c>
      <c r="EW10" s="15">
        <v>28517931</v>
      </c>
      <c r="EX10" s="14">
        <v>30000000</v>
      </c>
      <c r="FF10" s="16" t="s">
        <v>83</v>
      </c>
      <c r="FG10" s="16">
        <v>42969</v>
      </c>
      <c r="FH10" s="15">
        <v>14837763</v>
      </c>
      <c r="FI10" s="14">
        <v>10000000</v>
      </c>
      <c r="FK10" s="14">
        <v>50000000</v>
      </c>
      <c r="FL10" s="1">
        <f t="shared" si="16"/>
        <v>1</v>
      </c>
      <c r="FN10" s="16" t="s">
        <v>82</v>
      </c>
      <c r="FO10" s="16">
        <v>43151</v>
      </c>
      <c r="FP10" s="15">
        <v>18673071</v>
      </c>
      <c r="FQ10" s="14">
        <v>10000000</v>
      </c>
      <c r="FV10" s="16" t="s">
        <v>81</v>
      </c>
      <c r="FW10" s="16">
        <v>43333</v>
      </c>
      <c r="FX10" s="15">
        <v>12172170</v>
      </c>
      <c r="FY10" s="14">
        <v>5000000</v>
      </c>
      <c r="GA10" s="14">
        <v>70000000</v>
      </c>
      <c r="GB10" s="1">
        <f t="shared" si="18"/>
        <v>1</v>
      </c>
      <c r="GD10" s="16" t="s">
        <v>79</v>
      </c>
      <c r="GE10" s="16">
        <v>43515</v>
      </c>
      <c r="GF10" s="15">
        <v>11584050</v>
      </c>
      <c r="GG10" s="14">
        <v>10000000</v>
      </c>
      <c r="GI10" s="14">
        <v>50000000</v>
      </c>
      <c r="GJ10" s="1">
        <f t="shared" si="19"/>
        <v>2</v>
      </c>
      <c r="GL10" s="16" t="s">
        <v>78</v>
      </c>
      <c r="GM10" s="16">
        <v>43697</v>
      </c>
      <c r="GN10" s="15">
        <v>10031100</v>
      </c>
      <c r="GO10" s="14">
        <v>5000000</v>
      </c>
      <c r="GQ10" s="14">
        <v>50000000</v>
      </c>
      <c r="GR10" s="1">
        <f t="shared" si="20"/>
        <v>1</v>
      </c>
      <c r="GT10" s="16" t="s">
        <v>77</v>
      </c>
      <c r="GU10" s="16">
        <v>43886</v>
      </c>
      <c r="GV10" s="15">
        <v>6966786</v>
      </c>
      <c r="GW10" s="14">
        <v>2000000</v>
      </c>
      <c r="HB10" s="16" t="s">
        <v>70</v>
      </c>
      <c r="HC10" s="16">
        <v>44068</v>
      </c>
      <c r="HD10" s="15">
        <v>10471059</v>
      </c>
      <c r="HE10" s="14">
        <v>2000000</v>
      </c>
      <c r="HH10" s="1">
        <f>SUM(HH3:HH9)</f>
        <v>26</v>
      </c>
      <c r="HJ10" s="16" t="s">
        <v>86</v>
      </c>
      <c r="HK10" s="16">
        <v>44250</v>
      </c>
      <c r="HL10" s="15">
        <v>19239441</v>
      </c>
      <c r="HM10" s="14">
        <v>10000000</v>
      </c>
      <c r="HO10" s="14">
        <v>35000000</v>
      </c>
      <c r="HP10" s="1">
        <f t="shared" si="23"/>
        <v>1</v>
      </c>
      <c r="HR10" s="16" t="s">
        <v>69</v>
      </c>
      <c r="HS10" s="16">
        <v>44432</v>
      </c>
      <c r="HT10" s="15">
        <v>9635598</v>
      </c>
      <c r="HU10" s="14">
        <v>2000000</v>
      </c>
      <c r="HZ10" s="16" t="s">
        <v>76</v>
      </c>
      <c r="IA10" s="16">
        <v>44614</v>
      </c>
      <c r="IB10" s="15">
        <v>8213148</v>
      </c>
      <c r="IC10" s="14">
        <v>2000000</v>
      </c>
      <c r="IF10" s="1">
        <f>SUM(IF3:IF9)</f>
        <v>26</v>
      </c>
      <c r="IH10" s="16" t="s">
        <v>127</v>
      </c>
      <c r="II10" s="16">
        <v>44376</v>
      </c>
      <c r="IJ10" s="15">
        <v>14906058</v>
      </c>
      <c r="IK10" s="14">
        <v>10000000</v>
      </c>
      <c r="IP10" s="16" t="s">
        <v>126</v>
      </c>
      <c r="IQ10" s="16">
        <v>44747</v>
      </c>
      <c r="IR10" s="15">
        <v>28517931</v>
      </c>
      <c r="IS10" s="14">
        <v>30000000</v>
      </c>
    </row>
    <row r="11" spans="2:256" x14ac:dyDescent="0.25">
      <c r="B11" s="16" t="s">
        <v>135</v>
      </c>
      <c r="C11" s="16">
        <v>45314</v>
      </c>
      <c r="D11" s="15">
        <v>8527726.1492261495</v>
      </c>
      <c r="E11" s="14">
        <v>3000000</v>
      </c>
      <c r="G11" s="14" t="s">
        <v>107</v>
      </c>
      <c r="H11" s="1">
        <f>SUM(H3:H10)</f>
        <v>52</v>
      </c>
      <c r="M11" s="40">
        <v>10</v>
      </c>
      <c r="N11" s="39">
        <f t="shared" si="28"/>
        <v>13603100.000000002</v>
      </c>
      <c r="O11" s="40">
        <v>10</v>
      </c>
      <c r="P11" s="39">
        <f t="shared" si="29"/>
        <v>13603100.000000002</v>
      </c>
      <c r="T11" s="16" t="s">
        <v>33</v>
      </c>
      <c r="U11" s="16">
        <v>43340</v>
      </c>
      <c r="V11" s="15">
        <v>16189873.156342188</v>
      </c>
      <c r="W11" s="14">
        <v>10000000</v>
      </c>
      <c r="Y11" s="14">
        <v>70000000</v>
      </c>
      <c r="Z11" s="1">
        <f t="shared" si="2"/>
        <v>3</v>
      </c>
      <c r="AB11" s="40">
        <v>10</v>
      </c>
      <c r="AC11" s="39">
        <f t="shared" si="31"/>
        <v>13521799.999999998</v>
      </c>
      <c r="AD11" s="40"/>
      <c r="AE11" s="39"/>
      <c r="AI11" s="16" t="s">
        <v>39</v>
      </c>
      <c r="AJ11" s="16">
        <v>43704</v>
      </c>
      <c r="AK11" s="15">
        <v>13351775.319567358</v>
      </c>
      <c r="AL11" s="14">
        <v>10000000</v>
      </c>
      <c r="AN11" s="14">
        <v>50000000</v>
      </c>
      <c r="AO11" s="1">
        <f t="shared" si="3"/>
        <v>1</v>
      </c>
      <c r="AQ11" s="40">
        <v>10</v>
      </c>
      <c r="AR11" s="39">
        <f t="shared" si="32"/>
        <v>14811600</v>
      </c>
      <c r="AS11" s="40"/>
      <c r="AT11" s="39"/>
      <c r="AX11" s="16" t="s">
        <v>38</v>
      </c>
      <c r="AY11" s="16">
        <v>44320</v>
      </c>
      <c r="AZ11" s="15">
        <v>18651486.111111116</v>
      </c>
      <c r="BA11" s="14">
        <v>15000000</v>
      </c>
      <c r="BC11" s="14">
        <v>35000000</v>
      </c>
      <c r="BD11" s="1">
        <f t="shared" si="4"/>
        <v>1</v>
      </c>
      <c r="BF11" s="40">
        <v>10</v>
      </c>
      <c r="BG11" s="39">
        <f t="shared" si="33"/>
        <v>16174000</v>
      </c>
      <c r="BH11" s="40">
        <v>15</v>
      </c>
      <c r="BI11" s="39">
        <f t="shared" si="33"/>
        <v>19993500</v>
      </c>
      <c r="BM11" s="16" t="s">
        <v>35</v>
      </c>
      <c r="BN11" s="16">
        <v>44439</v>
      </c>
      <c r="BO11" s="15">
        <v>11312176.007866276</v>
      </c>
      <c r="BP11" s="14">
        <v>5000000</v>
      </c>
      <c r="BU11" s="40">
        <v>80</v>
      </c>
      <c r="BV11" s="39">
        <f t="shared" si="34"/>
        <v>74274500</v>
      </c>
      <c r="BW11" s="40">
        <v>230</v>
      </c>
      <c r="BX11" s="39">
        <f t="shared" si="30"/>
        <v>199404500</v>
      </c>
      <c r="CB11" s="16" t="s">
        <v>37</v>
      </c>
      <c r="CC11" s="16">
        <v>45048</v>
      </c>
      <c r="CD11" s="15">
        <v>14635402.517902518</v>
      </c>
      <c r="CE11" s="14">
        <v>10000000</v>
      </c>
      <c r="CG11" s="55" t="s">
        <v>37</v>
      </c>
      <c r="CH11" s="54"/>
      <c r="CJ11" s="40">
        <v>10</v>
      </c>
      <c r="CK11" s="39">
        <f t="shared" si="35"/>
        <v>13744499.999999998</v>
      </c>
      <c r="CL11" s="40"/>
      <c r="CM11" s="39"/>
      <c r="CQ11" s="16" t="s">
        <v>115</v>
      </c>
      <c r="CR11" s="16">
        <v>45167</v>
      </c>
      <c r="CS11" s="15">
        <v>9293070.4550704546</v>
      </c>
      <c r="CT11" s="14">
        <v>5000000</v>
      </c>
      <c r="CV11" s="55" t="s">
        <v>37</v>
      </c>
      <c r="CW11" s="54"/>
      <c r="CY11" s="40">
        <v>8</v>
      </c>
      <c r="CZ11" s="39">
        <f t="shared" si="36"/>
        <v>12056600</v>
      </c>
      <c r="DA11" s="40"/>
      <c r="DB11" s="39"/>
      <c r="DF11" s="16" t="s">
        <v>127</v>
      </c>
      <c r="DG11" s="16">
        <v>44635</v>
      </c>
      <c r="DH11" s="15">
        <v>8610531.5880039353</v>
      </c>
      <c r="DI11" s="14">
        <v>2000000</v>
      </c>
      <c r="DK11" s="55" t="s">
        <v>146</v>
      </c>
      <c r="DL11" s="54"/>
      <c r="DM11" s="54"/>
      <c r="DO11" s="40">
        <v>10</v>
      </c>
      <c r="DP11" s="39">
        <f t="shared" si="37"/>
        <v>15422500</v>
      </c>
      <c r="DQ11" s="40"/>
      <c r="DR11" s="39"/>
      <c r="DV11" s="16" t="s">
        <v>126</v>
      </c>
      <c r="DW11" s="16">
        <v>44985</v>
      </c>
      <c r="DX11" s="15">
        <v>13098005.775005775</v>
      </c>
      <c r="DY11" s="14">
        <v>10000000</v>
      </c>
      <c r="EA11" s="55" t="s">
        <v>147</v>
      </c>
      <c r="EB11" s="54"/>
      <c r="EC11" s="54"/>
      <c r="EE11" s="40">
        <v>10</v>
      </c>
      <c r="EF11" s="39">
        <f t="shared" si="38"/>
        <v>12532200</v>
      </c>
      <c r="EG11" s="40"/>
      <c r="EH11" s="39"/>
      <c r="EL11" s="16" t="s">
        <v>127</v>
      </c>
      <c r="EM11" s="16">
        <v>44621</v>
      </c>
      <c r="EN11" s="15">
        <v>12585855</v>
      </c>
      <c r="EO11" s="14">
        <v>5000000</v>
      </c>
      <c r="EQ11" s="55" t="s">
        <v>146</v>
      </c>
      <c r="ER11" s="54"/>
      <c r="ES11" s="54"/>
      <c r="EU11" s="16" t="s">
        <v>126</v>
      </c>
      <c r="EV11" s="16">
        <v>44754</v>
      </c>
      <c r="EW11" s="15">
        <v>8282860</v>
      </c>
      <c r="EX11" s="14">
        <v>3000000</v>
      </c>
      <c r="EZ11" s="55" t="s">
        <v>147</v>
      </c>
      <c r="FA11" s="54"/>
      <c r="FB11" s="54"/>
      <c r="FF11" s="16" t="s">
        <v>83</v>
      </c>
      <c r="FG11" s="16">
        <v>42976</v>
      </c>
      <c r="FH11" s="15">
        <v>17969328</v>
      </c>
      <c r="FI11" s="14">
        <v>15000000</v>
      </c>
      <c r="FK11" s="1" t="s">
        <v>107</v>
      </c>
      <c r="FL11" s="1">
        <f>SUM(FL3:FL10)</f>
        <v>26</v>
      </c>
      <c r="FN11" s="16" t="s">
        <v>82</v>
      </c>
      <c r="FO11" s="16">
        <v>43158</v>
      </c>
      <c r="FP11" s="15">
        <v>18243726</v>
      </c>
      <c r="FQ11" s="14">
        <v>15000000</v>
      </c>
      <c r="FS11" s="55" t="s">
        <v>82</v>
      </c>
      <c r="FT11" s="54"/>
      <c r="FV11" s="16" t="s">
        <v>81</v>
      </c>
      <c r="FW11" s="16">
        <v>43340</v>
      </c>
      <c r="FX11" s="15">
        <v>17788455</v>
      </c>
      <c r="FY11" s="14">
        <v>10000000</v>
      </c>
      <c r="GB11" s="1">
        <f>SUM(GB3:GB10)</f>
        <v>26</v>
      </c>
      <c r="GD11" s="16" t="s">
        <v>79</v>
      </c>
      <c r="GE11" s="16">
        <v>43522</v>
      </c>
      <c r="GF11" s="15">
        <v>14713005</v>
      </c>
      <c r="GG11" s="14">
        <v>15000000</v>
      </c>
      <c r="GI11" s="14">
        <v>70000000</v>
      </c>
      <c r="GJ11" s="1">
        <f t="shared" si="19"/>
        <v>2</v>
      </c>
      <c r="GL11" s="16" t="s">
        <v>78</v>
      </c>
      <c r="GM11" s="16">
        <v>43704</v>
      </c>
      <c r="GN11" s="15">
        <v>13850139</v>
      </c>
      <c r="GO11" s="14">
        <v>10000000</v>
      </c>
      <c r="GR11" s="1">
        <f>SUM(GR3:GR10)</f>
        <v>27</v>
      </c>
      <c r="GT11" s="16" t="s">
        <v>77</v>
      </c>
      <c r="GU11" s="16">
        <v>43893</v>
      </c>
      <c r="GV11" s="15">
        <v>10707612</v>
      </c>
      <c r="GW11" s="14">
        <v>5000000</v>
      </c>
      <c r="GY11" s="55" t="s">
        <v>148</v>
      </c>
      <c r="GZ11" s="54"/>
      <c r="HB11" s="16" t="s">
        <v>70</v>
      </c>
      <c r="HC11" s="16">
        <v>44075</v>
      </c>
      <c r="HD11" s="15">
        <v>11234397</v>
      </c>
      <c r="HE11" s="14">
        <v>5000000</v>
      </c>
      <c r="HJ11" s="16" t="s">
        <v>86</v>
      </c>
      <c r="HK11" s="16">
        <v>44257</v>
      </c>
      <c r="HL11" s="15">
        <v>24000951</v>
      </c>
      <c r="HM11" s="14">
        <v>20000000</v>
      </c>
      <c r="HP11" s="1">
        <f>SUM(HP3:HP10)</f>
        <v>26</v>
      </c>
      <c r="HR11" s="16" t="s">
        <v>69</v>
      </c>
      <c r="HS11" s="16">
        <v>44439</v>
      </c>
      <c r="HT11" s="15">
        <v>10673769</v>
      </c>
      <c r="HU11" s="14">
        <v>5000000</v>
      </c>
      <c r="HW11" s="55" t="s">
        <v>69</v>
      </c>
      <c r="HX11" s="54"/>
      <c r="HZ11" s="16" t="s">
        <v>76</v>
      </c>
      <c r="IA11" s="16">
        <v>44621</v>
      </c>
      <c r="IB11" s="15">
        <v>12585855</v>
      </c>
      <c r="IC11" s="14">
        <v>5000000</v>
      </c>
      <c r="IH11" s="16" t="s">
        <v>127</v>
      </c>
      <c r="II11" s="16">
        <v>44383</v>
      </c>
      <c r="IJ11" s="15">
        <v>25900683</v>
      </c>
      <c r="IK11" s="14">
        <v>20000000</v>
      </c>
      <c r="IM11" s="55" t="s">
        <v>149</v>
      </c>
      <c r="IN11" s="54"/>
      <c r="IP11" s="16" t="s">
        <v>126</v>
      </c>
      <c r="IQ11" s="16">
        <v>44754</v>
      </c>
      <c r="IR11" s="15">
        <v>8282860</v>
      </c>
      <c r="IS11" s="14">
        <v>3000000</v>
      </c>
      <c r="IU11" s="55" t="s">
        <v>106</v>
      </c>
      <c r="IV11" s="54"/>
    </row>
    <row r="12" spans="2:256" x14ac:dyDescent="0.25">
      <c r="B12" s="16" t="s">
        <v>135</v>
      </c>
      <c r="C12" s="16">
        <v>45307</v>
      </c>
      <c r="D12" s="15">
        <v>14163772.002772003</v>
      </c>
      <c r="E12" s="14">
        <v>10000000</v>
      </c>
      <c r="M12" s="40">
        <v>15</v>
      </c>
      <c r="N12" s="39">
        <f t="shared" si="28"/>
        <v>17051600</v>
      </c>
      <c r="O12" s="40">
        <v>20</v>
      </c>
      <c r="P12" s="39">
        <f t="shared" si="29"/>
        <v>20500100</v>
      </c>
      <c r="T12" s="16" t="s">
        <v>33</v>
      </c>
      <c r="U12" s="16">
        <v>43347</v>
      </c>
      <c r="V12" s="15">
        <v>19022890.363815144</v>
      </c>
      <c r="W12" s="14">
        <v>15000000</v>
      </c>
      <c r="Y12" s="14">
        <v>80000000</v>
      </c>
      <c r="Z12" s="1">
        <f t="shared" si="2"/>
        <v>1</v>
      </c>
      <c r="AB12" s="40">
        <v>15</v>
      </c>
      <c r="AC12" s="39">
        <f t="shared" si="31"/>
        <v>17439800</v>
      </c>
      <c r="AD12" s="40"/>
      <c r="AE12" s="39"/>
      <c r="AI12" s="16" t="s">
        <v>39</v>
      </c>
      <c r="AJ12" s="16">
        <v>43711</v>
      </c>
      <c r="AK12" s="15">
        <v>8038448.9921337292</v>
      </c>
      <c r="AL12" s="14">
        <v>2000000</v>
      </c>
      <c r="AN12" s="14" t="s">
        <v>107</v>
      </c>
      <c r="AO12" s="1">
        <f>SUM(AO3:AO11)</f>
        <v>53</v>
      </c>
      <c r="AQ12" s="40">
        <v>15</v>
      </c>
      <c r="AR12" s="39">
        <f t="shared" si="32"/>
        <v>18594600</v>
      </c>
      <c r="AS12" s="40"/>
      <c r="AT12" s="39"/>
      <c r="AX12" s="16" t="s">
        <v>38</v>
      </c>
      <c r="AY12" s="16">
        <v>44313</v>
      </c>
      <c r="AZ12" s="15">
        <v>11537908.800393315</v>
      </c>
      <c r="BA12" s="14">
        <v>5000000</v>
      </c>
      <c r="BC12" s="14">
        <v>50000000</v>
      </c>
      <c r="BD12" s="1">
        <f t="shared" si="4"/>
        <v>1</v>
      </c>
      <c r="BF12" s="40">
        <v>20</v>
      </c>
      <c r="BG12" s="39">
        <f t="shared" si="33"/>
        <v>23813000.000000004</v>
      </c>
      <c r="BH12" s="40">
        <v>25</v>
      </c>
      <c r="BI12" s="39">
        <f t="shared" si="33"/>
        <v>27632500</v>
      </c>
      <c r="BM12" s="16" t="s">
        <v>35</v>
      </c>
      <c r="BN12" s="16">
        <v>44446</v>
      </c>
      <c r="BO12" s="15">
        <v>18400582.841691252</v>
      </c>
      <c r="BP12" s="14">
        <v>10000000</v>
      </c>
      <c r="BR12" s="55" t="s">
        <v>150</v>
      </c>
      <c r="BS12" s="54"/>
      <c r="BU12" s="40">
        <v>90</v>
      </c>
      <c r="BV12" s="39">
        <f t="shared" si="34"/>
        <v>82616500</v>
      </c>
      <c r="BW12" s="40">
        <v>240</v>
      </c>
      <c r="BX12" s="39">
        <f t="shared" si="30"/>
        <v>207746500.00000003</v>
      </c>
      <c r="CB12" s="16" t="s">
        <v>37</v>
      </c>
      <c r="CC12" s="16">
        <v>45041</v>
      </c>
      <c r="CD12" s="15">
        <v>9725124.2781242765</v>
      </c>
      <c r="CE12" s="14">
        <v>5000000</v>
      </c>
      <c r="CG12" s="52" t="s">
        <v>42</v>
      </c>
      <c r="CH12" s="52" t="s">
        <v>41</v>
      </c>
      <c r="CJ12" s="40">
        <v>20</v>
      </c>
      <c r="CK12" s="39">
        <f t="shared" si="35"/>
        <v>20431500</v>
      </c>
      <c r="CL12" s="40"/>
      <c r="CM12" s="39"/>
      <c r="CQ12" s="16" t="s">
        <v>115</v>
      </c>
      <c r="CR12" s="16">
        <v>45174</v>
      </c>
      <c r="CS12" s="15">
        <v>14653323.169323169</v>
      </c>
      <c r="CT12" s="14">
        <v>10000000</v>
      </c>
      <c r="CV12" s="52" t="s">
        <v>42</v>
      </c>
      <c r="CW12" s="52" t="s">
        <v>41</v>
      </c>
      <c r="CY12" s="40">
        <v>10</v>
      </c>
      <c r="CZ12" s="39">
        <f t="shared" si="36"/>
        <v>13419200</v>
      </c>
      <c r="DA12" s="40"/>
      <c r="DB12" s="39"/>
      <c r="DF12" s="16" t="s">
        <v>127</v>
      </c>
      <c r="DG12" s="16">
        <v>44628</v>
      </c>
      <c r="DH12" s="15">
        <v>18445974.557522126</v>
      </c>
      <c r="DI12" s="14">
        <v>10000000</v>
      </c>
      <c r="DK12" s="52" t="s">
        <v>42</v>
      </c>
      <c r="DL12" s="52" t="s">
        <v>41</v>
      </c>
      <c r="DM12" s="94"/>
      <c r="DO12" s="40">
        <v>20</v>
      </c>
      <c r="DP12" s="39">
        <f t="shared" si="37"/>
        <v>24117500</v>
      </c>
      <c r="DQ12" s="40"/>
      <c r="DR12" s="39"/>
      <c r="DV12" s="16" t="s">
        <v>126</v>
      </c>
      <c r="DW12" s="16">
        <v>44978</v>
      </c>
      <c r="DX12" s="15">
        <v>9720888.0803880803</v>
      </c>
      <c r="DY12" s="14">
        <v>5000000</v>
      </c>
      <c r="EA12" s="52" t="s">
        <v>42</v>
      </c>
      <c r="EB12" s="52" t="s">
        <v>41</v>
      </c>
      <c r="EC12" s="94"/>
      <c r="EE12" s="40">
        <v>20</v>
      </c>
      <c r="EF12" s="39">
        <f t="shared" si="38"/>
        <v>20198200</v>
      </c>
      <c r="EG12" s="40"/>
      <c r="EH12" s="39"/>
      <c r="EL12" s="16" t="s">
        <v>127</v>
      </c>
      <c r="EM12" s="16">
        <v>44628</v>
      </c>
      <c r="EN12" s="15">
        <v>18339861</v>
      </c>
      <c r="EO12" s="14">
        <v>10000000</v>
      </c>
      <c r="EQ12" s="52" t="s">
        <v>42</v>
      </c>
      <c r="ER12" s="52" t="s">
        <v>41</v>
      </c>
      <c r="ES12" s="94"/>
      <c r="EU12" s="16" t="s">
        <v>126</v>
      </c>
      <c r="EV12" s="16">
        <v>44761</v>
      </c>
      <c r="EW12" s="15">
        <v>16148240</v>
      </c>
      <c r="EX12" s="14">
        <v>5000000</v>
      </c>
      <c r="EZ12" s="52" t="s">
        <v>42</v>
      </c>
      <c r="FA12" s="52" t="s">
        <v>41</v>
      </c>
      <c r="FB12" s="94"/>
      <c r="FF12" s="16" t="s">
        <v>83</v>
      </c>
      <c r="FG12" s="16">
        <v>42983</v>
      </c>
      <c r="FH12" s="15">
        <v>30544134</v>
      </c>
      <c r="FI12" s="14">
        <v>30000000</v>
      </c>
      <c r="FN12" s="16" t="s">
        <v>82</v>
      </c>
      <c r="FO12" s="16">
        <v>43165</v>
      </c>
      <c r="FP12" s="15">
        <v>28733316</v>
      </c>
      <c r="FQ12" s="14">
        <v>30000000</v>
      </c>
      <c r="FS12" s="52" t="s">
        <v>42</v>
      </c>
      <c r="FT12" s="52" t="s">
        <v>41</v>
      </c>
      <c r="FV12" s="16" t="s">
        <v>81</v>
      </c>
      <c r="FW12" s="16">
        <v>43347</v>
      </c>
      <c r="FX12" s="15">
        <v>17961237</v>
      </c>
      <c r="FY12" s="14">
        <v>15000000</v>
      </c>
      <c r="GD12" s="16" t="s">
        <v>79</v>
      </c>
      <c r="GE12" s="16">
        <v>43529</v>
      </c>
      <c r="GF12" s="15">
        <v>23189937</v>
      </c>
      <c r="GG12" s="14">
        <v>30000000</v>
      </c>
      <c r="GI12" s="14">
        <v>80000000</v>
      </c>
      <c r="GJ12" s="1">
        <f t="shared" si="19"/>
        <v>1</v>
      </c>
      <c r="GL12" s="16" t="s">
        <v>78</v>
      </c>
      <c r="GM12" s="16">
        <v>43711</v>
      </c>
      <c r="GN12" s="15">
        <v>8439087</v>
      </c>
      <c r="GO12" s="14">
        <v>2000000</v>
      </c>
      <c r="GT12" s="16" t="s">
        <v>77</v>
      </c>
      <c r="GU12" s="16">
        <v>43900</v>
      </c>
      <c r="GV12" s="15">
        <v>12041061</v>
      </c>
      <c r="GW12" s="14">
        <v>10000000</v>
      </c>
      <c r="GY12" s="52" t="s">
        <v>42</v>
      </c>
      <c r="GZ12" s="52" t="s">
        <v>41</v>
      </c>
      <c r="HB12" s="16" t="s">
        <v>70</v>
      </c>
      <c r="HC12" s="16">
        <v>44082</v>
      </c>
      <c r="HD12" s="15">
        <v>17184414</v>
      </c>
      <c r="HE12" s="14">
        <v>10000000</v>
      </c>
      <c r="HG12" s="55" t="s">
        <v>151</v>
      </c>
      <c r="HH12" s="54"/>
      <c r="HJ12" s="16" t="s">
        <v>86</v>
      </c>
      <c r="HK12" s="16">
        <v>44264</v>
      </c>
      <c r="HL12" s="15">
        <v>30922845</v>
      </c>
      <c r="HM12" s="14">
        <v>30000000</v>
      </c>
      <c r="HR12" s="16" t="s">
        <v>69</v>
      </c>
      <c r="HS12" s="16">
        <v>44446</v>
      </c>
      <c r="HT12" s="15">
        <v>18885351</v>
      </c>
      <c r="HU12" s="14">
        <v>10000000</v>
      </c>
      <c r="HW12" s="52" t="s">
        <v>42</v>
      </c>
      <c r="HX12" s="52" t="s">
        <v>41</v>
      </c>
      <c r="HZ12" s="16" t="s">
        <v>76</v>
      </c>
      <c r="IA12" s="16">
        <v>44628</v>
      </c>
      <c r="IB12" s="15">
        <v>18339861</v>
      </c>
      <c r="IC12" s="14">
        <v>10000000</v>
      </c>
      <c r="IE12" s="55" t="s">
        <v>152</v>
      </c>
      <c r="IF12" s="54"/>
      <c r="IH12" s="16" t="s">
        <v>127</v>
      </c>
      <c r="II12" s="16">
        <v>44390</v>
      </c>
      <c r="IJ12" s="15">
        <v>8983533</v>
      </c>
      <c r="IK12" s="14">
        <v>2000000</v>
      </c>
      <c r="IM12" s="52" t="s">
        <v>42</v>
      </c>
      <c r="IN12" s="52" t="s">
        <v>41</v>
      </c>
      <c r="IP12" s="16" t="s">
        <v>126</v>
      </c>
      <c r="IQ12" s="16">
        <v>44761</v>
      </c>
      <c r="IR12" s="15">
        <v>16148240</v>
      </c>
      <c r="IS12" s="14">
        <v>5000000</v>
      </c>
      <c r="IU12" s="52" t="s">
        <v>42</v>
      </c>
      <c r="IV12" s="52" t="s">
        <v>41</v>
      </c>
    </row>
    <row r="13" spans="2:256" x14ac:dyDescent="0.25">
      <c r="B13" s="16" t="s">
        <v>135</v>
      </c>
      <c r="C13" s="16">
        <v>45300</v>
      </c>
      <c r="D13" s="15">
        <v>10258208.362208363</v>
      </c>
      <c r="E13" s="14">
        <v>5000000</v>
      </c>
      <c r="G13" s="55" t="s">
        <v>34</v>
      </c>
      <c r="H13" s="54"/>
      <c r="I13" s="54"/>
      <c r="J13" s="54"/>
      <c r="K13" s="54"/>
      <c r="M13" s="40">
        <v>20</v>
      </c>
      <c r="N13" s="39">
        <f t="shared" si="28"/>
        <v>20500100</v>
      </c>
      <c r="O13" s="40">
        <v>30</v>
      </c>
      <c r="P13" s="39">
        <f t="shared" si="29"/>
        <v>27397100</v>
      </c>
      <c r="Q13" s="67"/>
      <c r="R13" s="67"/>
      <c r="S13" s="67"/>
      <c r="T13" s="16" t="s">
        <v>33</v>
      </c>
      <c r="U13" s="16">
        <v>43354</v>
      </c>
      <c r="V13" s="15">
        <v>27769140.117994107</v>
      </c>
      <c r="W13" s="14">
        <v>30000000</v>
      </c>
      <c r="Y13" s="14" t="s">
        <v>107</v>
      </c>
      <c r="Z13" s="1">
        <f>SUM(Z3:Z12)</f>
        <v>52</v>
      </c>
      <c r="AB13" s="40">
        <v>30</v>
      </c>
      <c r="AC13" s="39">
        <f t="shared" si="31"/>
        <v>29193800</v>
      </c>
      <c r="AD13" s="40"/>
      <c r="AE13" s="39"/>
      <c r="AG13" s="67"/>
      <c r="AH13" s="67"/>
      <c r="AI13" s="16" t="s">
        <v>39</v>
      </c>
      <c r="AJ13" s="16">
        <v>43718</v>
      </c>
      <c r="AK13" s="15">
        <v>9533047.9351032469</v>
      </c>
      <c r="AL13" s="14">
        <v>5000000</v>
      </c>
      <c r="AN13" s="14"/>
      <c r="AQ13" s="40">
        <v>25</v>
      </c>
      <c r="AR13" s="39">
        <f t="shared" si="32"/>
        <v>26160600.000000004</v>
      </c>
      <c r="AS13" s="40"/>
      <c r="AT13" s="39"/>
      <c r="AV13" s="67"/>
      <c r="AW13" s="67"/>
      <c r="AX13" s="16" t="s">
        <v>38</v>
      </c>
      <c r="AY13" s="16">
        <v>44306</v>
      </c>
      <c r="AZ13" s="15">
        <v>8626582.7187807281</v>
      </c>
      <c r="BA13" s="14">
        <v>2000000</v>
      </c>
      <c r="BC13" s="14" t="s">
        <v>107</v>
      </c>
      <c r="BD13" s="1">
        <f>SUM(BD2:BD12)</f>
        <v>52</v>
      </c>
      <c r="BF13" s="40">
        <v>30</v>
      </c>
      <c r="BG13" s="39">
        <f t="shared" si="33"/>
        <v>31452000</v>
      </c>
      <c r="BH13" s="40">
        <v>35</v>
      </c>
      <c r="BI13" s="39">
        <f t="shared" si="33"/>
        <v>35271500</v>
      </c>
      <c r="BK13" s="67"/>
      <c r="BL13" s="67"/>
      <c r="BM13" s="16" t="s">
        <v>35</v>
      </c>
      <c r="BN13" s="16">
        <v>44453</v>
      </c>
      <c r="BO13" s="15">
        <v>26493046.091445435</v>
      </c>
      <c r="BP13" s="14">
        <v>20000000</v>
      </c>
      <c r="BR13" s="52" t="s">
        <v>42</v>
      </c>
      <c r="BS13" s="52" t="s">
        <v>41</v>
      </c>
      <c r="BU13" s="40">
        <v>100</v>
      </c>
      <c r="BV13" s="39">
        <f t="shared" si="34"/>
        <v>90958500</v>
      </c>
      <c r="BW13" s="40">
        <v>250</v>
      </c>
      <c r="BX13" s="39">
        <f t="shared" si="30"/>
        <v>216088500</v>
      </c>
      <c r="BZ13" s="67"/>
      <c r="CA13" s="67"/>
      <c r="CB13" s="16" t="s">
        <v>37</v>
      </c>
      <c r="CC13" s="16">
        <v>45034</v>
      </c>
      <c r="CD13" s="15">
        <v>9270009.4710094687</v>
      </c>
      <c r="CE13" s="14">
        <v>3000000</v>
      </c>
      <c r="CG13" s="1">
        <v>1</v>
      </c>
      <c r="CH13" s="1">
        <v>3</v>
      </c>
      <c r="CJ13" s="40">
        <v>30</v>
      </c>
      <c r="CK13" s="39">
        <f t="shared" si="35"/>
        <v>27118500</v>
      </c>
      <c r="CL13" s="40"/>
      <c r="CM13" s="39"/>
      <c r="CO13" s="67"/>
      <c r="CP13" s="67"/>
      <c r="CQ13" s="16" t="s">
        <v>115</v>
      </c>
      <c r="CR13" s="16">
        <v>45181</v>
      </c>
      <c r="CS13" s="15">
        <v>8320856.8953568954</v>
      </c>
      <c r="CT13" s="14">
        <v>3000000</v>
      </c>
      <c r="CV13" s="1">
        <v>1</v>
      </c>
      <c r="CW13" s="1">
        <v>3</v>
      </c>
      <c r="CY13" s="40">
        <v>15</v>
      </c>
      <c r="CZ13" s="39">
        <f t="shared" si="36"/>
        <v>16825700</v>
      </c>
      <c r="DA13" s="40"/>
      <c r="DB13" s="39"/>
      <c r="DD13" s="67"/>
      <c r="DE13" s="67"/>
      <c r="DF13" s="16" t="s">
        <v>127</v>
      </c>
      <c r="DG13" s="16">
        <v>44621</v>
      </c>
      <c r="DH13" s="15">
        <v>12893113.692232059</v>
      </c>
      <c r="DI13" s="14">
        <v>5000000</v>
      </c>
      <c r="DK13" s="1">
        <v>1</v>
      </c>
      <c r="DL13" s="1">
        <v>2</v>
      </c>
      <c r="DO13" s="40">
        <v>30</v>
      </c>
      <c r="DP13" s="39">
        <f t="shared" si="37"/>
        <v>32812500</v>
      </c>
      <c r="DQ13" s="40"/>
      <c r="DR13" s="39"/>
      <c r="DT13" s="67"/>
      <c r="DU13" s="67"/>
      <c r="DV13" s="16" t="s">
        <v>126</v>
      </c>
      <c r="DW13" s="16">
        <v>44971</v>
      </c>
      <c r="DX13" s="15">
        <v>9272705.128205128</v>
      </c>
      <c r="DY13" s="14">
        <v>3000000</v>
      </c>
      <c r="EA13" s="1">
        <v>1</v>
      </c>
      <c r="EB13" s="1">
        <v>3</v>
      </c>
      <c r="EE13" s="40">
        <v>30</v>
      </c>
      <c r="EF13" s="39">
        <f t="shared" si="38"/>
        <v>27864199.999999996</v>
      </c>
      <c r="EG13" s="40"/>
      <c r="EH13" s="39"/>
      <c r="EJ13" s="67"/>
      <c r="EK13" s="67"/>
      <c r="EL13" s="16" t="s">
        <v>127</v>
      </c>
      <c r="EM13" s="16">
        <v>44635</v>
      </c>
      <c r="EN13" s="15">
        <v>8647974</v>
      </c>
      <c r="EO13" s="14">
        <v>2000000</v>
      </c>
      <c r="EQ13" s="1">
        <v>1</v>
      </c>
      <c r="ER13" s="1">
        <v>2</v>
      </c>
      <c r="EU13" s="16" t="s">
        <v>126</v>
      </c>
      <c r="EV13" s="16">
        <v>44768</v>
      </c>
      <c r="EW13" s="15">
        <v>16873221</v>
      </c>
      <c r="EX13" s="14">
        <v>10000000</v>
      </c>
      <c r="EZ13" s="1">
        <v>1</v>
      </c>
      <c r="FA13" s="1">
        <v>3</v>
      </c>
      <c r="FD13" s="67"/>
      <c r="FE13" s="67"/>
      <c r="FF13" s="16" t="s">
        <v>83</v>
      </c>
      <c r="FG13" s="16">
        <v>42990</v>
      </c>
      <c r="FH13" s="15">
        <v>6970440</v>
      </c>
      <c r="FI13" s="14">
        <v>2000000</v>
      </c>
      <c r="FK13" s="55" t="s">
        <v>153</v>
      </c>
      <c r="FL13" s="54"/>
      <c r="FN13" s="16" t="s">
        <v>82</v>
      </c>
      <c r="FO13" s="16">
        <v>43172</v>
      </c>
      <c r="FP13" s="15">
        <v>8144766</v>
      </c>
      <c r="FQ13" s="14">
        <v>2000000</v>
      </c>
      <c r="FS13" s="1">
        <v>1</v>
      </c>
      <c r="FT13" s="1">
        <v>2</v>
      </c>
      <c r="FV13" s="16" t="s">
        <v>81</v>
      </c>
      <c r="FW13" s="16">
        <v>43354</v>
      </c>
      <c r="FX13" s="15">
        <v>28533564</v>
      </c>
      <c r="FY13" s="14">
        <v>30000000</v>
      </c>
      <c r="GA13" s="55" t="s">
        <v>81</v>
      </c>
      <c r="GB13" s="54"/>
      <c r="GD13" s="16" t="s">
        <v>79</v>
      </c>
      <c r="GE13" s="16">
        <v>43536</v>
      </c>
      <c r="GF13" s="15">
        <v>32777076</v>
      </c>
      <c r="GG13" s="14">
        <v>40000000</v>
      </c>
      <c r="GJ13" s="1">
        <f>SUM(GJ3:GJ12)</f>
        <v>26</v>
      </c>
      <c r="GL13" s="16" t="s">
        <v>78</v>
      </c>
      <c r="GM13" s="16">
        <v>43718</v>
      </c>
      <c r="GN13" s="15">
        <v>9981075</v>
      </c>
      <c r="GO13" s="14">
        <v>5000000</v>
      </c>
      <c r="GQ13" s="55" t="s">
        <v>154</v>
      </c>
      <c r="GR13" s="54"/>
      <c r="GT13" s="16" t="s">
        <v>77</v>
      </c>
      <c r="GU13" s="16">
        <v>43907</v>
      </c>
      <c r="GV13" s="15">
        <v>15837219</v>
      </c>
      <c r="GW13" s="14">
        <v>15000000</v>
      </c>
      <c r="GY13" s="1">
        <v>1</v>
      </c>
      <c r="GZ13" s="1">
        <v>2</v>
      </c>
      <c r="HB13" s="16" t="s">
        <v>70</v>
      </c>
      <c r="HC13" s="16">
        <v>44089</v>
      </c>
      <c r="HD13" s="15">
        <v>22339425</v>
      </c>
      <c r="HE13" s="14">
        <v>20000000</v>
      </c>
      <c r="HG13" s="52" t="s">
        <v>42</v>
      </c>
      <c r="HH13" s="52" t="s">
        <v>41</v>
      </c>
      <c r="HJ13" s="16" t="s">
        <v>86</v>
      </c>
      <c r="HK13" s="16">
        <v>44271</v>
      </c>
      <c r="HL13" s="15">
        <v>9026250</v>
      </c>
      <c r="HM13" s="14">
        <v>2000000</v>
      </c>
      <c r="HO13" s="55" t="s">
        <v>155</v>
      </c>
      <c r="HP13" s="54"/>
      <c r="HR13" s="16" t="s">
        <v>69</v>
      </c>
      <c r="HS13" s="16">
        <v>44453</v>
      </c>
      <c r="HT13" s="15">
        <v>25314216</v>
      </c>
      <c r="HU13" s="14">
        <v>20000000</v>
      </c>
      <c r="HW13" s="1">
        <v>1</v>
      </c>
      <c r="HX13" s="1">
        <v>2</v>
      </c>
      <c r="HZ13" s="16" t="s">
        <v>76</v>
      </c>
      <c r="IA13" s="16">
        <v>44635</v>
      </c>
      <c r="IB13" s="15">
        <v>8647974</v>
      </c>
      <c r="IC13" s="14">
        <v>2000000</v>
      </c>
      <c r="IE13" s="52" t="s">
        <v>42</v>
      </c>
      <c r="IF13" s="52" t="s">
        <v>41</v>
      </c>
      <c r="IH13" s="16" t="s">
        <v>127</v>
      </c>
      <c r="II13" s="16">
        <v>44397</v>
      </c>
      <c r="IJ13" s="15">
        <v>11009502</v>
      </c>
      <c r="IK13" s="14">
        <v>5000000</v>
      </c>
      <c r="IM13" s="1">
        <v>1</v>
      </c>
      <c r="IN13" s="1">
        <v>2</v>
      </c>
      <c r="IP13" s="16" t="s">
        <v>126</v>
      </c>
      <c r="IQ13" s="16">
        <v>44768</v>
      </c>
      <c r="IR13" s="15">
        <v>16873221</v>
      </c>
      <c r="IS13" s="14">
        <v>10000000</v>
      </c>
      <c r="IU13" s="1">
        <v>1</v>
      </c>
      <c r="IV13" s="1">
        <v>2</v>
      </c>
    </row>
    <row r="14" spans="2:256" x14ac:dyDescent="0.25">
      <c r="B14" s="16" t="s">
        <v>135</v>
      </c>
      <c r="C14" s="16">
        <v>45293</v>
      </c>
      <c r="D14" s="15">
        <v>9209292.9082929064</v>
      </c>
      <c r="E14" s="14">
        <v>3000000</v>
      </c>
      <c r="G14" s="52" t="s">
        <v>42</v>
      </c>
      <c r="H14" s="52" t="s">
        <v>41</v>
      </c>
      <c r="I14" s="52"/>
      <c r="J14" s="52"/>
      <c r="K14" s="52"/>
      <c r="M14" s="40">
        <v>30</v>
      </c>
      <c r="N14" s="39">
        <f t="shared" si="28"/>
        <v>27397100</v>
      </c>
      <c r="O14" s="40">
        <v>40</v>
      </c>
      <c r="P14" s="39">
        <f t="shared" si="29"/>
        <v>34294100</v>
      </c>
      <c r="Q14" s="13"/>
      <c r="R14" s="13"/>
      <c r="S14" s="13"/>
      <c r="T14" s="16" t="s">
        <v>33</v>
      </c>
      <c r="U14" s="16">
        <v>43361</v>
      </c>
      <c r="V14" s="15">
        <v>8136524.2133726664</v>
      </c>
      <c r="W14" s="14">
        <v>2000000</v>
      </c>
      <c r="Y14" s="14"/>
      <c r="AB14" s="40">
        <v>40</v>
      </c>
      <c r="AC14" s="39">
        <f t="shared" si="31"/>
        <v>37029799.999999993</v>
      </c>
      <c r="AD14" s="40"/>
      <c r="AE14" s="39"/>
      <c r="AG14" s="13"/>
      <c r="AH14" s="13"/>
      <c r="AI14" s="16" t="s">
        <v>39</v>
      </c>
      <c r="AJ14" s="16">
        <v>43725</v>
      </c>
      <c r="AK14" s="15">
        <v>13198568.706981318</v>
      </c>
      <c r="AL14" s="14">
        <v>10000000</v>
      </c>
      <c r="AN14" s="55" t="s">
        <v>39</v>
      </c>
      <c r="AO14" s="54"/>
      <c r="AQ14" s="40">
        <v>40</v>
      </c>
      <c r="AR14" s="39">
        <f t="shared" si="32"/>
        <v>37509600.000000007</v>
      </c>
      <c r="AS14" s="40"/>
      <c r="AT14" s="39"/>
      <c r="AV14" s="13"/>
      <c r="AW14" s="13"/>
      <c r="AX14" s="16" t="s">
        <v>38</v>
      </c>
      <c r="AY14" s="16">
        <v>44299</v>
      </c>
      <c r="AZ14" s="15">
        <v>28355120.329400204</v>
      </c>
      <c r="BA14" s="14">
        <v>35000000</v>
      </c>
      <c r="BF14" s="40">
        <v>50</v>
      </c>
      <c r="BG14" s="39">
        <f t="shared" si="33"/>
        <v>46730000.000000007</v>
      </c>
      <c r="BH14" s="40">
        <v>50</v>
      </c>
      <c r="BI14" s="39">
        <f t="shared" si="33"/>
        <v>46730000.000000007</v>
      </c>
      <c r="BK14" s="13"/>
      <c r="BL14" s="13"/>
      <c r="BM14" s="16" t="s">
        <v>35</v>
      </c>
      <c r="BN14" s="16">
        <v>44460</v>
      </c>
      <c r="BO14" s="15">
        <v>37092954.400196664</v>
      </c>
      <c r="BP14" s="14">
        <v>30000000</v>
      </c>
      <c r="BR14" s="1">
        <v>1</v>
      </c>
      <c r="BS14" s="1">
        <v>2</v>
      </c>
      <c r="BU14" s="40">
        <v>110</v>
      </c>
      <c r="BV14" s="39">
        <f t="shared" si="34"/>
        <v>99300500</v>
      </c>
      <c r="BW14" s="40">
        <v>260</v>
      </c>
      <c r="BX14" s="39">
        <f t="shared" si="30"/>
        <v>224430500.00000003</v>
      </c>
      <c r="BZ14" s="13"/>
      <c r="CA14" s="13"/>
      <c r="CB14" s="16" t="s">
        <v>37</v>
      </c>
      <c r="CC14" s="16">
        <v>45027</v>
      </c>
      <c r="CD14" s="15">
        <v>24316174.405174401</v>
      </c>
      <c r="CE14" s="14">
        <v>30000000</v>
      </c>
      <c r="CG14" s="1">
        <v>2</v>
      </c>
      <c r="CH14" s="1">
        <v>5</v>
      </c>
      <c r="CJ14" s="40">
        <v>50</v>
      </c>
      <c r="CK14" s="39">
        <f t="shared" si="35"/>
        <v>40492499.999999993</v>
      </c>
      <c r="CL14" s="40"/>
      <c r="CM14" s="39"/>
      <c r="CO14" s="13"/>
      <c r="CP14" s="13"/>
      <c r="CQ14" s="16" t="s">
        <v>115</v>
      </c>
      <c r="CR14" s="16">
        <v>45188</v>
      </c>
      <c r="CS14" s="15">
        <v>9208195.4261954259</v>
      </c>
      <c r="CT14" s="14">
        <v>5000000</v>
      </c>
      <c r="CV14" s="1">
        <v>2</v>
      </c>
      <c r="CW14" s="1">
        <v>5</v>
      </c>
      <c r="CY14" s="40">
        <v>20</v>
      </c>
      <c r="CZ14" s="39">
        <f t="shared" si="36"/>
        <v>20232200.000000004</v>
      </c>
      <c r="DA14" s="40"/>
      <c r="DB14" s="39"/>
      <c r="DD14" s="13"/>
      <c r="DE14" s="13"/>
      <c r="DF14" s="16" t="s">
        <v>127</v>
      </c>
      <c r="DG14" s="16">
        <v>44614</v>
      </c>
      <c r="DH14" s="15">
        <v>9469921.951819079</v>
      </c>
      <c r="DI14" s="14">
        <v>2000000</v>
      </c>
      <c r="DK14" s="1">
        <v>2</v>
      </c>
      <c r="DL14" s="1">
        <v>5</v>
      </c>
      <c r="DO14" s="40">
        <v>50</v>
      </c>
      <c r="DP14" s="39">
        <f t="shared" si="37"/>
        <v>50202500</v>
      </c>
      <c r="DQ14" s="40"/>
      <c r="DR14" s="39"/>
      <c r="DT14" s="13"/>
      <c r="DU14" s="13"/>
      <c r="DV14" s="16" t="s">
        <v>126</v>
      </c>
      <c r="DW14" s="16">
        <v>44964</v>
      </c>
      <c r="DX14" s="15">
        <v>20268493.416493416</v>
      </c>
      <c r="DY14" s="14">
        <v>20000000</v>
      </c>
      <c r="EA14" s="1">
        <v>2</v>
      </c>
      <c r="EB14" s="1">
        <v>5</v>
      </c>
      <c r="EE14" s="40">
        <v>50</v>
      </c>
      <c r="EF14" s="39">
        <f t="shared" si="38"/>
        <v>43196200</v>
      </c>
      <c r="EG14" s="40"/>
      <c r="EH14" s="39"/>
      <c r="EJ14" s="13"/>
      <c r="EK14" s="13"/>
      <c r="EL14" s="16" t="s">
        <v>127</v>
      </c>
      <c r="EM14" s="16">
        <v>44642</v>
      </c>
      <c r="EN14" s="15">
        <v>15013329</v>
      </c>
      <c r="EO14" s="14">
        <v>5000000</v>
      </c>
      <c r="EQ14" s="1">
        <v>2</v>
      </c>
      <c r="ER14" s="1">
        <v>5</v>
      </c>
      <c r="EU14" s="16" t="s">
        <v>126</v>
      </c>
      <c r="EV14" s="16">
        <v>44775</v>
      </c>
      <c r="EW14" s="15">
        <v>22262263</v>
      </c>
      <c r="EX14" s="14">
        <v>20000000</v>
      </c>
      <c r="EZ14" s="1">
        <v>2</v>
      </c>
      <c r="FA14" s="1">
        <v>5</v>
      </c>
      <c r="FD14" s="13"/>
      <c r="FE14" s="13"/>
      <c r="FF14" s="16" t="s">
        <v>83</v>
      </c>
      <c r="FG14" s="16">
        <v>42997</v>
      </c>
      <c r="FH14" s="15">
        <v>8475801</v>
      </c>
      <c r="FI14" s="14">
        <v>5000000</v>
      </c>
      <c r="FK14" s="52" t="s">
        <v>42</v>
      </c>
      <c r="FL14" s="52" t="s">
        <v>41</v>
      </c>
      <c r="FN14" s="16" t="s">
        <v>82</v>
      </c>
      <c r="FO14" s="16">
        <v>43179</v>
      </c>
      <c r="FP14" s="15">
        <v>9832479</v>
      </c>
      <c r="FQ14" s="14">
        <v>5000000</v>
      </c>
      <c r="FS14" s="1">
        <v>2</v>
      </c>
      <c r="FT14" s="1">
        <v>5</v>
      </c>
      <c r="FV14" s="16" t="s">
        <v>81</v>
      </c>
      <c r="FW14" s="16">
        <v>43361</v>
      </c>
      <c r="FX14" s="15">
        <v>7194900</v>
      </c>
      <c r="FY14" s="14">
        <v>2000000</v>
      </c>
      <c r="GA14" s="52" t="s">
        <v>42</v>
      </c>
      <c r="GB14" s="52" t="s">
        <v>41</v>
      </c>
      <c r="GD14" s="16" t="s">
        <v>79</v>
      </c>
      <c r="GE14" s="16">
        <v>43543</v>
      </c>
      <c r="GF14" s="15">
        <v>43328001</v>
      </c>
      <c r="GG14" s="14">
        <v>50000000</v>
      </c>
      <c r="GL14" s="16" t="s">
        <v>78</v>
      </c>
      <c r="GM14" s="16">
        <v>43725</v>
      </c>
      <c r="GN14" s="15">
        <v>12506946</v>
      </c>
      <c r="GO14" s="14">
        <v>10000000</v>
      </c>
      <c r="GQ14" s="52" t="s">
        <v>42</v>
      </c>
      <c r="GR14" s="52" t="s">
        <v>41</v>
      </c>
      <c r="GT14" s="16" t="s">
        <v>77</v>
      </c>
      <c r="GU14" s="16">
        <v>43914</v>
      </c>
      <c r="GV14" s="15">
        <v>8539311</v>
      </c>
      <c r="GW14" s="14">
        <v>2000000</v>
      </c>
      <c r="GY14" s="1">
        <v>2</v>
      </c>
      <c r="GZ14" s="1">
        <v>5</v>
      </c>
      <c r="HB14" s="16" t="s">
        <v>70</v>
      </c>
      <c r="HC14" s="16">
        <v>44096</v>
      </c>
      <c r="HD14" s="15">
        <v>9483348</v>
      </c>
      <c r="HE14" s="14">
        <v>2000000</v>
      </c>
      <c r="HG14" s="1">
        <v>1</v>
      </c>
      <c r="HH14" s="1">
        <v>2</v>
      </c>
      <c r="HJ14" s="16" t="s">
        <v>86</v>
      </c>
      <c r="HK14" s="16">
        <v>44278</v>
      </c>
      <c r="HL14" s="15">
        <v>11811816</v>
      </c>
      <c r="HM14" s="14">
        <v>5000000</v>
      </c>
      <c r="HO14" s="52" t="s">
        <v>42</v>
      </c>
      <c r="HP14" s="52" t="s">
        <v>41</v>
      </c>
      <c r="HR14" s="16" t="s">
        <v>69</v>
      </c>
      <c r="HS14" s="16">
        <v>44460</v>
      </c>
      <c r="HT14" s="15">
        <v>35889066</v>
      </c>
      <c r="HU14" s="14">
        <v>30000000</v>
      </c>
      <c r="HW14" s="1">
        <v>2</v>
      </c>
      <c r="HX14" s="1">
        <v>5</v>
      </c>
      <c r="HZ14" s="16" t="s">
        <v>76</v>
      </c>
      <c r="IA14" s="16">
        <v>44642</v>
      </c>
      <c r="IB14" s="15">
        <v>15013329</v>
      </c>
      <c r="IC14" s="14">
        <v>5000000</v>
      </c>
      <c r="IE14" s="1">
        <v>1</v>
      </c>
      <c r="IF14" s="1">
        <v>2</v>
      </c>
      <c r="IH14" s="16" t="s">
        <v>127</v>
      </c>
      <c r="II14" s="16">
        <v>44404</v>
      </c>
      <c r="IJ14" s="15">
        <v>14462184</v>
      </c>
      <c r="IK14" s="14">
        <v>10000000</v>
      </c>
      <c r="IM14" s="1">
        <v>2</v>
      </c>
      <c r="IN14" s="1">
        <v>5</v>
      </c>
      <c r="IP14" s="16" t="s">
        <v>126</v>
      </c>
      <c r="IQ14" s="16">
        <v>44775</v>
      </c>
      <c r="IR14" s="15">
        <v>22262263</v>
      </c>
      <c r="IS14" s="14">
        <v>20000000</v>
      </c>
      <c r="IU14" s="1">
        <v>2</v>
      </c>
      <c r="IV14" s="1">
        <v>5</v>
      </c>
    </row>
    <row r="15" spans="2:256" x14ac:dyDescent="0.25">
      <c r="B15" s="16"/>
      <c r="C15" s="16"/>
      <c r="D15" s="15"/>
      <c r="E15" s="14"/>
      <c r="M15" s="40">
        <v>40</v>
      </c>
      <c r="N15" s="39">
        <f t="shared" si="28"/>
        <v>34294100</v>
      </c>
      <c r="O15" s="40">
        <v>50</v>
      </c>
      <c r="P15" s="39">
        <f t="shared" si="29"/>
        <v>41191100</v>
      </c>
      <c r="Q15" s="13"/>
      <c r="R15" s="13"/>
      <c r="S15" s="13"/>
      <c r="T15" s="16" t="s">
        <v>33</v>
      </c>
      <c r="U15" s="16">
        <v>43368</v>
      </c>
      <c r="V15" s="15">
        <v>11159904.744346118</v>
      </c>
      <c r="W15" s="14">
        <v>5000000</v>
      </c>
      <c r="Y15" s="55" t="s">
        <v>33</v>
      </c>
      <c r="Z15" s="54"/>
      <c r="AB15" s="40">
        <v>50</v>
      </c>
      <c r="AC15" s="39">
        <f t="shared" si="31"/>
        <v>44865800</v>
      </c>
      <c r="AD15" s="40"/>
      <c r="AE15" s="39"/>
      <c r="AG15" s="13"/>
      <c r="AH15" s="13"/>
      <c r="AI15" s="16" t="s">
        <v>39</v>
      </c>
      <c r="AJ15" s="16">
        <v>43732</v>
      </c>
      <c r="AK15" s="15">
        <v>22871940.511307772</v>
      </c>
      <c r="AL15" s="14">
        <v>15000000</v>
      </c>
      <c r="AN15" s="52" t="s">
        <v>42</v>
      </c>
      <c r="AO15" s="52" t="s">
        <v>41</v>
      </c>
      <c r="AQ15" s="40">
        <v>50</v>
      </c>
      <c r="AR15" s="39">
        <f t="shared" si="32"/>
        <v>45075600.000000007</v>
      </c>
      <c r="AS15" s="40"/>
      <c r="AT15" s="39"/>
      <c r="AV15" s="13"/>
      <c r="AW15" s="13"/>
      <c r="AX15" s="16" t="s">
        <v>38</v>
      </c>
      <c r="AY15" s="16">
        <v>44292</v>
      </c>
      <c r="AZ15" s="15">
        <v>22806144.665683389</v>
      </c>
      <c r="BA15" s="14">
        <v>25000000</v>
      </c>
      <c r="BC15" s="55" t="s">
        <v>156</v>
      </c>
      <c r="BD15" s="54"/>
      <c r="BF15" s="40">
        <v>70</v>
      </c>
      <c r="BG15" s="39">
        <f t="shared" si="33"/>
        <v>62007999.999999993</v>
      </c>
      <c r="BH15" s="40">
        <v>70</v>
      </c>
      <c r="BI15" s="39">
        <f t="shared" si="33"/>
        <v>62007999.999999993</v>
      </c>
      <c r="BK15" s="13"/>
      <c r="BL15" s="13"/>
      <c r="BM15" s="16" t="s">
        <v>35</v>
      </c>
      <c r="BN15" s="16">
        <v>44467</v>
      </c>
      <c r="BO15" s="15">
        <v>9819176.2536873184</v>
      </c>
      <c r="BP15" s="14">
        <v>2000000</v>
      </c>
      <c r="BR15" s="1">
        <v>2</v>
      </c>
      <c r="BS15" s="1">
        <v>5</v>
      </c>
      <c r="BU15" s="40">
        <v>120</v>
      </c>
      <c r="BV15" s="39">
        <f t="shared" si="34"/>
        <v>107642500.00000001</v>
      </c>
      <c r="BW15" s="40">
        <v>270</v>
      </c>
      <c r="BX15" s="39">
        <f t="shared" si="30"/>
        <v>232772500</v>
      </c>
      <c r="BZ15" s="13"/>
      <c r="CA15" s="13"/>
      <c r="CB15" s="16" t="s">
        <v>37</v>
      </c>
      <c r="CC15" s="16">
        <v>45020</v>
      </c>
      <c r="CD15" s="15">
        <v>20387653.730653729</v>
      </c>
      <c r="CE15" s="14">
        <v>20000000</v>
      </c>
      <c r="CG15" s="1">
        <v>3</v>
      </c>
      <c r="CH15" s="1">
        <v>10</v>
      </c>
      <c r="CJ15" s="40">
        <v>70</v>
      </c>
      <c r="CK15" s="39">
        <f t="shared" si="35"/>
        <v>53866499.999999993</v>
      </c>
      <c r="CL15" s="40"/>
      <c r="CM15" s="39"/>
      <c r="CO15" s="13"/>
      <c r="CP15" s="13"/>
      <c r="CQ15" s="16" t="s">
        <v>115</v>
      </c>
      <c r="CR15" s="16">
        <v>45195</v>
      </c>
      <c r="CS15" s="15">
        <v>12154527.258027257</v>
      </c>
      <c r="CT15" s="14">
        <v>10000000</v>
      </c>
      <c r="CV15" s="1">
        <v>3</v>
      </c>
      <c r="CW15" s="1">
        <v>10</v>
      </c>
      <c r="CY15" s="40">
        <v>30</v>
      </c>
      <c r="CZ15" s="39">
        <f t="shared" si="36"/>
        <v>27045200</v>
      </c>
      <c r="DA15" s="40"/>
      <c r="DB15" s="39"/>
      <c r="DD15" s="13"/>
      <c r="DE15" s="13"/>
      <c r="DF15" s="16" t="s">
        <v>127</v>
      </c>
      <c r="DG15" s="16">
        <v>44607</v>
      </c>
      <c r="DH15" s="15">
        <v>15074664.70009833</v>
      </c>
      <c r="DI15" s="14">
        <v>10000000</v>
      </c>
      <c r="DK15" s="1">
        <v>3</v>
      </c>
      <c r="DL15" s="1">
        <v>10</v>
      </c>
      <c r="DO15" s="40">
        <v>70</v>
      </c>
      <c r="DP15" s="39">
        <f t="shared" si="37"/>
        <v>67592500</v>
      </c>
      <c r="DQ15" s="40"/>
      <c r="DR15" s="39"/>
      <c r="DT15" s="13"/>
      <c r="DU15" s="13"/>
      <c r="DV15" s="16" t="s">
        <v>126</v>
      </c>
      <c r="DW15" s="16">
        <v>44957</v>
      </c>
      <c r="DX15" s="15">
        <v>12834873.873873875</v>
      </c>
      <c r="DY15" s="14">
        <v>10000000</v>
      </c>
      <c r="EA15" s="1">
        <v>3</v>
      </c>
      <c r="EB15" s="1">
        <v>10</v>
      </c>
      <c r="EE15" s="40">
        <v>70</v>
      </c>
      <c r="EF15" s="39">
        <f t="shared" si="38"/>
        <v>58528200</v>
      </c>
      <c r="EG15" s="40"/>
      <c r="EH15" s="39"/>
      <c r="EJ15" s="13"/>
      <c r="EK15" s="13"/>
      <c r="EL15" s="16" t="s">
        <v>127</v>
      </c>
      <c r="EM15" s="16">
        <v>44649</v>
      </c>
      <c r="EN15" s="15">
        <v>9676923</v>
      </c>
      <c r="EO15" s="14">
        <v>2000000</v>
      </c>
      <c r="EQ15" s="1">
        <v>3</v>
      </c>
      <c r="ER15" s="1">
        <v>10</v>
      </c>
      <c r="EU15" s="16" t="s">
        <v>126</v>
      </c>
      <c r="EV15" s="16">
        <v>44782</v>
      </c>
      <c r="EW15" s="15">
        <v>7570943</v>
      </c>
      <c r="EX15" s="14">
        <v>3000000</v>
      </c>
      <c r="EZ15" s="1">
        <v>3</v>
      </c>
      <c r="FA15" s="1">
        <v>10</v>
      </c>
      <c r="FD15" s="13"/>
      <c r="FE15" s="13"/>
      <c r="FF15" s="16" t="s">
        <v>83</v>
      </c>
      <c r="FG15" s="16">
        <v>43004</v>
      </c>
      <c r="FH15" s="15">
        <v>14781213</v>
      </c>
      <c r="FI15" s="14">
        <v>10000000</v>
      </c>
      <c r="FK15" s="1">
        <v>1</v>
      </c>
      <c r="FL15" s="1">
        <v>2</v>
      </c>
      <c r="FN15" s="16" t="s">
        <v>82</v>
      </c>
      <c r="FO15" s="16">
        <v>43186</v>
      </c>
      <c r="FP15" s="15">
        <v>15460596</v>
      </c>
      <c r="FQ15" s="14">
        <v>10000000</v>
      </c>
      <c r="FS15" s="1">
        <v>3</v>
      </c>
      <c r="FT15" s="1">
        <v>10</v>
      </c>
      <c r="FV15" s="16" t="s">
        <v>81</v>
      </c>
      <c r="FW15" s="16">
        <v>43368</v>
      </c>
      <c r="FX15" s="15">
        <v>11001498</v>
      </c>
      <c r="FY15" s="14">
        <v>5000000</v>
      </c>
      <c r="GA15" s="1">
        <v>1</v>
      </c>
      <c r="GB15" s="1">
        <v>2</v>
      </c>
      <c r="GD15" s="16" t="s">
        <v>79</v>
      </c>
      <c r="GE15" s="16">
        <v>43550</v>
      </c>
      <c r="GF15" s="15">
        <v>62468697</v>
      </c>
      <c r="GG15" s="14">
        <v>70000000</v>
      </c>
      <c r="GI15" s="55" t="s">
        <v>79</v>
      </c>
      <c r="GJ15" s="54"/>
      <c r="GL15" s="16" t="s">
        <v>78</v>
      </c>
      <c r="GM15" s="16">
        <v>43732</v>
      </c>
      <c r="GN15" s="15">
        <v>21060438</v>
      </c>
      <c r="GO15" s="14">
        <v>15000000</v>
      </c>
      <c r="GQ15" s="1">
        <v>1</v>
      </c>
      <c r="GR15" s="1">
        <v>2</v>
      </c>
      <c r="GT15" s="16" t="s">
        <v>77</v>
      </c>
      <c r="GU15" s="16">
        <v>43921</v>
      </c>
      <c r="GV15" s="15">
        <v>10033710</v>
      </c>
      <c r="GW15" s="14">
        <v>5000000</v>
      </c>
      <c r="GY15" s="1">
        <v>3</v>
      </c>
      <c r="GZ15" s="1">
        <v>10</v>
      </c>
      <c r="HB15" s="16" t="s">
        <v>70</v>
      </c>
      <c r="HC15" s="16">
        <v>44103</v>
      </c>
      <c r="HD15" s="15">
        <v>15030468</v>
      </c>
      <c r="HE15" s="14">
        <v>5000000</v>
      </c>
      <c r="HG15" s="1">
        <v>2</v>
      </c>
      <c r="HH15" s="1">
        <v>5</v>
      </c>
      <c r="HJ15" s="16" t="s">
        <v>86</v>
      </c>
      <c r="HK15" s="16">
        <v>44285</v>
      </c>
      <c r="HL15" s="15">
        <v>19289118</v>
      </c>
      <c r="HM15" s="14">
        <v>15000000</v>
      </c>
      <c r="HO15" s="1">
        <v>1</v>
      </c>
      <c r="HP15" s="1">
        <v>2</v>
      </c>
      <c r="HR15" s="16" t="s">
        <v>69</v>
      </c>
      <c r="HS15" s="16">
        <v>44467</v>
      </c>
      <c r="HT15" s="15">
        <v>9418359</v>
      </c>
      <c r="HU15" s="14">
        <v>2000000</v>
      </c>
      <c r="HW15" s="1">
        <v>3</v>
      </c>
      <c r="HX15" s="1">
        <v>10</v>
      </c>
      <c r="HZ15" s="16" t="s">
        <v>76</v>
      </c>
      <c r="IA15" s="16">
        <v>44649</v>
      </c>
      <c r="IB15" s="15">
        <v>9676923</v>
      </c>
      <c r="IC15" s="14">
        <v>2000000</v>
      </c>
      <c r="IE15" s="1">
        <v>2</v>
      </c>
      <c r="IF15" s="1">
        <v>5</v>
      </c>
      <c r="IH15" s="16" t="s">
        <v>127</v>
      </c>
      <c r="II15" s="16">
        <v>44411</v>
      </c>
      <c r="IJ15" s="15">
        <v>8087433</v>
      </c>
      <c r="IK15" s="14">
        <v>2000000</v>
      </c>
      <c r="IM15" s="1">
        <v>3</v>
      </c>
      <c r="IN15" s="1">
        <v>10</v>
      </c>
      <c r="IP15" s="16" t="s">
        <v>126</v>
      </c>
      <c r="IQ15" s="16">
        <v>44782</v>
      </c>
      <c r="IR15" s="15">
        <v>7570943</v>
      </c>
      <c r="IS15" s="14">
        <v>3000000</v>
      </c>
      <c r="IU15" s="1">
        <v>3</v>
      </c>
      <c r="IV15" s="1">
        <v>10</v>
      </c>
    </row>
    <row r="16" spans="2:256" x14ac:dyDescent="0.25">
      <c r="B16" s="16"/>
      <c r="C16" s="16"/>
      <c r="D16" s="15"/>
      <c r="E16" s="14"/>
      <c r="M16" s="40">
        <v>50</v>
      </c>
      <c r="N16" s="39">
        <f t="shared" si="28"/>
        <v>41191100</v>
      </c>
      <c r="O16" s="40">
        <v>70</v>
      </c>
      <c r="P16" s="39">
        <f t="shared" si="29"/>
        <v>54985099.999999993</v>
      </c>
      <c r="Q16" s="13"/>
      <c r="R16" s="13"/>
      <c r="S16" s="13"/>
      <c r="T16" s="16" t="s">
        <v>33</v>
      </c>
      <c r="U16" s="16">
        <v>43375</v>
      </c>
      <c r="V16" s="15">
        <v>15740513.520157328</v>
      </c>
      <c r="W16" s="14">
        <v>10000000</v>
      </c>
      <c r="Y16" s="52" t="s">
        <v>42</v>
      </c>
      <c r="Z16" s="52" t="s">
        <v>41</v>
      </c>
      <c r="AB16" s="40">
        <v>70</v>
      </c>
      <c r="AC16" s="39">
        <f t="shared" si="31"/>
        <v>60537800</v>
      </c>
      <c r="AD16" s="40"/>
      <c r="AE16" s="39"/>
      <c r="AG16" s="13"/>
      <c r="AH16" s="13"/>
      <c r="AI16" s="16" t="s">
        <v>39</v>
      </c>
      <c r="AJ16" s="16">
        <v>43739</v>
      </c>
      <c r="AK16" s="15">
        <v>27879556.170108166</v>
      </c>
      <c r="AL16" s="14">
        <v>25000000</v>
      </c>
      <c r="AN16" s="1">
        <v>1</v>
      </c>
      <c r="AO16" s="1">
        <v>2</v>
      </c>
      <c r="AQ16" s="40">
        <v>70</v>
      </c>
      <c r="AR16" s="39">
        <f t="shared" si="32"/>
        <v>60207600</v>
      </c>
      <c r="AS16" s="40"/>
      <c r="AT16" s="39"/>
      <c r="AV16" s="13"/>
      <c r="AW16" s="13"/>
      <c r="AX16" s="16" t="s">
        <v>38</v>
      </c>
      <c r="AY16" s="16">
        <v>44285</v>
      </c>
      <c r="AZ16" s="15">
        <v>19457857.669616524</v>
      </c>
      <c r="BA16" s="14">
        <v>15000000</v>
      </c>
      <c r="BC16" s="52" t="s">
        <v>42</v>
      </c>
      <c r="BD16" s="52" t="s">
        <v>41</v>
      </c>
      <c r="BF16" s="40">
        <v>100</v>
      </c>
      <c r="BG16" s="39">
        <f t="shared" si="33"/>
        <v>84925000</v>
      </c>
      <c r="BH16" s="40">
        <v>100</v>
      </c>
      <c r="BI16" s="39">
        <f>($BG$6*BH16^2+$BH$6*BH16+$BI$6)*1000000</f>
        <v>84925000</v>
      </c>
      <c r="BK16" s="13"/>
      <c r="BL16" s="13"/>
      <c r="BM16" s="16" t="s">
        <v>35</v>
      </c>
      <c r="BN16" s="16">
        <v>44474</v>
      </c>
      <c r="BO16" s="15">
        <v>12042942.232055068</v>
      </c>
      <c r="BP16" s="14">
        <v>5000000</v>
      </c>
      <c r="BR16" s="1">
        <v>3</v>
      </c>
      <c r="BS16" s="1">
        <v>10</v>
      </c>
      <c r="BU16" s="40">
        <v>130</v>
      </c>
      <c r="BV16" s="39">
        <f t="shared" si="34"/>
        <v>115984500.00000001</v>
      </c>
      <c r="BW16" s="40">
        <v>280</v>
      </c>
      <c r="BX16" s="39">
        <f t="shared" si="30"/>
        <v>241114500.00000003</v>
      </c>
      <c r="BZ16" s="13"/>
      <c r="CA16" s="13"/>
      <c r="CB16" s="16" t="s">
        <v>37</v>
      </c>
      <c r="CC16" s="16">
        <v>45013</v>
      </c>
      <c r="CD16" s="15">
        <v>14791094.479094479</v>
      </c>
      <c r="CE16" s="14">
        <v>10000000</v>
      </c>
      <c r="CG16" s="1">
        <v>4</v>
      </c>
      <c r="CH16" s="1">
        <v>20</v>
      </c>
      <c r="CJ16" s="40">
        <v>100</v>
      </c>
      <c r="CK16" s="39">
        <f t="shared" si="35"/>
        <v>73927500</v>
      </c>
      <c r="CL16" s="40"/>
      <c r="CM16" s="39"/>
      <c r="CO16" s="13"/>
      <c r="CP16" s="13"/>
      <c r="CQ16" s="16" t="s">
        <v>115</v>
      </c>
      <c r="CR16" s="16">
        <v>45202</v>
      </c>
      <c r="CS16" s="15">
        <v>14203781.011781011</v>
      </c>
      <c r="CT16" s="14">
        <v>15000000</v>
      </c>
      <c r="CV16" s="1">
        <v>4</v>
      </c>
      <c r="CW16" s="1">
        <v>20</v>
      </c>
      <c r="CY16" s="40">
        <v>40</v>
      </c>
      <c r="CZ16" s="39">
        <f t="shared" si="36"/>
        <v>33858200</v>
      </c>
      <c r="DA16" s="40"/>
      <c r="DB16" s="39"/>
      <c r="DD16" s="13"/>
      <c r="DE16" s="13"/>
      <c r="DF16" s="16" t="s">
        <v>127</v>
      </c>
      <c r="DG16" s="16">
        <v>44600</v>
      </c>
      <c r="DH16" s="15">
        <v>10997342.920353984</v>
      </c>
      <c r="DI16" s="14">
        <v>5000000</v>
      </c>
      <c r="DK16" s="1">
        <v>4</v>
      </c>
      <c r="DL16" s="1">
        <v>20</v>
      </c>
      <c r="DO16" s="40">
        <v>100</v>
      </c>
      <c r="DP16" s="39">
        <f t="shared" si="37"/>
        <v>93677500.000000015</v>
      </c>
      <c r="DQ16" s="40"/>
      <c r="DR16" s="39"/>
      <c r="DT16" s="13"/>
      <c r="DU16" s="13"/>
      <c r="DV16" s="16" t="s">
        <v>126</v>
      </c>
      <c r="DW16" s="16">
        <v>44950</v>
      </c>
      <c r="DX16" s="15">
        <v>9882207.7847077847</v>
      </c>
      <c r="DY16" s="14">
        <v>5000000</v>
      </c>
      <c r="EA16" s="1">
        <v>4</v>
      </c>
      <c r="EB16" s="1">
        <v>20</v>
      </c>
      <c r="EE16" s="40">
        <v>100</v>
      </c>
      <c r="EF16" s="39">
        <f t="shared" si="38"/>
        <v>81526200</v>
      </c>
      <c r="EG16" s="40"/>
      <c r="EH16" s="39"/>
      <c r="EJ16" s="13"/>
      <c r="EK16" s="13"/>
      <c r="EL16" s="16" t="s">
        <v>127</v>
      </c>
      <c r="EM16" s="16">
        <v>44656</v>
      </c>
      <c r="EN16" s="15">
        <v>7645821</v>
      </c>
      <c r="EO16" s="14">
        <v>2000000</v>
      </c>
      <c r="EQ16" s="1">
        <v>4</v>
      </c>
      <c r="ER16" s="1">
        <v>20</v>
      </c>
      <c r="EU16" s="16" t="s">
        <v>126</v>
      </c>
      <c r="EV16" s="16">
        <v>44789</v>
      </c>
      <c r="EW16" s="15">
        <v>9312715</v>
      </c>
      <c r="EX16" s="14">
        <v>5000000</v>
      </c>
      <c r="EZ16" s="1">
        <v>4</v>
      </c>
      <c r="FA16" s="1">
        <v>20</v>
      </c>
      <c r="FD16" s="13"/>
      <c r="FE16" s="13"/>
      <c r="FF16" s="16" t="s">
        <v>83</v>
      </c>
      <c r="FG16" s="16">
        <v>43011</v>
      </c>
      <c r="FH16" s="15">
        <v>17486652</v>
      </c>
      <c r="FI16" s="14">
        <v>15000000</v>
      </c>
      <c r="FK16" s="1">
        <v>2</v>
      </c>
      <c r="FL16" s="1">
        <v>5</v>
      </c>
      <c r="FN16" s="16" t="s">
        <v>82</v>
      </c>
      <c r="FO16" s="16">
        <v>43193</v>
      </c>
      <c r="FP16" s="15">
        <v>6738411</v>
      </c>
      <c r="FQ16" s="14">
        <v>2000000</v>
      </c>
      <c r="FS16" s="1">
        <v>4</v>
      </c>
      <c r="FT16" s="1">
        <v>15</v>
      </c>
      <c r="FV16" s="16" t="s">
        <v>81</v>
      </c>
      <c r="FW16" s="16">
        <v>43375</v>
      </c>
      <c r="FX16" s="15">
        <v>15093108</v>
      </c>
      <c r="FY16" s="14">
        <v>10000000</v>
      </c>
      <c r="GA16" s="1">
        <v>2</v>
      </c>
      <c r="GB16" s="1">
        <v>5</v>
      </c>
      <c r="GD16" s="16" t="s">
        <v>79</v>
      </c>
      <c r="GE16" s="16">
        <v>43557</v>
      </c>
      <c r="GF16" s="15">
        <v>8479803</v>
      </c>
      <c r="GG16" s="14">
        <v>2000000</v>
      </c>
      <c r="GI16" s="52" t="s">
        <v>42</v>
      </c>
      <c r="GJ16" s="52" t="s">
        <v>41</v>
      </c>
      <c r="GL16" s="16" t="s">
        <v>78</v>
      </c>
      <c r="GM16" s="16">
        <v>43739</v>
      </c>
      <c r="GN16" s="15">
        <v>30734055</v>
      </c>
      <c r="GO16" s="14">
        <v>25000000</v>
      </c>
      <c r="GQ16" s="1">
        <v>2</v>
      </c>
      <c r="GR16" s="1">
        <v>5</v>
      </c>
      <c r="GT16" s="16" t="s">
        <v>77</v>
      </c>
      <c r="GU16" s="16">
        <v>43928</v>
      </c>
      <c r="GV16" s="15">
        <v>16168428</v>
      </c>
      <c r="GW16" s="14">
        <v>10000000</v>
      </c>
      <c r="GY16" s="1">
        <v>4</v>
      </c>
      <c r="GZ16" s="1">
        <v>15</v>
      </c>
      <c r="HB16" s="16" t="s">
        <v>70</v>
      </c>
      <c r="HC16" s="16">
        <v>44110</v>
      </c>
      <c r="HD16" s="15">
        <v>18582243</v>
      </c>
      <c r="HE16" s="14">
        <v>10000000</v>
      </c>
      <c r="HG16" s="1">
        <v>3</v>
      </c>
      <c r="HH16" s="1">
        <v>10</v>
      </c>
      <c r="HJ16" s="16" t="s">
        <v>86</v>
      </c>
      <c r="HK16" s="16">
        <v>44292</v>
      </c>
      <c r="HL16" s="15">
        <v>22056501</v>
      </c>
      <c r="HM16" s="14">
        <v>25000000</v>
      </c>
      <c r="HO16" s="1">
        <v>2</v>
      </c>
      <c r="HP16" s="1">
        <v>5</v>
      </c>
      <c r="HR16" s="16" t="s">
        <v>69</v>
      </c>
      <c r="HS16" s="16">
        <v>44474</v>
      </c>
      <c r="HT16" s="15">
        <v>13439673</v>
      </c>
      <c r="HU16" s="14">
        <v>5000000</v>
      </c>
      <c r="HW16" s="1">
        <v>4</v>
      </c>
      <c r="HX16" s="1">
        <v>20</v>
      </c>
      <c r="HZ16" s="16" t="s">
        <v>76</v>
      </c>
      <c r="IA16" s="16">
        <v>44656</v>
      </c>
      <c r="IB16" s="15">
        <v>7645821</v>
      </c>
      <c r="IC16" s="14">
        <v>2000000</v>
      </c>
      <c r="IE16" s="1">
        <v>3</v>
      </c>
      <c r="IF16" s="1">
        <v>10</v>
      </c>
      <c r="IH16" s="16" t="s">
        <v>127</v>
      </c>
      <c r="II16" s="16">
        <v>44418</v>
      </c>
      <c r="IJ16" s="15">
        <v>10671159</v>
      </c>
      <c r="IK16" s="14">
        <v>5000000</v>
      </c>
      <c r="IM16" s="1">
        <v>4</v>
      </c>
      <c r="IN16" s="1">
        <v>20</v>
      </c>
      <c r="IP16" s="16" t="s">
        <v>126</v>
      </c>
      <c r="IQ16" s="16">
        <v>44789</v>
      </c>
      <c r="IR16" s="15">
        <v>9312715</v>
      </c>
      <c r="IS16" s="14">
        <v>5000000</v>
      </c>
      <c r="IU16" s="1">
        <v>4</v>
      </c>
      <c r="IV16" s="1">
        <v>20</v>
      </c>
    </row>
    <row r="17" spans="2:256" x14ac:dyDescent="0.25">
      <c r="B17" s="16" t="s">
        <v>135</v>
      </c>
      <c r="C17" s="16">
        <v>45272</v>
      </c>
      <c r="D17" s="15">
        <v>40500575.652575649</v>
      </c>
      <c r="E17" s="14">
        <v>50000000</v>
      </c>
      <c r="M17" s="40">
        <v>70</v>
      </c>
      <c r="N17" s="39">
        <f t="shared" si="28"/>
        <v>54985099.999999993</v>
      </c>
      <c r="O17" s="40">
        <v>100</v>
      </c>
      <c r="P17" s="39">
        <f t="shared" si="29"/>
        <v>75676100</v>
      </c>
      <c r="Q17" s="13"/>
      <c r="R17" s="13"/>
      <c r="S17" s="13"/>
      <c r="T17" s="16" t="s">
        <v>33</v>
      </c>
      <c r="U17" s="16">
        <v>43382</v>
      </c>
      <c r="V17" s="15">
        <v>7885737.5860373648</v>
      </c>
      <c r="W17" s="14">
        <v>2000000</v>
      </c>
      <c r="Y17" s="1">
        <v>1</v>
      </c>
      <c r="Z17" s="1">
        <v>2</v>
      </c>
      <c r="AB17" s="40">
        <v>80</v>
      </c>
      <c r="AC17" s="39">
        <f t="shared" si="31"/>
        <v>68373799.999999985</v>
      </c>
      <c r="AD17" s="40"/>
      <c r="AE17" s="39"/>
      <c r="AG17" s="13"/>
      <c r="AH17" s="13"/>
      <c r="AI17" s="16" t="s">
        <v>39</v>
      </c>
      <c r="AJ17" s="16">
        <v>43746</v>
      </c>
      <c r="AK17" s="15">
        <v>33615880.530973457</v>
      </c>
      <c r="AL17" s="14">
        <v>40000000</v>
      </c>
      <c r="AN17" s="1">
        <v>2</v>
      </c>
      <c r="AO17" s="1">
        <v>5</v>
      </c>
      <c r="AQ17" s="40">
        <v>100</v>
      </c>
      <c r="AR17" s="39">
        <f t="shared" si="32"/>
        <v>82905600</v>
      </c>
      <c r="AS17" s="40"/>
      <c r="AT17" s="39"/>
      <c r="AV17" s="13"/>
      <c r="AW17" s="13"/>
      <c r="AX17" s="16" t="s">
        <v>38</v>
      </c>
      <c r="AY17" s="16">
        <v>44278</v>
      </c>
      <c r="AZ17" s="15">
        <v>11687564.282202559</v>
      </c>
      <c r="BA17" s="14">
        <v>5000000</v>
      </c>
      <c r="BC17" s="1">
        <v>1</v>
      </c>
      <c r="BD17" s="1">
        <v>2</v>
      </c>
      <c r="BF17" s="40">
        <v>150</v>
      </c>
      <c r="BG17" s="39">
        <f t="shared" si="33"/>
        <v>123120000</v>
      </c>
      <c r="BH17" s="40">
        <v>150</v>
      </c>
      <c r="BI17" s="39">
        <f t="shared" si="33"/>
        <v>123120000</v>
      </c>
      <c r="BK17" s="13"/>
      <c r="BL17" s="13"/>
      <c r="BM17" s="16" t="s">
        <v>35</v>
      </c>
      <c r="BN17" s="16">
        <v>44481</v>
      </c>
      <c r="BO17" s="15">
        <v>16350092.305801379</v>
      </c>
      <c r="BP17" s="14">
        <v>10000000</v>
      </c>
      <c r="BR17" s="1">
        <v>4</v>
      </c>
      <c r="BS17" s="1">
        <v>20</v>
      </c>
      <c r="BU17" s="40">
        <v>140</v>
      </c>
      <c r="BV17" s="39">
        <f t="shared" si="34"/>
        <v>124326500.00000001</v>
      </c>
      <c r="BW17" s="40">
        <v>290</v>
      </c>
      <c r="BX17" s="39">
        <f t="shared" si="30"/>
        <v>249456500</v>
      </c>
      <c r="BZ17" s="13"/>
      <c r="CA17" s="13"/>
      <c r="CB17" s="16" t="s">
        <v>37</v>
      </c>
      <c r="CC17" s="16">
        <v>45006</v>
      </c>
      <c r="CD17" s="15">
        <v>10052417.532917533</v>
      </c>
      <c r="CE17" s="14">
        <v>5000000</v>
      </c>
      <c r="CG17" s="1">
        <v>5</v>
      </c>
      <c r="CH17" s="1">
        <v>30</v>
      </c>
      <c r="CJ17" s="40">
        <v>150</v>
      </c>
      <c r="CK17" s="39">
        <f t="shared" si="35"/>
        <v>107362500</v>
      </c>
      <c r="CL17" s="40"/>
      <c r="CM17" s="39"/>
      <c r="CO17" s="13"/>
      <c r="CP17" s="13"/>
      <c r="CQ17" s="16" t="s">
        <v>115</v>
      </c>
      <c r="CR17" s="16">
        <v>45209</v>
      </c>
      <c r="CS17" s="15">
        <v>21005378.84037884</v>
      </c>
      <c r="CT17" s="14">
        <v>20000000</v>
      </c>
      <c r="CV17" s="1">
        <v>5</v>
      </c>
      <c r="CW17" s="1">
        <v>30</v>
      </c>
      <c r="CY17" s="40">
        <v>50</v>
      </c>
      <c r="CZ17" s="39">
        <f t="shared" si="36"/>
        <v>40671200</v>
      </c>
      <c r="DA17" s="40"/>
      <c r="DB17" s="39"/>
      <c r="DD17" s="13"/>
      <c r="DE17" s="13"/>
      <c r="DF17" s="16" t="s">
        <v>127</v>
      </c>
      <c r="DG17" s="16">
        <v>44593</v>
      </c>
      <c r="DH17" s="15">
        <v>9568139.3805309739</v>
      </c>
      <c r="DI17" s="14">
        <v>2000000</v>
      </c>
      <c r="DK17" s="1">
        <v>5</v>
      </c>
      <c r="DL17" s="1">
        <v>30</v>
      </c>
      <c r="DO17" s="40">
        <v>150</v>
      </c>
      <c r="DP17" s="39">
        <f t="shared" si="37"/>
        <v>137152500</v>
      </c>
      <c r="DQ17" s="40"/>
      <c r="DR17" s="39"/>
      <c r="DT17" s="13"/>
      <c r="DU17" s="13"/>
      <c r="DV17" s="16" t="s">
        <v>126</v>
      </c>
      <c r="DW17" s="16">
        <v>44943</v>
      </c>
      <c r="DX17" s="15">
        <v>8834358.5123585109</v>
      </c>
      <c r="DY17" s="14">
        <v>3000000</v>
      </c>
      <c r="EA17" s="1">
        <v>5</v>
      </c>
      <c r="EB17" s="1">
        <v>30</v>
      </c>
      <c r="EE17" s="40">
        <v>150</v>
      </c>
      <c r="EF17" s="39">
        <f t="shared" si="38"/>
        <v>119856200</v>
      </c>
      <c r="EG17" s="40"/>
      <c r="EH17" s="39"/>
      <c r="EJ17" s="13"/>
      <c r="EK17" s="13"/>
      <c r="EL17" s="16" t="s">
        <v>127</v>
      </c>
      <c r="EM17" s="16">
        <v>44663</v>
      </c>
      <c r="EN17" s="15">
        <v>11420142</v>
      </c>
      <c r="EO17" s="14">
        <v>5000000</v>
      </c>
      <c r="EQ17" s="1">
        <v>5</v>
      </c>
      <c r="ER17" s="1">
        <v>30</v>
      </c>
      <c r="EU17" s="16" t="s">
        <v>126</v>
      </c>
      <c r="EV17" s="16">
        <v>44796</v>
      </c>
      <c r="EW17" s="15">
        <v>17961864</v>
      </c>
      <c r="EX17" s="14">
        <v>10000000</v>
      </c>
      <c r="EZ17" s="1">
        <v>5</v>
      </c>
      <c r="FA17" s="1">
        <v>30</v>
      </c>
      <c r="FD17" s="13"/>
      <c r="FE17" s="13"/>
      <c r="FF17" s="16" t="s">
        <v>83</v>
      </c>
      <c r="FG17" s="16">
        <v>43018</v>
      </c>
      <c r="FH17" s="15">
        <v>8303976</v>
      </c>
      <c r="FI17" s="14">
        <v>2000000</v>
      </c>
      <c r="FK17" s="1">
        <v>3</v>
      </c>
      <c r="FL17" s="1">
        <v>10</v>
      </c>
      <c r="FN17" s="16" t="s">
        <v>82</v>
      </c>
      <c r="FO17" s="16">
        <v>43200</v>
      </c>
      <c r="FP17" s="15">
        <v>10629051</v>
      </c>
      <c r="FQ17" s="14">
        <v>5000000</v>
      </c>
      <c r="FS17" s="1">
        <v>5</v>
      </c>
      <c r="FT17" s="1">
        <v>30</v>
      </c>
      <c r="FV17" s="16" t="s">
        <v>81</v>
      </c>
      <c r="FW17" s="16">
        <v>43382</v>
      </c>
      <c r="FX17" s="15">
        <v>7154445</v>
      </c>
      <c r="FY17" s="14">
        <v>2000000</v>
      </c>
      <c r="GA17" s="1">
        <v>3</v>
      </c>
      <c r="GB17" s="1">
        <v>10</v>
      </c>
      <c r="GD17" s="16" t="s">
        <v>79</v>
      </c>
      <c r="GE17" s="16">
        <v>43564</v>
      </c>
      <c r="GF17" s="15">
        <v>9988122</v>
      </c>
      <c r="GG17" s="14">
        <v>5000000</v>
      </c>
      <c r="GI17" s="1">
        <v>1</v>
      </c>
      <c r="GJ17" s="1">
        <v>2</v>
      </c>
      <c r="GL17" s="16" t="s">
        <v>78</v>
      </c>
      <c r="GM17" s="16">
        <v>43746</v>
      </c>
      <c r="GN17" s="15">
        <v>32899920</v>
      </c>
      <c r="GO17" s="14">
        <v>40000000</v>
      </c>
      <c r="GQ17" s="1">
        <v>3</v>
      </c>
      <c r="GR17" s="1">
        <v>10</v>
      </c>
      <c r="GT17" s="16" t="s">
        <v>77</v>
      </c>
      <c r="GU17" s="16">
        <v>43935</v>
      </c>
      <c r="GV17" s="15">
        <v>18290010</v>
      </c>
      <c r="GW17" s="14">
        <v>15000000</v>
      </c>
      <c r="HB17" s="16" t="s">
        <v>70</v>
      </c>
      <c r="HC17" s="16">
        <v>44117</v>
      </c>
      <c r="HD17" s="15">
        <v>9777234</v>
      </c>
      <c r="HE17" s="14">
        <v>2000000</v>
      </c>
      <c r="HG17" s="1">
        <v>4</v>
      </c>
      <c r="HH17" s="1">
        <v>20</v>
      </c>
      <c r="HJ17" s="16" t="s">
        <v>86</v>
      </c>
      <c r="HK17" s="16">
        <v>44299</v>
      </c>
      <c r="HL17" s="15">
        <v>27091191</v>
      </c>
      <c r="HM17" s="14">
        <v>35000000</v>
      </c>
      <c r="HO17" s="1">
        <v>3</v>
      </c>
      <c r="HP17" s="1">
        <v>10</v>
      </c>
      <c r="HR17" s="16" t="s">
        <v>69</v>
      </c>
      <c r="HS17" s="16">
        <v>44481</v>
      </c>
      <c r="HT17" s="15">
        <v>16179390</v>
      </c>
      <c r="HU17" s="14">
        <v>10000000</v>
      </c>
      <c r="HW17" s="1">
        <v>5</v>
      </c>
      <c r="HX17" s="1">
        <v>30</v>
      </c>
      <c r="HZ17" s="16" t="s">
        <v>76</v>
      </c>
      <c r="IA17" s="16">
        <v>44663</v>
      </c>
      <c r="IB17" s="15">
        <v>11420142</v>
      </c>
      <c r="IC17" s="14">
        <v>5000000</v>
      </c>
      <c r="IE17" s="1">
        <v>4</v>
      </c>
      <c r="IF17" s="1">
        <v>20</v>
      </c>
      <c r="IH17" s="16" t="s">
        <v>127</v>
      </c>
      <c r="II17" s="16">
        <v>44425</v>
      </c>
      <c r="IJ17" s="15">
        <v>19284768</v>
      </c>
      <c r="IK17" s="14">
        <v>10000000</v>
      </c>
      <c r="IM17" s="1">
        <v>5</v>
      </c>
      <c r="IN17" s="1">
        <v>30</v>
      </c>
      <c r="IP17" s="16" t="s">
        <v>126</v>
      </c>
      <c r="IQ17" s="16">
        <v>44796</v>
      </c>
      <c r="IR17" s="15">
        <v>17961864</v>
      </c>
      <c r="IS17" s="14">
        <v>10000000</v>
      </c>
      <c r="IU17" s="1">
        <v>5</v>
      </c>
      <c r="IV17" s="1">
        <v>30</v>
      </c>
    </row>
    <row r="18" spans="2:256" x14ac:dyDescent="0.25">
      <c r="B18" s="16" t="s">
        <v>135</v>
      </c>
      <c r="C18" s="16">
        <v>45265</v>
      </c>
      <c r="D18" s="15">
        <v>32184130.399630401</v>
      </c>
      <c r="E18" s="14">
        <v>40000000</v>
      </c>
      <c r="G18" s="75" t="s">
        <v>41</v>
      </c>
      <c r="H18" s="75" t="s">
        <v>125</v>
      </c>
      <c r="I18" s="75" t="s">
        <v>172</v>
      </c>
      <c r="J18" s="75" t="s">
        <v>130</v>
      </c>
      <c r="K18" s="75" t="s">
        <v>173</v>
      </c>
      <c r="M18" s="40">
        <v>100</v>
      </c>
      <c r="N18" s="39">
        <f t="shared" si="28"/>
        <v>75676100</v>
      </c>
      <c r="O18" s="40"/>
      <c r="P18" s="39"/>
      <c r="Q18" s="13"/>
      <c r="R18" s="13"/>
      <c r="S18" s="13"/>
      <c r="T18" s="16" t="s">
        <v>33</v>
      </c>
      <c r="U18" s="16">
        <v>43389</v>
      </c>
      <c r="V18" s="15">
        <v>9822821.2881022636</v>
      </c>
      <c r="W18" s="14">
        <v>5000000</v>
      </c>
      <c r="Y18" s="1">
        <v>2</v>
      </c>
      <c r="Z18" s="1">
        <v>5</v>
      </c>
      <c r="AB18" s="40">
        <v>120</v>
      </c>
      <c r="AC18" s="39">
        <f>($AC$6*AB18^2+$AD$6*AB18+$AE$6)*1000000</f>
        <v>99717800</v>
      </c>
      <c r="AD18" s="40"/>
      <c r="AE18" s="39"/>
      <c r="AG18" s="13"/>
      <c r="AH18" s="13"/>
      <c r="AI18" s="16" t="s">
        <v>39</v>
      </c>
      <c r="AJ18" s="16">
        <v>43753</v>
      </c>
      <c r="AK18" s="15">
        <v>43907561.578171097</v>
      </c>
      <c r="AL18" s="14">
        <v>50000000</v>
      </c>
      <c r="AN18" s="1">
        <v>3</v>
      </c>
      <c r="AO18" s="1">
        <v>10</v>
      </c>
      <c r="AQ18" s="40">
        <v>150</v>
      </c>
      <c r="AR18" s="39">
        <f t="shared" si="32"/>
        <v>120735600</v>
      </c>
      <c r="AS18" s="40"/>
      <c r="AT18" s="39"/>
      <c r="AV18" s="13"/>
      <c r="AW18" s="13"/>
      <c r="AX18" s="16" t="s">
        <v>38</v>
      </c>
      <c r="AY18" s="16">
        <v>44271</v>
      </c>
      <c r="AZ18" s="15">
        <v>8770426.3765978385</v>
      </c>
      <c r="BA18" s="14">
        <v>2000000</v>
      </c>
      <c r="BC18" s="1">
        <v>2</v>
      </c>
      <c r="BD18" s="1">
        <v>5</v>
      </c>
      <c r="BF18" s="40">
        <v>200</v>
      </c>
      <c r="BG18" s="39">
        <f t="shared" si="33"/>
        <v>161315000</v>
      </c>
      <c r="BH18" s="40">
        <v>200</v>
      </c>
      <c r="BI18" s="39">
        <f t="shared" si="33"/>
        <v>161315000</v>
      </c>
      <c r="BK18" s="13"/>
      <c r="BL18" s="13"/>
      <c r="BM18" s="16" t="s">
        <v>35</v>
      </c>
      <c r="BN18" s="16">
        <v>44488</v>
      </c>
      <c r="BO18" s="15">
        <v>21203085.422812197</v>
      </c>
      <c r="BP18" s="14">
        <v>20000000</v>
      </c>
      <c r="BR18" s="1">
        <v>5</v>
      </c>
      <c r="BS18" s="1">
        <v>30</v>
      </c>
      <c r="BU18" s="40">
        <v>150</v>
      </c>
      <c r="BV18" s="39">
        <f t="shared" si="34"/>
        <v>132668500.00000003</v>
      </c>
      <c r="BW18" s="40">
        <v>300</v>
      </c>
      <c r="BX18" s="39">
        <f t="shared" si="30"/>
        <v>257798500.00000006</v>
      </c>
      <c r="BZ18" s="13"/>
      <c r="CA18" s="13"/>
      <c r="CB18" s="16" t="s">
        <v>37</v>
      </c>
      <c r="CC18" s="16">
        <v>44999</v>
      </c>
      <c r="CD18" s="15">
        <v>9041554.6315546297</v>
      </c>
      <c r="CE18" s="14">
        <v>3000000</v>
      </c>
      <c r="CG18" s="1">
        <v>6</v>
      </c>
      <c r="CH18" s="1">
        <v>50</v>
      </c>
      <c r="CJ18" s="40">
        <v>200</v>
      </c>
      <c r="CK18" s="39">
        <f t="shared" si="35"/>
        <v>140797500</v>
      </c>
      <c r="CL18" s="40"/>
      <c r="CM18" s="39"/>
      <c r="CO18" s="13"/>
      <c r="CP18" s="13"/>
      <c r="CQ18" s="16" t="s">
        <v>115</v>
      </c>
      <c r="CR18" s="16">
        <v>45216</v>
      </c>
      <c r="CS18" s="15">
        <v>26420194.848694846</v>
      </c>
      <c r="CT18" s="14">
        <v>30000000</v>
      </c>
      <c r="CV18" s="1">
        <v>6</v>
      </c>
      <c r="CW18" s="1">
        <v>50</v>
      </c>
      <c r="CY18" s="40">
        <v>70</v>
      </c>
      <c r="CZ18" s="39">
        <f t="shared" si="36"/>
        <v>54297200</v>
      </c>
      <c r="DA18" s="40"/>
      <c r="DB18" s="39"/>
      <c r="DD18" s="13"/>
      <c r="DE18" s="13"/>
      <c r="DF18" s="16" t="s">
        <v>127</v>
      </c>
      <c r="DG18" s="16">
        <v>44586</v>
      </c>
      <c r="DH18" s="15">
        <v>46351200.835791551</v>
      </c>
      <c r="DI18" s="14">
        <v>50000000</v>
      </c>
      <c r="DK18" s="1">
        <v>6</v>
      </c>
      <c r="DL18" s="1">
        <v>50</v>
      </c>
      <c r="DO18" s="40">
        <v>200</v>
      </c>
      <c r="DP18" s="39">
        <f t="shared" si="37"/>
        <v>180627500</v>
      </c>
      <c r="DQ18" s="40"/>
      <c r="DR18" s="39"/>
      <c r="DT18" s="13"/>
      <c r="DU18" s="13"/>
      <c r="DV18" s="16" t="s">
        <v>126</v>
      </c>
      <c r="DW18" s="16">
        <v>44936</v>
      </c>
      <c r="DX18" s="15">
        <v>9252797.0662970655</v>
      </c>
      <c r="DY18" s="14">
        <v>3000000</v>
      </c>
      <c r="EA18" s="1">
        <v>6</v>
      </c>
      <c r="EB18" s="1">
        <v>50</v>
      </c>
      <c r="EE18" s="40">
        <v>200</v>
      </c>
      <c r="EF18" s="39">
        <f t="shared" si="38"/>
        <v>158186200</v>
      </c>
      <c r="EG18" s="40"/>
      <c r="EH18" s="39"/>
      <c r="EJ18" s="13"/>
      <c r="EK18" s="13"/>
      <c r="EL18" s="16" t="s">
        <v>127</v>
      </c>
      <c r="EM18" s="16">
        <v>44670</v>
      </c>
      <c r="EN18" s="15">
        <v>16537308</v>
      </c>
      <c r="EO18" s="14">
        <v>10000000</v>
      </c>
      <c r="EQ18" s="1">
        <v>6</v>
      </c>
      <c r="ER18" s="1">
        <v>50</v>
      </c>
      <c r="EU18" s="16" t="s">
        <v>126</v>
      </c>
      <c r="EV18" s="16">
        <v>44803</v>
      </c>
      <c r="EW18" s="15">
        <v>8684436</v>
      </c>
      <c r="EX18" s="14">
        <v>3000000</v>
      </c>
      <c r="EZ18" s="1">
        <v>6</v>
      </c>
      <c r="FA18" s="1">
        <v>50</v>
      </c>
      <c r="FD18" s="13"/>
      <c r="FE18" s="13"/>
      <c r="FF18" s="16" t="s">
        <v>83</v>
      </c>
      <c r="FG18" s="16">
        <v>43025</v>
      </c>
      <c r="FH18" s="15">
        <v>8932377</v>
      </c>
      <c r="FI18" s="14">
        <v>5000000</v>
      </c>
      <c r="FK18" s="1">
        <v>4</v>
      </c>
      <c r="FL18" s="1">
        <v>15</v>
      </c>
      <c r="FN18" s="16" t="s">
        <v>82</v>
      </c>
      <c r="FO18" s="16">
        <v>43207</v>
      </c>
      <c r="FP18" s="15">
        <v>16878696</v>
      </c>
      <c r="FQ18" s="14">
        <v>10000000</v>
      </c>
      <c r="FS18" s="1">
        <v>6</v>
      </c>
      <c r="FT18" s="1">
        <v>40</v>
      </c>
      <c r="FV18" s="16" t="s">
        <v>81</v>
      </c>
      <c r="FW18" s="16">
        <v>43389</v>
      </c>
      <c r="FX18" s="15">
        <v>9474735</v>
      </c>
      <c r="FY18" s="14">
        <v>5000000</v>
      </c>
      <c r="GA18" s="1">
        <v>4</v>
      </c>
      <c r="GB18" s="1">
        <v>15</v>
      </c>
      <c r="GD18" s="16" t="s">
        <v>79</v>
      </c>
      <c r="GE18" s="16">
        <v>43571</v>
      </c>
      <c r="GF18" s="15">
        <v>16656411</v>
      </c>
      <c r="GG18" s="14">
        <v>10000000</v>
      </c>
      <c r="GI18" s="1">
        <v>2</v>
      </c>
      <c r="GJ18" s="1">
        <v>5</v>
      </c>
      <c r="GL18" s="16" t="s">
        <v>78</v>
      </c>
      <c r="GM18" s="16">
        <v>43753</v>
      </c>
      <c r="GN18" s="15">
        <v>44637525</v>
      </c>
      <c r="GO18" s="14">
        <v>50000000</v>
      </c>
      <c r="GQ18" s="1">
        <v>4</v>
      </c>
      <c r="GR18" s="1">
        <v>15</v>
      </c>
      <c r="GT18" s="16" t="s">
        <v>77</v>
      </c>
      <c r="GU18" s="16">
        <v>43942</v>
      </c>
      <c r="GV18" s="15">
        <v>9249492</v>
      </c>
      <c r="GW18" s="14">
        <v>2000000</v>
      </c>
      <c r="HB18" s="16" t="s">
        <v>70</v>
      </c>
      <c r="HC18" s="16">
        <v>44124</v>
      </c>
      <c r="HD18" s="15">
        <v>9550860</v>
      </c>
      <c r="HE18" s="14">
        <v>2000000</v>
      </c>
      <c r="HG18" s="1">
        <v>5</v>
      </c>
      <c r="HH18" s="1">
        <v>30</v>
      </c>
      <c r="HJ18" s="16" t="s">
        <v>86</v>
      </c>
      <c r="HK18" s="16">
        <v>44306</v>
      </c>
      <c r="HL18" s="15">
        <v>8741499</v>
      </c>
      <c r="HM18" s="14">
        <v>2000000</v>
      </c>
      <c r="HO18" s="1">
        <v>4</v>
      </c>
      <c r="HP18" s="1">
        <v>20</v>
      </c>
      <c r="HR18" s="16" t="s">
        <v>69</v>
      </c>
      <c r="HS18" s="16">
        <v>44488</v>
      </c>
      <c r="HT18" s="15">
        <v>20084907</v>
      </c>
      <c r="HU18" s="14">
        <v>20000000</v>
      </c>
      <c r="HW18" s="1">
        <v>6</v>
      </c>
      <c r="HX18" s="1">
        <v>50</v>
      </c>
      <c r="HZ18" s="16" t="s">
        <v>76</v>
      </c>
      <c r="IA18" s="16">
        <v>44670</v>
      </c>
      <c r="IB18" s="15">
        <v>16537308</v>
      </c>
      <c r="IC18" s="14">
        <v>10000000</v>
      </c>
      <c r="IE18" s="1">
        <v>5</v>
      </c>
      <c r="IF18" s="1">
        <v>30</v>
      </c>
      <c r="IH18" s="16" t="s">
        <v>127</v>
      </c>
      <c r="II18" s="16">
        <v>44432</v>
      </c>
      <c r="IJ18" s="15">
        <v>9635598</v>
      </c>
      <c r="IK18" s="14">
        <v>2000000</v>
      </c>
      <c r="IM18" s="1">
        <v>6</v>
      </c>
      <c r="IN18" s="1">
        <v>50</v>
      </c>
      <c r="IP18" s="16" t="s">
        <v>126</v>
      </c>
      <c r="IQ18" s="16">
        <v>44803</v>
      </c>
      <c r="IR18" s="15">
        <v>8684436</v>
      </c>
      <c r="IS18" s="14">
        <v>3000000</v>
      </c>
      <c r="IU18" s="1">
        <v>6</v>
      </c>
      <c r="IV18" s="1">
        <v>50</v>
      </c>
    </row>
    <row r="19" spans="2:256" x14ac:dyDescent="0.25">
      <c r="B19" s="16" t="s">
        <v>135</v>
      </c>
      <c r="C19" s="16">
        <v>45258</v>
      </c>
      <c r="D19" s="15">
        <v>26490850.080850083</v>
      </c>
      <c r="E19" s="14">
        <v>30000000</v>
      </c>
      <c r="G19" s="115">
        <f>M9*1000000</f>
        <v>3000000</v>
      </c>
      <c r="H19" s="2">
        <f t="shared" ref="H19:H28" si="39">COUNTIF($E:$E,G19)</f>
        <v>11</v>
      </c>
      <c r="I19" s="39">
        <f t="shared" ref="I19:I25" si="40">_xlfn.MINIFS($D:$D,$E:$E,$G19)</f>
        <v>7897734.6962346965</v>
      </c>
      <c r="J19" s="39">
        <f t="shared" ref="J19:J25" si="41">AVERAGEIF($E:$E,$G19,$D:$D)</f>
        <v>8691246.8342468347</v>
      </c>
      <c r="K19" s="39">
        <f t="shared" ref="K19:K25" si="42">_xlfn.MAXIFS($D:$D,$E:$E,$G19)</f>
        <v>9270009.4710094687</v>
      </c>
      <c r="M19" s="40">
        <v>140</v>
      </c>
      <c r="N19" s="39">
        <f t="shared" si="28"/>
        <v>103264100</v>
      </c>
      <c r="O19" s="40">
        <v>15</v>
      </c>
      <c r="P19" s="39">
        <f>($N$6*O19^2+$O$6*O19+$P$6)*1000000</f>
        <v>17051600</v>
      </c>
      <c r="Q19" s="13"/>
      <c r="R19" s="13"/>
      <c r="S19" s="13"/>
      <c r="T19" s="16" t="s">
        <v>33</v>
      </c>
      <c r="U19" s="16">
        <v>43396</v>
      </c>
      <c r="V19" s="15">
        <v>13018879.178957719</v>
      </c>
      <c r="W19" s="14">
        <v>10000000</v>
      </c>
      <c r="Y19" s="1">
        <v>3</v>
      </c>
      <c r="Z19" s="1">
        <v>10</v>
      </c>
      <c r="AB19" s="40"/>
      <c r="AC19" s="39"/>
      <c r="AD19" s="40"/>
      <c r="AE19" s="39"/>
      <c r="AG19" s="13"/>
      <c r="AH19" s="13"/>
      <c r="AI19" s="16" t="s">
        <v>39</v>
      </c>
      <c r="AJ19" s="16">
        <v>43760</v>
      </c>
      <c r="AK19" s="15">
        <v>8878678.5889872182</v>
      </c>
      <c r="AL19" s="14">
        <v>2000000</v>
      </c>
      <c r="AN19" s="1">
        <v>4</v>
      </c>
      <c r="AO19" s="1">
        <v>15</v>
      </c>
      <c r="AQ19" s="40"/>
      <c r="AR19" s="39"/>
      <c r="AS19" s="40"/>
      <c r="AT19" s="39"/>
      <c r="AV19" s="13"/>
      <c r="AW19" s="13"/>
      <c r="AX19" s="16" t="s">
        <v>38</v>
      </c>
      <c r="AY19" s="16">
        <v>44264</v>
      </c>
      <c r="AZ19" s="15">
        <v>30617725.417895779</v>
      </c>
      <c r="BA19" s="14">
        <v>30000000</v>
      </c>
      <c r="BC19" s="1">
        <v>3</v>
      </c>
      <c r="BD19" s="1">
        <v>10</v>
      </c>
      <c r="BF19" s="40"/>
      <c r="BG19" s="39"/>
      <c r="BH19" s="40"/>
      <c r="BI19" s="39"/>
      <c r="BK19" s="13"/>
      <c r="BL19" s="13"/>
      <c r="BM19" s="16" t="s">
        <v>35</v>
      </c>
      <c r="BN19" s="16">
        <v>44495</v>
      </c>
      <c r="BO19" s="15">
        <v>33086930.063913479</v>
      </c>
      <c r="BP19" s="14">
        <v>30000000</v>
      </c>
      <c r="BR19" s="1">
        <v>6</v>
      </c>
      <c r="BS19" s="1">
        <v>50</v>
      </c>
      <c r="BU19" s="40">
        <v>160</v>
      </c>
      <c r="BV19" s="39">
        <f t="shared" si="34"/>
        <v>141010500</v>
      </c>
      <c r="BW19" s="40">
        <v>310</v>
      </c>
      <c r="BX19" s="39">
        <f t="shared" si="30"/>
        <v>266140500.00000003</v>
      </c>
      <c r="BZ19" s="13"/>
      <c r="CA19" s="13"/>
      <c r="CB19" s="16" t="s">
        <v>37</v>
      </c>
      <c r="CC19" s="16">
        <v>44992</v>
      </c>
      <c r="CD19" s="15">
        <v>21058703.164703164</v>
      </c>
      <c r="CE19" s="14">
        <v>20000000</v>
      </c>
      <c r="CJ19" s="40"/>
      <c r="CK19" s="39"/>
      <c r="CL19" s="40"/>
      <c r="CM19" s="39"/>
      <c r="CO19" s="13"/>
      <c r="CP19" s="13"/>
      <c r="CQ19" s="16" t="s">
        <v>115</v>
      </c>
      <c r="CR19" s="16">
        <v>45223</v>
      </c>
      <c r="CS19" s="15">
        <v>8433054.6315546315</v>
      </c>
      <c r="CT19" s="14">
        <v>3000000</v>
      </c>
      <c r="CY19" s="40">
        <v>90</v>
      </c>
      <c r="CZ19" s="39">
        <f t="shared" si="36"/>
        <v>67923200</v>
      </c>
      <c r="DA19" s="40"/>
      <c r="DB19" s="39"/>
      <c r="DD19" s="13"/>
      <c r="DE19" s="13"/>
      <c r="DF19" s="16" t="s">
        <v>127</v>
      </c>
      <c r="DG19" s="16">
        <v>44579</v>
      </c>
      <c r="DH19" s="15">
        <v>32041685.594886929</v>
      </c>
      <c r="DI19" s="14">
        <v>30000000</v>
      </c>
      <c r="DN19"/>
      <c r="DO19" s="40"/>
      <c r="DP19" s="39"/>
      <c r="DQ19" s="40"/>
      <c r="DR19" s="39"/>
      <c r="DT19" s="13"/>
      <c r="DU19" s="13"/>
      <c r="DV19" s="16" t="s">
        <v>126</v>
      </c>
      <c r="DW19" s="16">
        <v>44929</v>
      </c>
      <c r="DX19" s="15">
        <v>20789274.65927466</v>
      </c>
      <c r="DY19" s="14">
        <v>20000000</v>
      </c>
      <c r="ED19"/>
      <c r="EE19" s="40"/>
      <c r="EF19" s="39"/>
      <c r="EG19" s="40"/>
      <c r="EH19" s="39"/>
      <c r="EJ19" s="13"/>
      <c r="EK19" s="13"/>
      <c r="EL19" s="16" t="s">
        <v>127</v>
      </c>
      <c r="EM19" s="16">
        <v>44677</v>
      </c>
      <c r="EN19" s="15">
        <v>20714265</v>
      </c>
      <c r="EO19" s="14">
        <v>20000000</v>
      </c>
      <c r="EU19" s="16" t="s">
        <v>126</v>
      </c>
      <c r="EV19" s="16">
        <v>44810</v>
      </c>
      <c r="EW19" s="15">
        <v>9908263</v>
      </c>
      <c r="EX19" s="14">
        <v>5000000</v>
      </c>
      <c r="FD19" s="13"/>
      <c r="FE19" s="13"/>
      <c r="FF19" s="16" t="s">
        <v>83</v>
      </c>
      <c r="FG19" s="16">
        <v>43032</v>
      </c>
      <c r="FH19" s="15">
        <v>12728970</v>
      </c>
      <c r="FI19" s="14">
        <v>10000000</v>
      </c>
      <c r="FK19" s="1">
        <v>5</v>
      </c>
      <c r="FL19" s="1">
        <v>30</v>
      </c>
      <c r="FN19" s="16" t="s">
        <v>82</v>
      </c>
      <c r="FO19" s="46">
        <v>43214</v>
      </c>
      <c r="FP19" s="45">
        <v>7827129</v>
      </c>
      <c r="FQ19" s="44">
        <v>2000000</v>
      </c>
      <c r="FV19" s="16" t="s">
        <v>81</v>
      </c>
      <c r="FW19" s="16">
        <v>43396</v>
      </c>
      <c r="FX19" s="15">
        <v>14095305</v>
      </c>
      <c r="FY19" s="14">
        <v>10000000</v>
      </c>
      <c r="GA19" s="1">
        <v>5</v>
      </c>
      <c r="GB19" s="1">
        <v>30</v>
      </c>
      <c r="GD19" s="16" t="s">
        <v>79</v>
      </c>
      <c r="GE19" s="16">
        <v>43578</v>
      </c>
      <c r="GF19" s="15">
        <v>18610344</v>
      </c>
      <c r="GG19" s="14">
        <v>15000000</v>
      </c>
      <c r="GI19" s="1">
        <v>3</v>
      </c>
      <c r="GJ19" s="1">
        <v>10</v>
      </c>
      <c r="GL19" s="16" t="s">
        <v>78</v>
      </c>
      <c r="GM19" s="16">
        <v>43760</v>
      </c>
      <c r="GN19" s="15">
        <v>8591076</v>
      </c>
      <c r="GO19" s="14">
        <v>2000000</v>
      </c>
      <c r="GQ19" s="1">
        <v>5</v>
      </c>
      <c r="GR19" s="1">
        <v>25</v>
      </c>
      <c r="GT19" s="16" t="s">
        <v>77</v>
      </c>
      <c r="GU19" s="16">
        <v>43949</v>
      </c>
      <c r="GV19" s="15">
        <v>7875240</v>
      </c>
      <c r="GW19" s="14">
        <v>2000000</v>
      </c>
      <c r="GY19" s="55" t="s">
        <v>157</v>
      </c>
      <c r="GZ19" s="54"/>
      <c r="HB19" s="16" t="s">
        <v>70</v>
      </c>
      <c r="HC19" s="16">
        <v>44131</v>
      </c>
      <c r="HD19" s="15">
        <v>11030556</v>
      </c>
      <c r="HE19" s="14">
        <v>5000000</v>
      </c>
      <c r="HG19" s="1">
        <v>6</v>
      </c>
      <c r="HH19" s="1">
        <v>50</v>
      </c>
      <c r="HJ19" s="16" t="s">
        <v>86</v>
      </c>
      <c r="HK19" s="16">
        <v>44313</v>
      </c>
      <c r="HL19" s="15">
        <v>11799810</v>
      </c>
      <c r="HM19" s="14">
        <v>5000000</v>
      </c>
      <c r="HO19" s="1">
        <v>5</v>
      </c>
      <c r="HP19" s="1">
        <v>30</v>
      </c>
      <c r="HR19" s="16" t="s">
        <v>69</v>
      </c>
      <c r="HS19" s="16">
        <v>44495</v>
      </c>
      <c r="HT19" s="15">
        <v>32206704</v>
      </c>
      <c r="HU19" s="14">
        <v>30000000</v>
      </c>
      <c r="HZ19" s="16" t="s">
        <v>76</v>
      </c>
      <c r="IA19" s="16">
        <v>44677</v>
      </c>
      <c r="IB19" s="15">
        <v>20714265</v>
      </c>
      <c r="IC19" s="14">
        <v>20000000</v>
      </c>
      <c r="IE19" s="1">
        <v>6</v>
      </c>
      <c r="IF19" s="1">
        <v>50</v>
      </c>
      <c r="IH19" s="16" t="s">
        <v>127</v>
      </c>
      <c r="II19" s="16">
        <v>44439</v>
      </c>
      <c r="IJ19" s="15">
        <v>10673769</v>
      </c>
      <c r="IK19" s="14">
        <v>5000000</v>
      </c>
      <c r="IP19" s="16" t="s">
        <v>126</v>
      </c>
      <c r="IQ19" s="16">
        <v>44810</v>
      </c>
      <c r="IR19" s="15">
        <v>9908263</v>
      </c>
      <c r="IS19" s="14">
        <v>5000000</v>
      </c>
    </row>
    <row r="20" spans="2:256" x14ac:dyDescent="0.25">
      <c r="B20" s="16" t="s">
        <v>135</v>
      </c>
      <c r="C20" s="16">
        <v>45251</v>
      </c>
      <c r="D20" s="15">
        <v>19880151.651651651</v>
      </c>
      <c r="E20" s="14">
        <v>20000000</v>
      </c>
      <c r="G20" s="115">
        <f t="shared" ref="G20:G28" si="43">M10*1000000</f>
        <v>5000000</v>
      </c>
      <c r="H20" s="2">
        <f t="shared" si="39"/>
        <v>10</v>
      </c>
      <c r="I20" s="39">
        <f t="shared" si="40"/>
        <v>9208195.4261954259</v>
      </c>
      <c r="J20" s="39">
        <f t="shared" si="41"/>
        <v>9684060.5451605432</v>
      </c>
      <c r="K20" s="39">
        <f t="shared" si="42"/>
        <v>10458440.863940863</v>
      </c>
      <c r="M20" s="40">
        <v>150</v>
      </c>
      <c r="N20" s="39">
        <f t="shared" si="28"/>
        <v>110161100</v>
      </c>
      <c r="O20" s="40"/>
      <c r="P20" s="39"/>
      <c r="Q20" s="13"/>
      <c r="R20" s="13"/>
      <c r="S20" s="13"/>
      <c r="T20" s="16" t="s">
        <v>33</v>
      </c>
      <c r="U20" s="16">
        <v>43403</v>
      </c>
      <c r="V20" s="15">
        <v>15058996.435594888</v>
      </c>
      <c r="W20" s="14">
        <v>15000000</v>
      </c>
      <c r="Y20" s="1">
        <v>4</v>
      </c>
      <c r="Z20" s="1">
        <v>15</v>
      </c>
      <c r="AB20" s="40"/>
      <c r="AC20" s="39"/>
      <c r="AD20" s="40"/>
      <c r="AE20" s="39"/>
      <c r="AG20" s="13"/>
      <c r="AH20" s="13"/>
      <c r="AI20" s="16" t="s">
        <v>39</v>
      </c>
      <c r="AJ20" s="16">
        <v>43767</v>
      </c>
      <c r="AK20" s="15">
        <v>10454127.826941989</v>
      </c>
      <c r="AL20" s="14">
        <v>5000000</v>
      </c>
      <c r="AN20" s="1">
        <v>5</v>
      </c>
      <c r="AO20" s="1">
        <v>25</v>
      </c>
      <c r="AQ20" s="40"/>
      <c r="AR20" s="39"/>
      <c r="AS20" s="40"/>
      <c r="AT20" s="39"/>
      <c r="AV20" s="13"/>
      <c r="AW20" s="13"/>
      <c r="AX20" s="16" t="s">
        <v>38</v>
      </c>
      <c r="AY20" s="16">
        <v>44257</v>
      </c>
      <c r="AZ20" s="15">
        <v>25277055.678466085</v>
      </c>
      <c r="BA20" s="14">
        <v>20000000</v>
      </c>
      <c r="BC20" s="1">
        <v>4</v>
      </c>
      <c r="BD20" s="1">
        <v>20</v>
      </c>
      <c r="BF20" s="40"/>
      <c r="BG20" s="39"/>
      <c r="BH20" s="40"/>
      <c r="BI20" s="39"/>
      <c r="BK20" s="13"/>
      <c r="BL20" s="13"/>
      <c r="BM20" s="16" t="s">
        <v>35</v>
      </c>
      <c r="BN20" s="16">
        <v>44502</v>
      </c>
      <c r="BO20" s="15">
        <v>50284365.290068828</v>
      </c>
      <c r="BP20" s="14">
        <v>50000000</v>
      </c>
      <c r="BU20" s="40">
        <v>170</v>
      </c>
      <c r="BV20" s="39">
        <f t="shared" si="34"/>
        <v>149352500.00000003</v>
      </c>
      <c r="BW20" s="40">
        <v>320</v>
      </c>
      <c r="BX20" s="39">
        <f t="shared" si="30"/>
        <v>274482500</v>
      </c>
      <c r="BZ20" s="13"/>
      <c r="CA20" s="13"/>
      <c r="CB20" s="16" t="s">
        <v>37</v>
      </c>
      <c r="CC20" s="16">
        <v>44985</v>
      </c>
      <c r="CD20" s="15">
        <v>13098005.775005775</v>
      </c>
      <c r="CE20" s="14">
        <v>10000000</v>
      </c>
      <c r="CJ20" s="40"/>
      <c r="CK20" s="39"/>
      <c r="CL20" s="40"/>
      <c r="CM20" s="39"/>
      <c r="CO20" s="13"/>
      <c r="CP20" s="13"/>
      <c r="CQ20" s="16" t="s">
        <v>115</v>
      </c>
      <c r="CR20" s="16">
        <v>45230</v>
      </c>
      <c r="CS20" s="15">
        <v>9287015.7080157064</v>
      </c>
      <c r="CT20" s="14">
        <v>5000000</v>
      </c>
      <c r="CY20" s="40">
        <v>120</v>
      </c>
      <c r="CZ20" s="39">
        <f t="shared" si="36"/>
        <v>88362200</v>
      </c>
      <c r="DA20" s="40"/>
      <c r="DB20" s="39"/>
      <c r="DD20" s="13"/>
      <c r="DE20" s="13"/>
      <c r="DF20" s="16" t="s">
        <v>127</v>
      </c>
      <c r="DG20" s="16">
        <v>44572</v>
      </c>
      <c r="DH20" s="15">
        <v>24718907.694198627</v>
      </c>
      <c r="DI20" s="14">
        <v>20000000</v>
      </c>
      <c r="DN20"/>
      <c r="DO20" s="40"/>
      <c r="DP20" s="39"/>
      <c r="DQ20" s="40"/>
      <c r="DR20" s="39"/>
      <c r="DT20" s="13"/>
      <c r="DU20" s="13"/>
      <c r="DV20" s="16" t="s">
        <v>126</v>
      </c>
      <c r="DW20" s="16">
        <v>44922</v>
      </c>
      <c r="DX20" s="15">
        <v>11083673.814386204</v>
      </c>
      <c r="DY20" s="14">
        <v>10000000</v>
      </c>
      <c r="ED20"/>
      <c r="EE20" s="40"/>
      <c r="EF20" s="39"/>
      <c r="EG20" s="40"/>
      <c r="EH20" s="39"/>
      <c r="EJ20" s="13"/>
      <c r="EK20" s="13"/>
      <c r="EL20" s="16" t="s">
        <v>127</v>
      </c>
      <c r="EM20" s="16">
        <v>44684</v>
      </c>
      <c r="EN20" s="15">
        <v>7781019</v>
      </c>
      <c r="EO20" s="14">
        <v>2000000</v>
      </c>
      <c r="EU20" s="16" t="s">
        <v>126</v>
      </c>
      <c r="EV20" s="16">
        <v>44817</v>
      </c>
      <c r="EW20" s="15">
        <v>16145897</v>
      </c>
      <c r="EX20" s="14">
        <v>10000000</v>
      </c>
      <c r="FD20" s="13"/>
      <c r="FE20" s="13"/>
      <c r="FF20" s="16" t="s">
        <v>83</v>
      </c>
      <c r="FG20" s="16">
        <v>43039</v>
      </c>
      <c r="FH20" s="15">
        <v>16903404</v>
      </c>
      <c r="FI20" s="14">
        <v>15000000</v>
      </c>
      <c r="FK20" s="1">
        <v>6</v>
      </c>
      <c r="FL20" s="1">
        <v>40</v>
      </c>
      <c r="FN20" s="16" t="s">
        <v>82</v>
      </c>
      <c r="FO20" s="46">
        <v>43221</v>
      </c>
      <c r="FP20" s="45">
        <v>12963348</v>
      </c>
      <c r="FQ20" s="44">
        <v>5000000</v>
      </c>
      <c r="FS20" s="1" t="s">
        <v>158</v>
      </c>
      <c r="FV20" s="16" t="s">
        <v>81</v>
      </c>
      <c r="FW20" s="16">
        <v>43403</v>
      </c>
      <c r="FX20" s="15">
        <v>15270936</v>
      </c>
      <c r="FY20" s="14">
        <v>15000000</v>
      </c>
      <c r="GA20" s="1">
        <v>6</v>
      </c>
      <c r="GB20" s="1">
        <v>40</v>
      </c>
      <c r="GD20" s="16" t="s">
        <v>79</v>
      </c>
      <c r="GE20" s="16">
        <v>43585</v>
      </c>
      <c r="GF20" s="15">
        <v>6663504</v>
      </c>
      <c r="GG20" s="14">
        <v>2000000</v>
      </c>
      <c r="GI20" s="1">
        <v>4</v>
      </c>
      <c r="GJ20" s="1">
        <v>15</v>
      </c>
      <c r="GL20" s="16" t="s">
        <v>78</v>
      </c>
      <c r="GM20" s="16">
        <v>43767</v>
      </c>
      <c r="GN20" s="15">
        <v>10268610</v>
      </c>
      <c r="GO20" s="14">
        <v>5000000</v>
      </c>
      <c r="GQ20" s="1">
        <v>6</v>
      </c>
      <c r="GR20" s="1">
        <v>40</v>
      </c>
      <c r="GT20" s="16" t="s">
        <v>77</v>
      </c>
      <c r="GU20" s="16">
        <v>43956</v>
      </c>
      <c r="GV20" s="15">
        <v>11024553</v>
      </c>
      <c r="GW20" s="14">
        <v>5000000</v>
      </c>
      <c r="GY20" s="52" t="s">
        <v>42</v>
      </c>
      <c r="GZ20" s="52" t="s">
        <v>41</v>
      </c>
      <c r="HB20" s="16" t="s">
        <v>70</v>
      </c>
      <c r="HC20" s="16">
        <v>44138</v>
      </c>
      <c r="HD20" s="15">
        <v>15904905</v>
      </c>
      <c r="HE20" s="14">
        <v>10000000</v>
      </c>
      <c r="HJ20" s="16" t="s">
        <v>86</v>
      </c>
      <c r="HK20" s="16">
        <v>44320</v>
      </c>
      <c r="HL20" s="15">
        <v>18043191</v>
      </c>
      <c r="HM20" s="14">
        <v>15000000</v>
      </c>
      <c r="HR20" s="16" t="s">
        <v>69</v>
      </c>
      <c r="HS20" s="16">
        <v>44502</v>
      </c>
      <c r="HT20" s="15">
        <v>52526337</v>
      </c>
      <c r="HU20" s="14">
        <v>50000000</v>
      </c>
      <c r="HZ20" s="16" t="s">
        <v>76</v>
      </c>
      <c r="IA20" s="16">
        <v>44684</v>
      </c>
      <c r="IB20" s="15">
        <v>7781019</v>
      </c>
      <c r="IC20" s="14">
        <v>2000000</v>
      </c>
      <c r="IH20" s="16" t="s">
        <v>127</v>
      </c>
      <c r="II20" s="16">
        <v>44446</v>
      </c>
      <c r="IJ20" s="15">
        <v>18885351</v>
      </c>
      <c r="IK20" s="14">
        <v>10000000</v>
      </c>
      <c r="IM20"/>
      <c r="IN20"/>
      <c r="IP20" s="16" t="s">
        <v>126</v>
      </c>
      <c r="IQ20" s="16">
        <v>44817</v>
      </c>
      <c r="IR20" s="15">
        <v>16145897</v>
      </c>
      <c r="IS20" s="14">
        <v>10000000</v>
      </c>
    </row>
    <row r="21" spans="2:256" x14ac:dyDescent="0.25">
      <c r="B21" s="16" t="s">
        <v>135</v>
      </c>
      <c r="C21" s="16">
        <v>45244</v>
      </c>
      <c r="D21" s="15">
        <v>17853845.345345344</v>
      </c>
      <c r="E21" s="14">
        <v>15000000</v>
      </c>
      <c r="G21" s="115">
        <f t="shared" si="43"/>
        <v>10000000</v>
      </c>
      <c r="H21" s="2">
        <f t="shared" si="39"/>
        <v>10</v>
      </c>
      <c r="I21" s="39">
        <f t="shared" si="40"/>
        <v>12154527.258027257</v>
      </c>
      <c r="J21" s="39">
        <f t="shared" si="41"/>
        <v>14364972.638022641</v>
      </c>
      <c r="K21" s="39">
        <f t="shared" si="42"/>
        <v>18082208.708708707</v>
      </c>
      <c r="M21" s="40">
        <v>200</v>
      </c>
      <c r="N21" s="39">
        <f>($N$6*M21^2+$O$6*M21+$P$6)*1000000</f>
        <v>144646100</v>
      </c>
      <c r="O21" s="40"/>
      <c r="P21" s="39"/>
      <c r="Q21" s="13"/>
      <c r="R21" s="13"/>
      <c r="S21" s="13"/>
      <c r="T21" s="16" t="s">
        <v>33</v>
      </c>
      <c r="U21" s="16">
        <v>43410</v>
      </c>
      <c r="V21" s="15">
        <v>7154530.2359882016</v>
      </c>
      <c r="W21" s="14">
        <v>2000000</v>
      </c>
      <c r="Y21" s="1">
        <v>5</v>
      </c>
      <c r="Z21" s="1">
        <v>30</v>
      </c>
      <c r="AB21" s="40"/>
      <c r="AC21" s="39"/>
      <c r="AD21" s="40"/>
      <c r="AE21" s="39"/>
      <c r="AG21" s="13"/>
      <c r="AH21" s="13"/>
      <c r="AI21" s="16" t="s">
        <v>39</v>
      </c>
      <c r="AJ21" s="16">
        <v>43774</v>
      </c>
      <c r="AK21" s="15">
        <v>13989049.901671585</v>
      </c>
      <c r="AL21" s="14">
        <v>10000000</v>
      </c>
      <c r="AN21" s="1">
        <v>6</v>
      </c>
      <c r="AO21" s="1">
        <v>40</v>
      </c>
      <c r="AQ21" s="40"/>
      <c r="AR21" s="39"/>
      <c r="AS21" s="40"/>
      <c r="AT21" s="39"/>
      <c r="AV21" s="13"/>
      <c r="AW21" s="13"/>
      <c r="AX21" s="16" t="s">
        <v>38</v>
      </c>
      <c r="AY21" s="16">
        <v>44250</v>
      </c>
      <c r="AZ21" s="15">
        <v>19346708.579154383</v>
      </c>
      <c r="BA21" s="14">
        <v>10000000</v>
      </c>
      <c r="BC21" s="1">
        <v>5</v>
      </c>
      <c r="BD21" s="1">
        <v>30</v>
      </c>
      <c r="BF21" s="40"/>
      <c r="BG21" s="39"/>
      <c r="BH21" s="40"/>
      <c r="BI21" s="39"/>
      <c r="BK21" s="13"/>
      <c r="BL21" s="13"/>
      <c r="BM21" s="16" t="s">
        <v>35</v>
      </c>
      <c r="BN21" s="16">
        <v>44509</v>
      </c>
      <c r="BO21" s="15">
        <v>9624065.1425762083</v>
      </c>
      <c r="BP21" s="14">
        <v>2000000</v>
      </c>
      <c r="BR21" s="1" t="s">
        <v>159</v>
      </c>
      <c r="BU21" s="40">
        <v>180</v>
      </c>
      <c r="BV21" s="39">
        <f t="shared" si="34"/>
        <v>157694500</v>
      </c>
      <c r="BW21" s="40">
        <v>330</v>
      </c>
      <c r="BX21" s="39">
        <f t="shared" si="30"/>
        <v>282824500</v>
      </c>
      <c r="BZ21" s="13"/>
      <c r="CA21" s="13"/>
      <c r="CB21" s="16" t="s">
        <v>37</v>
      </c>
      <c r="CC21" s="16">
        <v>44978</v>
      </c>
      <c r="CD21" s="15">
        <v>9720888.0803880803</v>
      </c>
      <c r="CE21" s="14">
        <v>5000000</v>
      </c>
      <c r="CJ21" s="40"/>
      <c r="CK21" s="39"/>
      <c r="CL21" s="40"/>
      <c r="CM21" s="39"/>
      <c r="CO21" s="13"/>
      <c r="CP21" s="13"/>
      <c r="CQ21" s="16" t="s">
        <v>115</v>
      </c>
      <c r="CR21" s="16">
        <v>45237</v>
      </c>
      <c r="CS21" s="15">
        <v>14501044.583044585</v>
      </c>
      <c r="CT21" s="14">
        <v>10000000</v>
      </c>
      <c r="CY21" s="40">
        <v>150</v>
      </c>
      <c r="CZ21" s="39">
        <f t="shared" si="36"/>
        <v>108801200.00000001</v>
      </c>
      <c r="DA21" s="40"/>
      <c r="DB21" s="39"/>
      <c r="DD21" s="13"/>
      <c r="DE21" s="13"/>
      <c r="DF21" s="16" t="s">
        <v>127</v>
      </c>
      <c r="DG21" s="16">
        <v>44565</v>
      </c>
      <c r="DH21" s="15">
        <v>14668907.325467061</v>
      </c>
      <c r="DI21" s="14">
        <v>10000000</v>
      </c>
      <c r="DK21"/>
      <c r="DL21"/>
      <c r="DM21"/>
      <c r="DN21"/>
      <c r="DO21" s="40"/>
      <c r="DP21" s="39"/>
      <c r="DQ21" s="40"/>
      <c r="DR21" s="39"/>
      <c r="DT21" s="13"/>
      <c r="DU21" s="13"/>
      <c r="DV21" s="16" t="s">
        <v>126</v>
      </c>
      <c r="DW21" s="16">
        <v>44915</v>
      </c>
      <c r="DX21" s="15">
        <v>9188097.4585886095</v>
      </c>
      <c r="DY21" s="14">
        <v>5000000</v>
      </c>
      <c r="EA21"/>
      <c r="EB21"/>
      <c r="EC21"/>
      <c r="ED21"/>
      <c r="EE21" s="40"/>
      <c r="EF21" s="39"/>
      <c r="EG21" s="40"/>
      <c r="EH21" s="39"/>
      <c r="EJ21" s="13"/>
      <c r="EK21" s="13"/>
      <c r="EL21" s="16" t="s">
        <v>127</v>
      </c>
      <c r="EM21" s="16">
        <v>44691</v>
      </c>
      <c r="EN21" s="15">
        <v>10780866</v>
      </c>
      <c r="EO21" s="14">
        <v>5000000</v>
      </c>
      <c r="EQ21"/>
      <c r="ER21"/>
      <c r="ES21"/>
      <c r="EU21" s="16" t="s">
        <v>126</v>
      </c>
      <c r="EV21" s="16">
        <v>44824</v>
      </c>
      <c r="EW21" s="15">
        <v>23315690</v>
      </c>
      <c r="EX21" s="14">
        <v>20000000</v>
      </c>
      <c r="EZ21"/>
      <c r="FA21"/>
      <c r="FB21"/>
      <c r="FD21" s="13"/>
      <c r="FE21" s="13"/>
      <c r="FF21" s="16" t="s">
        <v>83</v>
      </c>
      <c r="FG21" s="16">
        <v>43046</v>
      </c>
      <c r="FH21" s="15">
        <v>32051757</v>
      </c>
      <c r="FI21" s="14">
        <v>30000000</v>
      </c>
      <c r="FK21" s="1">
        <v>7</v>
      </c>
      <c r="FL21" s="1">
        <v>50</v>
      </c>
      <c r="FN21" s="16" t="s">
        <v>82</v>
      </c>
      <c r="FO21" s="46">
        <v>43228</v>
      </c>
      <c r="FP21" s="45">
        <v>12736191</v>
      </c>
      <c r="FQ21" s="44">
        <v>10000000</v>
      </c>
      <c r="FV21" s="16" t="s">
        <v>81</v>
      </c>
      <c r="FW21" s="16">
        <v>43410</v>
      </c>
      <c r="FX21" s="15">
        <v>7590402</v>
      </c>
      <c r="FY21" s="14">
        <v>2000000</v>
      </c>
      <c r="GA21" s="1">
        <v>7</v>
      </c>
      <c r="GB21" s="1">
        <v>50</v>
      </c>
      <c r="GD21" s="16" t="s">
        <v>79</v>
      </c>
      <c r="GE21" s="16">
        <v>43592</v>
      </c>
      <c r="GF21" s="15">
        <v>8969613</v>
      </c>
      <c r="GG21" s="14">
        <v>5000000</v>
      </c>
      <c r="GI21" s="1">
        <v>5</v>
      </c>
      <c r="GJ21" s="1">
        <v>30</v>
      </c>
      <c r="GL21" s="16" t="s">
        <v>78</v>
      </c>
      <c r="GM21" s="16">
        <v>43774</v>
      </c>
      <c r="GN21" s="15">
        <v>13301169</v>
      </c>
      <c r="GO21" s="14">
        <v>10000000</v>
      </c>
      <c r="GQ21" s="1">
        <v>7</v>
      </c>
      <c r="GR21" s="1">
        <v>50</v>
      </c>
      <c r="GT21" s="16" t="s">
        <v>77</v>
      </c>
      <c r="GU21" s="16">
        <v>43963</v>
      </c>
      <c r="GV21" s="15">
        <v>19766226</v>
      </c>
      <c r="GW21" s="14">
        <v>10000000</v>
      </c>
      <c r="GY21" s="1">
        <v>1</v>
      </c>
      <c r="GZ21" s="1">
        <v>2</v>
      </c>
      <c r="HB21" s="16" t="s">
        <v>70</v>
      </c>
      <c r="HC21" s="16">
        <v>44145</v>
      </c>
      <c r="HD21" s="15">
        <v>25988379</v>
      </c>
      <c r="HE21" s="14">
        <v>20000000</v>
      </c>
      <c r="HJ21" s="16" t="s">
        <v>86</v>
      </c>
      <c r="HK21" s="16">
        <v>44327</v>
      </c>
      <c r="HL21" s="15">
        <v>8611695</v>
      </c>
      <c r="HM21" s="14">
        <v>2000000</v>
      </c>
      <c r="HO21" s="55" t="s">
        <v>160</v>
      </c>
      <c r="HP21" s="54"/>
      <c r="HR21" s="16" t="s">
        <v>69</v>
      </c>
      <c r="HS21" s="16">
        <v>44509</v>
      </c>
      <c r="HT21" s="15">
        <v>9696150</v>
      </c>
      <c r="HU21" s="14">
        <v>2000000</v>
      </c>
      <c r="HZ21" s="16" t="s">
        <v>76</v>
      </c>
      <c r="IA21" s="16">
        <v>44691</v>
      </c>
      <c r="IB21" s="15">
        <v>10780866</v>
      </c>
      <c r="IC21" s="14">
        <v>5000000</v>
      </c>
      <c r="IH21" s="16" t="s">
        <v>127</v>
      </c>
      <c r="II21" s="16">
        <v>44453</v>
      </c>
      <c r="IJ21" s="15">
        <v>25314216</v>
      </c>
      <c r="IK21" s="14">
        <v>20000000</v>
      </c>
      <c r="IM21"/>
      <c r="IN21"/>
      <c r="IP21" s="16" t="s">
        <v>126</v>
      </c>
      <c r="IQ21" s="16">
        <v>44824</v>
      </c>
      <c r="IR21" s="15">
        <v>23315690</v>
      </c>
      <c r="IS21" s="14">
        <v>20000000</v>
      </c>
    </row>
    <row r="22" spans="2:256" x14ac:dyDescent="0.25">
      <c r="B22" s="16" t="s">
        <v>135</v>
      </c>
      <c r="C22" s="16">
        <v>45237</v>
      </c>
      <c r="D22" s="15">
        <v>14501044.583044585</v>
      </c>
      <c r="E22" s="14">
        <v>10000000</v>
      </c>
      <c r="G22" s="115">
        <f t="shared" si="43"/>
        <v>15000000</v>
      </c>
      <c r="H22" s="2">
        <f t="shared" si="39"/>
        <v>3</v>
      </c>
      <c r="I22" s="39">
        <f t="shared" si="40"/>
        <v>14203781.011781011</v>
      </c>
      <c r="J22" s="39">
        <f t="shared" si="41"/>
        <v>15595799.222299224</v>
      </c>
      <c r="K22" s="39">
        <f t="shared" si="42"/>
        <v>17853845.345345344</v>
      </c>
      <c r="M22" s="40"/>
      <c r="N22" s="39"/>
      <c r="O22" s="40"/>
      <c r="P22" s="39"/>
      <c r="Q22" s="13"/>
      <c r="R22" s="13"/>
      <c r="S22" s="13"/>
      <c r="T22" s="16" t="s">
        <v>33</v>
      </c>
      <c r="U22" s="16">
        <v>43417</v>
      </c>
      <c r="V22" s="15">
        <v>10972583.579154378</v>
      </c>
      <c r="W22" s="14">
        <v>5000000</v>
      </c>
      <c r="Y22" s="1">
        <v>6</v>
      </c>
      <c r="Z22" s="1">
        <v>40</v>
      </c>
      <c r="AB22" s="40"/>
      <c r="AC22" s="39"/>
      <c r="AD22" s="40"/>
      <c r="AE22" s="39"/>
      <c r="AG22" s="13"/>
      <c r="AH22" s="13"/>
      <c r="AI22" s="16" t="s">
        <v>39</v>
      </c>
      <c r="AJ22" s="16">
        <v>43781</v>
      </c>
      <c r="AK22" s="15">
        <v>7936859.1445427751</v>
      </c>
      <c r="AL22" s="14">
        <v>2000000</v>
      </c>
      <c r="AN22" s="1">
        <v>7</v>
      </c>
      <c r="AO22" s="1">
        <v>50</v>
      </c>
      <c r="AQ22" s="40"/>
      <c r="AR22" s="39"/>
      <c r="AS22" s="40"/>
      <c r="AT22" s="39"/>
      <c r="AV22" s="13"/>
      <c r="AW22" s="13"/>
      <c r="AX22" s="16" t="s">
        <v>38</v>
      </c>
      <c r="AY22" s="16">
        <v>44243</v>
      </c>
      <c r="AZ22" s="15">
        <v>10839589.724680433</v>
      </c>
      <c r="BA22" s="14">
        <v>5000000</v>
      </c>
      <c r="BC22" s="1">
        <v>6</v>
      </c>
      <c r="BD22" s="1">
        <v>50</v>
      </c>
      <c r="BF22" s="40"/>
      <c r="BG22" s="39"/>
      <c r="BH22" s="40"/>
      <c r="BI22" s="39"/>
      <c r="BK22" s="13"/>
      <c r="BL22" s="13"/>
      <c r="BM22" s="16" t="s">
        <v>35</v>
      </c>
      <c r="BN22" s="16">
        <v>44516</v>
      </c>
      <c r="BO22" s="15">
        <v>11567999.016715834</v>
      </c>
      <c r="BP22" s="14">
        <v>5000000</v>
      </c>
      <c r="BU22" s="40">
        <v>190</v>
      </c>
      <c r="BV22" s="39">
        <f t="shared" si="34"/>
        <v>166036500.00000003</v>
      </c>
      <c r="BW22" s="40">
        <v>340</v>
      </c>
      <c r="BX22" s="39">
        <f t="shared" si="30"/>
        <v>291166500.00000006</v>
      </c>
      <c r="BZ22" s="13"/>
      <c r="CA22" s="13"/>
      <c r="CB22" s="16" t="s">
        <v>37</v>
      </c>
      <c r="CC22" s="16">
        <v>44971</v>
      </c>
      <c r="CD22" s="15">
        <v>9272705.128205128</v>
      </c>
      <c r="CE22" s="14">
        <v>3000000</v>
      </c>
      <c r="CJ22" s="40"/>
      <c r="CK22" s="39"/>
      <c r="CL22" s="40"/>
      <c r="CM22" s="39"/>
      <c r="CO22" s="13"/>
      <c r="CP22" s="13"/>
      <c r="CQ22" s="16" t="s">
        <v>115</v>
      </c>
      <c r="CR22" s="16">
        <v>45244</v>
      </c>
      <c r="CS22" s="15">
        <v>17853845.345345344</v>
      </c>
      <c r="CT22" s="14">
        <v>15000000</v>
      </c>
      <c r="CY22" s="40">
        <v>200</v>
      </c>
      <c r="CZ22" s="39">
        <f t="shared" si="36"/>
        <v>142866200</v>
      </c>
      <c r="DA22" s="40"/>
      <c r="DB22" s="39"/>
      <c r="DD22" s="13"/>
      <c r="DE22" s="13"/>
      <c r="DF22" s="16" t="s">
        <v>127</v>
      </c>
      <c r="DG22" s="16">
        <v>44558</v>
      </c>
      <c r="DH22" s="15">
        <v>9661544.6165191736</v>
      </c>
      <c r="DI22" s="14">
        <v>5000000</v>
      </c>
      <c r="DK22"/>
      <c r="DL22"/>
      <c r="DM22"/>
      <c r="DN22"/>
      <c r="DO22" s="40"/>
      <c r="DP22" s="39"/>
      <c r="DQ22" s="40"/>
      <c r="DR22" s="39"/>
      <c r="DT22" s="13"/>
      <c r="DU22" s="13"/>
      <c r="DV22" s="16" t="s">
        <v>126</v>
      </c>
      <c r="DW22" s="16">
        <v>44908</v>
      </c>
      <c r="DX22" s="15">
        <v>8375973.9051508987</v>
      </c>
      <c r="DY22" s="14">
        <v>3000000</v>
      </c>
      <c r="EA22"/>
      <c r="EB22">
        <v>13</v>
      </c>
      <c r="EC22"/>
      <c r="ED22"/>
      <c r="EE22" s="40"/>
      <c r="EF22" s="39"/>
      <c r="EG22" s="40"/>
      <c r="EH22" s="39"/>
      <c r="EJ22" s="13"/>
      <c r="EK22" s="13"/>
      <c r="EL22" s="16"/>
      <c r="EM22" s="16"/>
      <c r="EN22" s="15"/>
      <c r="EO22" s="14"/>
      <c r="EQ22"/>
      <c r="ER22"/>
      <c r="ES22"/>
      <c r="EU22" s="16" t="s">
        <v>126</v>
      </c>
      <c r="EV22" s="16">
        <v>44831</v>
      </c>
      <c r="EW22" s="15">
        <v>27022813</v>
      </c>
      <c r="EX22" s="14">
        <v>30000000</v>
      </c>
      <c r="EZ22"/>
      <c r="FA22"/>
      <c r="FB22"/>
      <c r="FD22" s="13"/>
      <c r="FE22" s="13"/>
      <c r="FF22" s="16" t="s">
        <v>83</v>
      </c>
      <c r="FG22" s="16">
        <v>43053</v>
      </c>
      <c r="FH22" s="15">
        <v>42557964</v>
      </c>
      <c r="FI22" s="14">
        <v>40000000</v>
      </c>
      <c r="FN22" s="16" t="s">
        <v>82</v>
      </c>
      <c r="FO22" s="46">
        <v>43235</v>
      </c>
      <c r="FP22" s="45">
        <v>16058895</v>
      </c>
      <c r="FQ22" s="44">
        <v>15000000</v>
      </c>
      <c r="FV22" s="16" t="s">
        <v>81</v>
      </c>
      <c r="FW22" s="16">
        <v>43417</v>
      </c>
      <c r="FX22" s="15">
        <v>11263368</v>
      </c>
      <c r="FY22" s="14">
        <v>5000000</v>
      </c>
      <c r="GA22" s="1">
        <v>8</v>
      </c>
      <c r="GB22" s="1">
        <v>70</v>
      </c>
      <c r="GD22" s="16" t="s">
        <v>79</v>
      </c>
      <c r="GE22" s="16">
        <v>43599</v>
      </c>
      <c r="GF22" s="15">
        <v>13577307</v>
      </c>
      <c r="GG22" s="14">
        <v>10000000</v>
      </c>
      <c r="GI22" s="1">
        <v>6</v>
      </c>
      <c r="GJ22" s="1">
        <v>40</v>
      </c>
      <c r="GL22" s="16" t="s">
        <v>78</v>
      </c>
      <c r="GM22" s="16">
        <v>43781</v>
      </c>
      <c r="GN22" s="15">
        <v>7113381</v>
      </c>
      <c r="GO22" s="14">
        <v>2000000</v>
      </c>
      <c r="GT22" s="16" t="s">
        <v>77</v>
      </c>
      <c r="GU22" s="16">
        <v>43970</v>
      </c>
      <c r="GV22" s="15">
        <v>23349930</v>
      </c>
      <c r="GW22" s="14">
        <v>15000000</v>
      </c>
      <c r="GY22" s="1">
        <v>2</v>
      </c>
      <c r="GZ22" s="1">
        <v>5</v>
      </c>
      <c r="HB22" s="16" t="s">
        <v>70</v>
      </c>
      <c r="HC22" s="16">
        <v>44152</v>
      </c>
      <c r="HD22" s="15">
        <v>35141562</v>
      </c>
      <c r="HE22" s="14">
        <v>30000000</v>
      </c>
      <c r="HG22" s="55" t="s">
        <v>161</v>
      </c>
      <c r="HH22" s="54"/>
      <c r="HJ22" s="16" t="s">
        <v>86</v>
      </c>
      <c r="HK22" s="16">
        <v>44334</v>
      </c>
      <c r="HL22" s="15">
        <v>12194703</v>
      </c>
      <c r="HM22" s="14">
        <v>5000000</v>
      </c>
      <c r="HO22" s="52" t="s">
        <v>42</v>
      </c>
      <c r="HP22" s="52" t="s">
        <v>41</v>
      </c>
      <c r="HR22" s="16" t="s">
        <v>69</v>
      </c>
      <c r="HS22" s="16">
        <v>44516</v>
      </c>
      <c r="HT22" s="15">
        <v>10732320</v>
      </c>
      <c r="HU22" s="14">
        <v>5000000</v>
      </c>
      <c r="HZ22" s="16" t="s">
        <v>76</v>
      </c>
      <c r="IA22" s="16">
        <v>44698</v>
      </c>
      <c r="IB22" s="15">
        <v>14327800</v>
      </c>
      <c r="IC22" s="14">
        <v>10000000</v>
      </c>
      <c r="IE22" s="55" t="s">
        <v>113</v>
      </c>
      <c r="IF22" s="54"/>
      <c r="IH22" s="16" t="s">
        <v>127</v>
      </c>
      <c r="II22" s="16">
        <v>44460</v>
      </c>
      <c r="IJ22" s="15">
        <v>35889066</v>
      </c>
      <c r="IK22" s="14">
        <v>30000000</v>
      </c>
      <c r="IM22"/>
      <c r="IN22"/>
      <c r="IP22" s="16" t="s">
        <v>126</v>
      </c>
      <c r="IQ22" s="16">
        <v>44831</v>
      </c>
      <c r="IR22" s="15">
        <v>27022813</v>
      </c>
      <c r="IS22" s="14">
        <v>30000000</v>
      </c>
    </row>
    <row r="23" spans="2:256" x14ac:dyDescent="0.25">
      <c r="B23" s="16" t="s">
        <v>135</v>
      </c>
      <c r="C23" s="16">
        <v>45230</v>
      </c>
      <c r="D23" s="15">
        <v>9287015.7080157064</v>
      </c>
      <c r="E23" s="14">
        <v>5000000</v>
      </c>
      <c r="G23" s="115">
        <f t="shared" si="43"/>
        <v>20000000</v>
      </c>
      <c r="H23" s="2">
        <f t="shared" si="39"/>
        <v>10</v>
      </c>
      <c r="I23" s="39">
        <f t="shared" si="40"/>
        <v>17313915.453915451</v>
      </c>
      <c r="J23" s="39">
        <f t="shared" si="41"/>
        <v>20885000.069300067</v>
      </c>
      <c r="K23" s="39">
        <f t="shared" si="42"/>
        <v>24152813.005313005</v>
      </c>
      <c r="M23" s="40"/>
      <c r="N23" s="39"/>
      <c r="O23" s="40"/>
      <c r="P23" s="39"/>
      <c r="Q23" s="13"/>
      <c r="R23" s="13"/>
      <c r="S23" s="13"/>
      <c r="T23" s="16" t="s">
        <v>33</v>
      </c>
      <c r="U23" s="16">
        <v>43424</v>
      </c>
      <c r="V23" s="15">
        <v>16422454.768928222</v>
      </c>
      <c r="W23" s="14">
        <v>10000000</v>
      </c>
      <c r="Y23" s="1">
        <v>7</v>
      </c>
      <c r="Z23" s="1">
        <v>50</v>
      </c>
      <c r="AB23" s="40"/>
      <c r="AC23" s="39"/>
      <c r="AD23" s="40"/>
      <c r="AE23" s="39"/>
      <c r="AG23" s="13"/>
      <c r="AH23" s="13"/>
      <c r="AI23" s="16" t="s">
        <v>39</v>
      </c>
      <c r="AJ23" s="16">
        <v>43788</v>
      </c>
      <c r="AK23" s="15">
        <v>9943722.5909537878</v>
      </c>
      <c r="AL23" s="14">
        <v>5000000</v>
      </c>
      <c r="AQ23" s="40"/>
      <c r="AR23" s="39"/>
      <c r="AS23" s="40"/>
      <c r="AT23" s="39"/>
      <c r="AV23" s="13"/>
      <c r="AW23" s="13"/>
      <c r="AX23" s="16" t="s">
        <v>38</v>
      </c>
      <c r="AY23" s="16">
        <v>44236</v>
      </c>
      <c r="AZ23" s="15">
        <v>8867831.7354965601</v>
      </c>
      <c r="BA23" s="14">
        <v>2000000</v>
      </c>
      <c r="BF23" s="40"/>
      <c r="BG23" s="39"/>
      <c r="BH23" s="40"/>
      <c r="BI23" s="39"/>
      <c r="BK23" s="13"/>
      <c r="BL23" s="13"/>
      <c r="BM23" s="16" t="s">
        <v>35</v>
      </c>
      <c r="BN23" s="16">
        <v>44523</v>
      </c>
      <c r="BO23" s="15">
        <v>16019015.363815146</v>
      </c>
      <c r="BP23" s="14">
        <v>10000000</v>
      </c>
      <c r="BR23" s="55" t="s">
        <v>111</v>
      </c>
      <c r="BS23" s="54"/>
      <c r="BU23" s="40">
        <v>200</v>
      </c>
      <c r="BV23" s="39">
        <f t="shared" si="34"/>
        <v>174378500</v>
      </c>
      <c r="BW23" s="40">
        <v>350</v>
      </c>
      <c r="BX23" s="39">
        <f t="shared" si="30"/>
        <v>299508500</v>
      </c>
      <c r="BZ23" s="13"/>
      <c r="CA23" s="13"/>
      <c r="CB23" s="16" t="s">
        <v>37</v>
      </c>
      <c r="CC23" s="16">
        <v>44964</v>
      </c>
      <c r="CD23" s="15">
        <v>20268493.416493416</v>
      </c>
      <c r="CE23" s="14">
        <v>20000000</v>
      </c>
      <c r="CJ23" s="40"/>
      <c r="CK23" s="39"/>
      <c r="CL23" s="40"/>
      <c r="CM23" s="39"/>
      <c r="CO23" s="13"/>
      <c r="CP23" s="13"/>
      <c r="CQ23" s="16" t="s">
        <v>115</v>
      </c>
      <c r="CR23" s="16">
        <v>45251</v>
      </c>
      <c r="CS23" s="15">
        <v>19880151.651651651</v>
      </c>
      <c r="CT23" s="14">
        <v>20000000</v>
      </c>
      <c r="CZ23" s="39"/>
      <c r="DA23" s="40"/>
      <c r="DB23" s="39"/>
      <c r="DD23" s="13"/>
      <c r="DE23" s="13"/>
      <c r="DF23" s="16" t="s">
        <v>127</v>
      </c>
      <c r="DG23" s="16">
        <v>44551</v>
      </c>
      <c r="DH23" s="15">
        <v>8995809.9803343173</v>
      </c>
      <c r="DI23" s="14">
        <v>2000000</v>
      </c>
      <c r="DK23"/>
      <c r="DL23"/>
      <c r="DM23"/>
      <c r="DN23"/>
      <c r="DO23" s="40"/>
      <c r="DP23" s="39"/>
      <c r="DQ23" s="40"/>
      <c r="DR23" s="39"/>
      <c r="DT23" s="13"/>
      <c r="DU23" s="13"/>
      <c r="DV23" s="16" t="s">
        <v>126</v>
      </c>
      <c r="DW23" s="16">
        <v>44901</v>
      </c>
      <c r="DX23" s="15">
        <v>24007308.373042881</v>
      </c>
      <c r="DY23" s="14">
        <v>30000000</v>
      </c>
      <c r="EA23"/>
      <c r="EB23">
        <v>12</v>
      </c>
      <c r="EC23"/>
      <c r="ED23"/>
      <c r="EE23" s="40"/>
      <c r="EF23" s="39"/>
      <c r="EG23" s="40"/>
      <c r="EH23" s="39"/>
      <c r="EJ23" s="13"/>
      <c r="EK23" s="13"/>
      <c r="EL23" s="95"/>
      <c r="EM23" s="95"/>
      <c r="EN23" s="96"/>
      <c r="EO23" s="97"/>
      <c r="EQ23"/>
      <c r="ER23"/>
      <c r="ES23"/>
      <c r="EU23" s="16" t="s">
        <v>126</v>
      </c>
      <c r="EV23" s="16">
        <v>44838</v>
      </c>
      <c r="EW23" s="15">
        <v>39653216</v>
      </c>
      <c r="EX23" s="14">
        <v>50000000</v>
      </c>
      <c r="EZ23"/>
      <c r="FA23"/>
      <c r="FB23"/>
      <c r="FD23" s="13"/>
      <c r="FE23" s="13"/>
      <c r="FF23" s="16" t="s">
        <v>83</v>
      </c>
      <c r="FG23" s="16">
        <v>43060</v>
      </c>
      <c r="FH23" s="15">
        <v>7579353</v>
      </c>
      <c r="FI23" s="14">
        <v>2000000</v>
      </c>
      <c r="FN23" s="16" t="s">
        <v>82</v>
      </c>
      <c r="FO23" s="46">
        <v>43242</v>
      </c>
      <c r="FP23" s="45">
        <v>6840636</v>
      </c>
      <c r="FQ23" s="44">
        <v>2000000</v>
      </c>
      <c r="FV23" s="16" t="s">
        <v>81</v>
      </c>
      <c r="FW23" s="16">
        <v>43424</v>
      </c>
      <c r="FX23" s="15">
        <v>17263584</v>
      </c>
      <c r="FY23" s="14">
        <v>10000000</v>
      </c>
      <c r="GD23" s="16" t="s">
        <v>79</v>
      </c>
      <c r="GE23" s="16">
        <v>43606</v>
      </c>
      <c r="GF23" s="15">
        <v>17404698</v>
      </c>
      <c r="GG23" s="14">
        <v>15000000</v>
      </c>
      <c r="GI23" s="1">
        <v>7</v>
      </c>
      <c r="GJ23" s="1">
        <v>50</v>
      </c>
      <c r="GL23" s="16" t="s">
        <v>78</v>
      </c>
      <c r="GM23" s="16">
        <v>43788</v>
      </c>
      <c r="GN23" s="15">
        <v>9650127</v>
      </c>
      <c r="GO23" s="14">
        <v>5000000</v>
      </c>
      <c r="GQ23" s="55" t="s">
        <v>162</v>
      </c>
      <c r="GR23" s="54"/>
      <c r="GT23" s="16" t="s">
        <v>77</v>
      </c>
      <c r="GU23" s="16">
        <v>43977</v>
      </c>
      <c r="GV23" s="15">
        <v>9722337</v>
      </c>
      <c r="GW23" s="14">
        <v>2000000</v>
      </c>
      <c r="GY23" s="1">
        <v>3</v>
      </c>
      <c r="GZ23" s="1">
        <v>10</v>
      </c>
      <c r="HB23" s="16" t="s">
        <v>70</v>
      </c>
      <c r="HC23" s="16">
        <v>44159</v>
      </c>
      <c r="HD23" s="15">
        <v>9654303</v>
      </c>
      <c r="HE23" s="14">
        <v>2000000</v>
      </c>
      <c r="HG23" s="52" t="s">
        <v>42</v>
      </c>
      <c r="HH23" s="52" t="s">
        <v>41</v>
      </c>
      <c r="HJ23" s="16" t="s">
        <v>86</v>
      </c>
      <c r="HK23" s="16">
        <v>44341</v>
      </c>
      <c r="HL23" s="15">
        <v>8270916</v>
      </c>
      <c r="HM23" s="14">
        <v>2000000</v>
      </c>
      <c r="HO23" s="1">
        <v>1</v>
      </c>
      <c r="HP23" s="1">
        <v>2</v>
      </c>
      <c r="HR23" s="16" t="s">
        <v>69</v>
      </c>
      <c r="HS23" s="16">
        <v>44523</v>
      </c>
      <c r="HT23" s="15">
        <v>18545007</v>
      </c>
      <c r="HU23" s="14">
        <v>10000000</v>
      </c>
      <c r="HZ23" s="16" t="s">
        <v>76</v>
      </c>
      <c r="IA23" s="16">
        <v>44705</v>
      </c>
      <c r="IB23" s="15">
        <v>7044904</v>
      </c>
      <c r="IC23" s="14">
        <v>3000000</v>
      </c>
      <c r="IE23" s="52" t="s">
        <v>42</v>
      </c>
      <c r="IF23" s="52" t="s">
        <v>41</v>
      </c>
      <c r="IH23" s="16" t="s">
        <v>127</v>
      </c>
      <c r="II23" s="16">
        <v>44467</v>
      </c>
      <c r="IJ23" s="15">
        <v>9418359</v>
      </c>
      <c r="IK23" s="14">
        <v>2000000</v>
      </c>
      <c r="IM23"/>
      <c r="IN23"/>
      <c r="IP23" s="16" t="s">
        <v>126</v>
      </c>
      <c r="IQ23" s="16">
        <v>44838</v>
      </c>
      <c r="IR23" s="15">
        <v>39653216</v>
      </c>
      <c r="IS23" s="14">
        <v>50000000</v>
      </c>
    </row>
    <row r="24" spans="2:256" x14ac:dyDescent="0.25">
      <c r="B24" s="16" t="s">
        <v>135</v>
      </c>
      <c r="C24" s="16">
        <v>45223</v>
      </c>
      <c r="D24" s="15">
        <v>8433054.6315546315</v>
      </c>
      <c r="E24" s="14">
        <v>3000000</v>
      </c>
      <c r="G24" s="115">
        <f t="shared" si="43"/>
        <v>30000000</v>
      </c>
      <c r="H24" s="2">
        <f t="shared" si="39"/>
        <v>6</v>
      </c>
      <c r="I24" s="39">
        <f t="shared" si="40"/>
        <v>24316174.405174401</v>
      </c>
      <c r="J24" s="39">
        <f t="shared" si="41"/>
        <v>27792359.609609608</v>
      </c>
      <c r="K24" s="39">
        <f t="shared" si="42"/>
        <v>31100381.612381607</v>
      </c>
      <c r="M24" s="40"/>
      <c r="N24" s="39"/>
      <c r="Q24" s="13"/>
      <c r="R24" s="13"/>
      <c r="S24" s="13"/>
      <c r="T24" s="16" t="s">
        <v>33</v>
      </c>
      <c r="U24" s="16">
        <v>43431</v>
      </c>
      <c r="V24" s="15">
        <v>7844241.0275319582</v>
      </c>
      <c r="W24" s="14">
        <v>2000000</v>
      </c>
      <c r="Y24" s="1">
        <v>8</v>
      </c>
      <c r="Z24" s="1">
        <v>70</v>
      </c>
      <c r="AB24" s="40"/>
      <c r="AC24" s="39"/>
      <c r="AG24" s="13"/>
      <c r="AH24" s="13"/>
      <c r="AI24" s="16" t="s">
        <v>39</v>
      </c>
      <c r="AJ24" s="16">
        <v>43795</v>
      </c>
      <c r="AK24" s="15">
        <v>8461010.6932153422</v>
      </c>
      <c r="AL24" s="14">
        <v>2000000</v>
      </c>
      <c r="AN24" s="1" t="s">
        <v>72</v>
      </c>
      <c r="AQ24" s="40"/>
      <c r="AR24" s="39"/>
      <c r="AV24" s="13"/>
      <c r="AW24" s="13"/>
      <c r="AX24" s="16" t="s">
        <v>38</v>
      </c>
      <c r="AY24" s="16">
        <v>44229</v>
      </c>
      <c r="AZ24" s="15">
        <v>34741267.207472965</v>
      </c>
      <c r="BA24" s="14">
        <v>30000000</v>
      </c>
      <c r="BC24" s="1" t="s">
        <v>72</v>
      </c>
      <c r="BF24" s="40"/>
      <c r="BG24" s="39"/>
      <c r="BK24" s="13"/>
      <c r="BL24" s="13"/>
      <c r="BM24" s="16" t="s">
        <v>35</v>
      </c>
      <c r="BN24" s="16">
        <v>44530</v>
      </c>
      <c r="BO24" s="15">
        <v>20637660.152409054</v>
      </c>
      <c r="BP24" s="14">
        <v>20000000</v>
      </c>
      <c r="BR24" s="52" t="s">
        <v>42</v>
      </c>
      <c r="BS24" s="52" t="s">
        <v>41</v>
      </c>
      <c r="BU24" s="40"/>
      <c r="BV24" s="39"/>
      <c r="BZ24" s="13"/>
      <c r="CA24" s="13"/>
      <c r="CB24" s="16" t="s">
        <v>37</v>
      </c>
      <c r="CC24" s="16">
        <v>44957</v>
      </c>
      <c r="CD24" s="15">
        <v>12834873.873873875</v>
      </c>
      <c r="CE24" s="14">
        <v>10000000</v>
      </c>
      <c r="CJ24" s="40"/>
      <c r="CK24" s="39"/>
      <c r="CO24" s="13"/>
      <c r="CP24" s="13"/>
      <c r="CQ24" s="16" t="s">
        <v>115</v>
      </c>
      <c r="CR24" s="16">
        <v>45258</v>
      </c>
      <c r="CS24" s="15">
        <v>26490850.080850083</v>
      </c>
      <c r="CT24" s="14">
        <v>30000000</v>
      </c>
      <c r="CY24" s="40">
        <v>3000000</v>
      </c>
      <c r="CZ24" s="39"/>
      <c r="DA24" s="40"/>
      <c r="DB24" s="39"/>
      <c r="DD24" s="13"/>
      <c r="DE24" s="13"/>
      <c r="DF24" s="16" t="s">
        <v>127</v>
      </c>
      <c r="DG24" s="16">
        <v>44544</v>
      </c>
      <c r="DH24" s="15">
        <v>9652936.4552605711</v>
      </c>
      <c r="DI24" s="14">
        <v>2000000</v>
      </c>
      <c r="DK24"/>
      <c r="DL24"/>
      <c r="DM24"/>
      <c r="DN24"/>
      <c r="DO24" s="40"/>
      <c r="DP24" s="39"/>
      <c r="DT24" s="13"/>
      <c r="DU24" s="13"/>
      <c r="DV24" s="16" t="s">
        <v>126</v>
      </c>
      <c r="DW24" s="16">
        <v>44894</v>
      </c>
      <c r="DX24" s="15">
        <v>19316402.995234855</v>
      </c>
      <c r="DY24" s="14">
        <v>20000000</v>
      </c>
      <c r="EA24"/>
      <c r="EB24">
        <v>11</v>
      </c>
      <c r="EC24"/>
      <c r="ED24"/>
      <c r="EE24" s="40"/>
      <c r="EF24" s="39"/>
      <c r="EJ24" s="13"/>
      <c r="EK24" s="13"/>
      <c r="EL24" s="95"/>
      <c r="EM24" s="95"/>
      <c r="EN24" s="96"/>
      <c r="EO24" s="97"/>
      <c r="EQ24"/>
      <c r="ER24"/>
      <c r="ES24"/>
      <c r="EU24" s="16" t="s">
        <v>126</v>
      </c>
      <c r="EV24" s="16">
        <v>44845</v>
      </c>
      <c r="EW24" s="15">
        <v>7851819</v>
      </c>
      <c r="EX24" s="14">
        <v>3000000</v>
      </c>
      <c r="EZ24"/>
      <c r="FA24"/>
      <c r="FB24"/>
      <c r="FD24" s="13"/>
      <c r="FE24" s="13"/>
      <c r="FF24" s="16" t="s">
        <v>83</v>
      </c>
      <c r="FG24" s="16">
        <v>43067</v>
      </c>
      <c r="FH24" s="15">
        <v>12697128</v>
      </c>
      <c r="FI24" s="14">
        <v>5000000</v>
      </c>
      <c r="FK24" s="55" t="s">
        <v>164</v>
      </c>
      <c r="FL24" s="54"/>
      <c r="FN24" s="16" t="s">
        <v>82</v>
      </c>
      <c r="FO24" s="46">
        <v>43249</v>
      </c>
      <c r="FP24" s="45">
        <v>9623418</v>
      </c>
      <c r="FQ24" s="44">
        <v>5000000</v>
      </c>
      <c r="FV24" s="16" t="s">
        <v>81</v>
      </c>
      <c r="FW24" s="16">
        <v>43431</v>
      </c>
      <c r="FX24" s="15">
        <v>8992407</v>
      </c>
      <c r="FY24" s="14">
        <v>2000000</v>
      </c>
      <c r="GA24" s="1" t="s">
        <v>158</v>
      </c>
      <c r="GD24" s="16" t="s">
        <v>79</v>
      </c>
      <c r="GE24" s="16">
        <v>43613</v>
      </c>
      <c r="GF24" s="15">
        <v>28232283</v>
      </c>
      <c r="GG24" s="14">
        <v>30000000</v>
      </c>
      <c r="GI24" s="1">
        <v>8</v>
      </c>
      <c r="GJ24" s="1">
        <v>70</v>
      </c>
      <c r="GL24" s="16" t="s">
        <v>78</v>
      </c>
      <c r="GM24" s="16">
        <v>43795</v>
      </c>
      <c r="GN24" s="15">
        <v>8898099</v>
      </c>
      <c r="GO24" s="14">
        <v>2000000</v>
      </c>
      <c r="GQ24" s="52" t="s">
        <v>42</v>
      </c>
      <c r="GR24" s="52" t="s">
        <v>41</v>
      </c>
      <c r="GT24" s="16" t="s">
        <v>77</v>
      </c>
      <c r="GU24" s="16">
        <v>43984</v>
      </c>
      <c r="GV24" s="15">
        <v>8754027</v>
      </c>
      <c r="GW24" s="14">
        <v>2000000</v>
      </c>
      <c r="GY24" s="1">
        <v>4</v>
      </c>
      <c r="GZ24" s="1">
        <v>20</v>
      </c>
      <c r="HB24" s="16" t="s">
        <v>70</v>
      </c>
      <c r="HC24" s="16">
        <v>44166</v>
      </c>
      <c r="HD24" s="15">
        <v>9733125</v>
      </c>
      <c r="HE24" s="14">
        <v>2000000</v>
      </c>
      <c r="HG24" s="1">
        <v>1</v>
      </c>
      <c r="HH24" s="1">
        <v>2</v>
      </c>
      <c r="HJ24" s="16" t="s">
        <v>86</v>
      </c>
      <c r="HK24" s="16">
        <v>44348</v>
      </c>
      <c r="HL24" s="15">
        <v>11632857</v>
      </c>
      <c r="HM24" s="14">
        <v>5000000</v>
      </c>
      <c r="HO24" s="1">
        <v>2</v>
      </c>
      <c r="HP24" s="1">
        <v>5</v>
      </c>
      <c r="HR24" s="16" t="s">
        <v>69</v>
      </c>
      <c r="HS24" s="16">
        <v>44530</v>
      </c>
      <c r="HT24" s="15">
        <v>20273610</v>
      </c>
      <c r="HU24" s="14">
        <v>20000000</v>
      </c>
      <c r="HZ24" s="16" t="s">
        <v>76</v>
      </c>
      <c r="IA24" s="16">
        <v>44712</v>
      </c>
      <c r="IB24" s="15">
        <v>11113346</v>
      </c>
      <c r="IC24" s="14">
        <v>5000000</v>
      </c>
      <c r="IE24" s="1">
        <v>1</v>
      </c>
      <c r="IF24" s="1">
        <v>3</v>
      </c>
      <c r="IH24" s="16" t="s">
        <v>127</v>
      </c>
      <c r="II24" s="16">
        <v>44474</v>
      </c>
      <c r="IJ24" s="15">
        <v>13439673</v>
      </c>
      <c r="IK24" s="14">
        <v>5000000</v>
      </c>
      <c r="IM24"/>
      <c r="IN24"/>
      <c r="IP24" s="16" t="s">
        <v>126</v>
      </c>
      <c r="IQ24" s="16">
        <v>44845</v>
      </c>
      <c r="IR24" s="15">
        <v>7851819</v>
      </c>
      <c r="IS24" s="14">
        <v>3000000</v>
      </c>
    </row>
    <row r="25" spans="2:256" x14ac:dyDescent="0.25">
      <c r="B25" s="16" t="s">
        <v>135</v>
      </c>
      <c r="C25" s="16">
        <v>45216</v>
      </c>
      <c r="D25" s="15">
        <v>26420194.848694846</v>
      </c>
      <c r="E25" s="14">
        <v>30000000</v>
      </c>
      <c r="G25" s="115">
        <f t="shared" si="43"/>
        <v>40000000</v>
      </c>
      <c r="H25" s="2">
        <f t="shared" si="39"/>
        <v>1</v>
      </c>
      <c r="I25" s="39">
        <f t="shared" si="40"/>
        <v>32184130.399630401</v>
      </c>
      <c r="J25" s="39">
        <f t="shared" si="41"/>
        <v>32184130.399630401</v>
      </c>
      <c r="K25" s="39">
        <f t="shared" si="42"/>
        <v>32184130.399630401</v>
      </c>
      <c r="M25" s="60" t="s">
        <v>90</v>
      </c>
      <c r="N25" s="59">
        <v>7.9000000000000008E-3</v>
      </c>
      <c r="O25" s="59">
        <v>0.55100000000000005</v>
      </c>
      <c r="P25" s="59">
        <v>7.4339000000000004</v>
      </c>
      <c r="Q25" s="13"/>
      <c r="R25" s="13"/>
      <c r="S25" s="13"/>
      <c r="T25" s="16" t="s">
        <v>33</v>
      </c>
      <c r="U25" s="16">
        <v>43438</v>
      </c>
      <c r="V25" s="15">
        <v>7470703.7856440516</v>
      </c>
      <c r="W25" s="14">
        <v>2000000</v>
      </c>
      <c r="Y25" s="1">
        <v>9</v>
      </c>
      <c r="Z25" s="1">
        <v>80</v>
      </c>
      <c r="AB25" s="60" t="s">
        <v>90</v>
      </c>
      <c r="AC25" s="59">
        <v>4.1999999999999997E-3</v>
      </c>
      <c r="AD25" s="59">
        <v>0.49149999999999999</v>
      </c>
      <c r="AE25" s="59">
        <v>7.7968999999999999</v>
      </c>
      <c r="AG25" s="13"/>
      <c r="AH25" s="13"/>
      <c r="AI25" s="16" t="s">
        <v>39</v>
      </c>
      <c r="AJ25" s="16">
        <v>43802</v>
      </c>
      <c r="AK25" s="15">
        <v>10858241.887905609</v>
      </c>
      <c r="AL25" s="14">
        <v>5000000</v>
      </c>
      <c r="AN25" s="1" t="s">
        <v>165</v>
      </c>
      <c r="AQ25" s="60" t="s">
        <v>90</v>
      </c>
      <c r="AR25" s="59">
        <v>-3.7000000000000002E-3</v>
      </c>
      <c r="AS25" s="59">
        <v>0.89929999999999999</v>
      </c>
      <c r="AT25" s="59">
        <v>6.5038999999999998</v>
      </c>
      <c r="AV25" s="13"/>
      <c r="AW25" s="13"/>
      <c r="AX25" s="16" t="s">
        <v>38</v>
      </c>
      <c r="AY25" s="16">
        <v>44222</v>
      </c>
      <c r="AZ25" s="15">
        <v>25500232.177974436</v>
      </c>
      <c r="BA25" s="14">
        <v>20000000</v>
      </c>
      <c r="BC25" s="1" t="s">
        <v>166</v>
      </c>
      <c r="BF25" s="60" t="s">
        <v>90</v>
      </c>
      <c r="BG25" s="59">
        <v>-8.9999999999999998E-4</v>
      </c>
      <c r="BH25" s="59">
        <v>0.80730000000000002</v>
      </c>
      <c r="BI25" s="59">
        <v>8.1900999999999993</v>
      </c>
      <c r="BK25" s="13"/>
      <c r="BL25" s="13"/>
      <c r="BM25" s="16" t="s">
        <v>35</v>
      </c>
      <c r="BN25" s="16">
        <v>44537</v>
      </c>
      <c r="BO25" s="15">
        <v>32741460.176991157</v>
      </c>
      <c r="BP25" s="14">
        <v>30000000</v>
      </c>
      <c r="BR25" s="1">
        <v>1</v>
      </c>
      <c r="BS25" s="1">
        <v>2</v>
      </c>
      <c r="BU25" s="60" t="s">
        <v>90</v>
      </c>
      <c r="BV25" s="59">
        <v>1.6000000000000001E-3</v>
      </c>
      <c r="BW25" s="59">
        <v>0.78410000000000002</v>
      </c>
      <c r="BX25" s="59">
        <v>7.0644999999999998</v>
      </c>
      <c r="BZ25" s="13"/>
      <c r="CA25" s="13"/>
      <c r="CB25" s="16" t="s">
        <v>37</v>
      </c>
      <c r="CC25" s="16">
        <v>44950</v>
      </c>
      <c r="CD25" s="15">
        <v>9882207.7847077847</v>
      </c>
      <c r="CE25" s="14">
        <v>5000000</v>
      </c>
      <c r="CJ25" s="60" t="s">
        <v>90</v>
      </c>
      <c r="CK25" s="59">
        <v>-6.4000000000000003E-3</v>
      </c>
      <c r="CL25" s="59">
        <v>0.9698</v>
      </c>
      <c r="CM25" s="59">
        <v>6.2282999999999999</v>
      </c>
      <c r="CO25" s="13"/>
      <c r="CP25" s="13"/>
      <c r="CQ25" s="16" t="s">
        <v>115</v>
      </c>
      <c r="CR25" s="16">
        <v>45265</v>
      </c>
      <c r="CS25" s="15">
        <v>32184130.399630401</v>
      </c>
      <c r="CT25" s="14">
        <v>40000000</v>
      </c>
      <c r="CY25" s="40">
        <v>5000000</v>
      </c>
      <c r="CZ25" s="39"/>
      <c r="DA25" s="40"/>
      <c r="DB25" s="39"/>
      <c r="DD25" s="13"/>
      <c r="DE25" s="13"/>
      <c r="DF25" s="16" t="s">
        <v>127</v>
      </c>
      <c r="DG25" s="16">
        <v>44537</v>
      </c>
      <c r="DH25" s="15">
        <v>32741460.176991157</v>
      </c>
      <c r="DI25" s="14">
        <v>30000000</v>
      </c>
      <c r="DK25"/>
      <c r="DL25"/>
      <c r="DM25"/>
      <c r="DN25"/>
      <c r="DO25" s="60" t="s">
        <v>90</v>
      </c>
      <c r="DP25" s="59">
        <v>1E-4</v>
      </c>
      <c r="DQ25" s="59">
        <v>0.80300000000000005</v>
      </c>
      <c r="DR25" s="59">
        <v>7.4702999999999999</v>
      </c>
      <c r="DT25" s="13"/>
      <c r="DU25" s="13"/>
      <c r="DV25" s="16" t="s">
        <v>126</v>
      </c>
      <c r="DW25" s="16">
        <v>44887</v>
      </c>
      <c r="DX25" s="15">
        <v>12652465.963240299</v>
      </c>
      <c r="DY25" s="14">
        <v>10000000</v>
      </c>
      <c r="EA25"/>
      <c r="EB25">
        <v>9</v>
      </c>
      <c r="EC25"/>
      <c r="ED25"/>
      <c r="EE25" s="60" t="s">
        <v>90</v>
      </c>
      <c r="EF25" s="59">
        <v>1.89E-2</v>
      </c>
      <c r="EG25" s="59">
        <v>1.66E-2</v>
      </c>
      <c r="EH25" s="59">
        <v>9.9194999999999993</v>
      </c>
      <c r="EJ25" s="13"/>
      <c r="EK25" s="13"/>
      <c r="EL25" s="16"/>
      <c r="EM25" s="16"/>
      <c r="EN25" s="15"/>
      <c r="EO25" s="14"/>
      <c r="EQ25"/>
      <c r="ER25"/>
      <c r="ES25"/>
      <c r="EU25" s="16" t="s">
        <v>126</v>
      </c>
      <c r="EV25" s="16">
        <v>44852</v>
      </c>
      <c r="EW25" s="15">
        <v>9544388</v>
      </c>
      <c r="EX25" s="14">
        <v>5000000</v>
      </c>
      <c r="EZ25"/>
      <c r="FA25"/>
      <c r="FB25"/>
      <c r="FD25" s="13"/>
      <c r="FE25" s="13"/>
      <c r="FF25" s="16" t="s">
        <v>83</v>
      </c>
      <c r="FG25" s="16">
        <v>43074</v>
      </c>
      <c r="FH25" s="15">
        <v>16365918</v>
      </c>
      <c r="FI25" s="14">
        <v>10000000</v>
      </c>
      <c r="FK25" s="52" t="s">
        <v>42</v>
      </c>
      <c r="FL25" s="52" t="s">
        <v>41</v>
      </c>
      <c r="FN25" s="16" t="s">
        <v>82</v>
      </c>
      <c r="FO25" s="46">
        <v>43256</v>
      </c>
      <c r="FP25" s="45">
        <v>13202772</v>
      </c>
      <c r="FQ25" s="44">
        <v>10000000</v>
      </c>
      <c r="FV25" s="16" t="s">
        <v>81</v>
      </c>
      <c r="FW25" s="16">
        <v>43438</v>
      </c>
      <c r="FX25" s="15">
        <v>7158882</v>
      </c>
      <c r="FY25" s="14">
        <v>2000000</v>
      </c>
      <c r="GD25" s="16" t="s">
        <v>79</v>
      </c>
      <c r="GE25" s="16">
        <v>43620</v>
      </c>
      <c r="GF25" s="15">
        <v>34231455</v>
      </c>
      <c r="GG25" s="14">
        <v>40000000</v>
      </c>
      <c r="GI25" s="1">
        <v>9</v>
      </c>
      <c r="GJ25" s="1">
        <v>80</v>
      </c>
      <c r="GL25" s="16" t="s">
        <v>78</v>
      </c>
      <c r="GM25" s="16">
        <v>43802</v>
      </c>
      <c r="GN25" s="15">
        <v>10484196</v>
      </c>
      <c r="GO25" s="14">
        <v>5000000</v>
      </c>
      <c r="GQ25" s="1">
        <v>1</v>
      </c>
      <c r="GR25" s="1">
        <v>2</v>
      </c>
      <c r="GT25" s="16" t="s">
        <v>77</v>
      </c>
      <c r="GU25" s="16">
        <v>43991</v>
      </c>
      <c r="GV25" s="15">
        <v>12255342</v>
      </c>
      <c r="GW25" s="14">
        <v>5000000</v>
      </c>
      <c r="GY25" s="1">
        <v>5</v>
      </c>
      <c r="GZ25" s="1">
        <v>30</v>
      </c>
      <c r="HB25" s="16" t="s">
        <v>70</v>
      </c>
      <c r="HC25" s="16">
        <v>44173</v>
      </c>
      <c r="HD25" s="15">
        <v>12629964</v>
      </c>
      <c r="HE25" s="14">
        <v>5000000</v>
      </c>
      <c r="HG25" s="1">
        <v>2</v>
      </c>
      <c r="HH25" s="1">
        <v>5</v>
      </c>
      <c r="HJ25" s="16" t="s">
        <v>86</v>
      </c>
      <c r="HK25" s="16">
        <v>44355</v>
      </c>
      <c r="HL25" s="15">
        <v>17794719</v>
      </c>
      <c r="HM25" s="14">
        <v>10000000</v>
      </c>
      <c r="HO25" s="1">
        <v>3</v>
      </c>
      <c r="HP25" s="1">
        <v>15</v>
      </c>
      <c r="HR25" s="16" t="s">
        <v>69</v>
      </c>
      <c r="HS25" s="16">
        <v>44537</v>
      </c>
      <c r="HT25" s="15">
        <v>31576215</v>
      </c>
      <c r="HU25" s="14">
        <v>30000000</v>
      </c>
      <c r="HZ25" s="16" t="s">
        <v>76</v>
      </c>
      <c r="IA25" s="16">
        <v>44719</v>
      </c>
      <c r="IB25" s="15">
        <v>10186086</v>
      </c>
      <c r="IC25" s="14">
        <v>3000000</v>
      </c>
      <c r="IE25" s="1">
        <v>2</v>
      </c>
      <c r="IF25" s="1">
        <v>5</v>
      </c>
      <c r="IH25" s="16" t="s">
        <v>127</v>
      </c>
      <c r="II25" s="16">
        <v>44481</v>
      </c>
      <c r="IJ25" s="15">
        <v>16179390</v>
      </c>
      <c r="IK25" s="14">
        <v>10000000</v>
      </c>
      <c r="IM25"/>
      <c r="IN25"/>
      <c r="IP25" s="16" t="s">
        <v>126</v>
      </c>
      <c r="IQ25" s="16">
        <v>44852</v>
      </c>
      <c r="IR25" s="15">
        <v>9544388</v>
      </c>
      <c r="IS25" s="14">
        <v>5000000</v>
      </c>
    </row>
    <row r="26" spans="2:256" x14ac:dyDescent="0.25">
      <c r="B26" s="16" t="s">
        <v>135</v>
      </c>
      <c r="C26" s="16">
        <v>45209</v>
      </c>
      <c r="D26" s="15">
        <v>21005378.84037884</v>
      </c>
      <c r="E26" s="14">
        <v>20000000</v>
      </c>
      <c r="G26" s="115">
        <f t="shared" si="43"/>
        <v>50000000</v>
      </c>
      <c r="H26" s="2">
        <f t="shared" si="39"/>
        <v>1</v>
      </c>
      <c r="I26" s="39"/>
      <c r="J26" s="39"/>
      <c r="K26" s="39"/>
      <c r="Q26" s="13"/>
      <c r="R26" s="13"/>
      <c r="S26" s="13"/>
      <c r="T26" s="16" t="s">
        <v>33</v>
      </c>
      <c r="U26" s="16">
        <v>43445</v>
      </c>
      <c r="V26" s="15">
        <v>7171999.016715833</v>
      </c>
      <c r="W26" s="14">
        <v>2000000</v>
      </c>
      <c r="AG26" s="13"/>
      <c r="AH26" s="13"/>
      <c r="AI26" s="16" t="s">
        <v>39</v>
      </c>
      <c r="AJ26" s="16">
        <v>43809</v>
      </c>
      <c r="AK26" s="15">
        <v>14885551.007866273</v>
      </c>
      <c r="AL26" s="14">
        <v>10000000</v>
      </c>
      <c r="AV26" s="13"/>
      <c r="AW26" s="13"/>
      <c r="AX26" s="16" t="s">
        <v>38</v>
      </c>
      <c r="AY26" s="16">
        <v>44215</v>
      </c>
      <c r="AZ26" s="15">
        <v>17438672.812192727</v>
      </c>
      <c r="BA26" s="14">
        <v>10000000</v>
      </c>
      <c r="BK26" s="13"/>
      <c r="BL26" s="13"/>
      <c r="BM26" s="16" t="s">
        <v>35</v>
      </c>
      <c r="BN26" s="16">
        <v>44544</v>
      </c>
      <c r="BO26" s="15">
        <v>9652936.4552605711</v>
      </c>
      <c r="BP26" s="14">
        <v>2000000</v>
      </c>
      <c r="BR26" s="1">
        <v>2</v>
      </c>
      <c r="BS26" s="1">
        <v>5</v>
      </c>
      <c r="BZ26" s="13"/>
      <c r="CA26" s="13"/>
      <c r="CB26" s="16" t="s">
        <v>37</v>
      </c>
      <c r="CC26" s="16">
        <v>44943</v>
      </c>
      <c r="CD26" s="15">
        <v>8834358.5123585109</v>
      </c>
      <c r="CE26" s="14">
        <v>3000000</v>
      </c>
      <c r="CO26" s="13"/>
      <c r="CP26" s="13"/>
      <c r="CQ26" s="16" t="s">
        <v>115</v>
      </c>
      <c r="CR26" s="16">
        <v>45272</v>
      </c>
      <c r="CS26" s="15">
        <v>40500575.652575649</v>
      </c>
      <c r="CT26" s="14">
        <v>50000000</v>
      </c>
      <c r="CY26" s="40">
        <v>8000000</v>
      </c>
      <c r="CZ26" s="39"/>
      <c r="DA26" s="40"/>
      <c r="DB26" s="39"/>
      <c r="DD26" s="13"/>
      <c r="DE26" s="13"/>
      <c r="DF26" s="16" t="s">
        <v>127</v>
      </c>
      <c r="DG26" s="16">
        <v>44530</v>
      </c>
      <c r="DH26" s="15">
        <v>20637660.152409054</v>
      </c>
      <c r="DI26" s="14">
        <v>20000000</v>
      </c>
      <c r="DK26"/>
      <c r="DL26"/>
      <c r="DM26"/>
      <c r="DN26"/>
      <c r="DT26" s="13"/>
      <c r="DU26" s="13"/>
      <c r="DV26" s="16" t="s">
        <v>126</v>
      </c>
      <c r="DW26" s="16">
        <v>44880</v>
      </c>
      <c r="DX26" s="15">
        <v>14048715.452688906</v>
      </c>
      <c r="DY26" s="14">
        <v>5000000</v>
      </c>
      <c r="EA26"/>
      <c r="EB26">
        <v>4</v>
      </c>
      <c r="EC26"/>
      <c r="ED26"/>
      <c r="EJ26" s="13"/>
      <c r="EK26" s="13"/>
      <c r="EL26" s="16"/>
      <c r="EM26" s="16"/>
      <c r="EN26" s="15"/>
      <c r="EO26" s="14"/>
      <c r="EQ26"/>
      <c r="ER26"/>
      <c r="ES26"/>
      <c r="EU26" s="16" t="s">
        <v>126</v>
      </c>
      <c r="EV26" s="16">
        <v>44859</v>
      </c>
      <c r="EW26" s="15">
        <v>13198474</v>
      </c>
      <c r="EX26" s="14">
        <v>10000000</v>
      </c>
      <c r="EZ26"/>
      <c r="FA26"/>
      <c r="FB26"/>
      <c r="FD26" s="13"/>
      <c r="FE26" s="13"/>
      <c r="FF26" s="16" t="s">
        <v>83</v>
      </c>
      <c r="FG26" s="16">
        <v>43081</v>
      </c>
      <c r="FH26" s="15">
        <v>19440846</v>
      </c>
      <c r="FI26" s="14">
        <v>15000000</v>
      </c>
      <c r="FK26" s="1">
        <v>1</v>
      </c>
      <c r="FL26" s="1">
        <v>2</v>
      </c>
      <c r="FN26" s="16" t="s">
        <v>82</v>
      </c>
      <c r="FO26" s="46">
        <v>43263</v>
      </c>
      <c r="FP26" s="45">
        <v>18950166</v>
      </c>
      <c r="FQ26" s="44">
        <v>15000000</v>
      </c>
      <c r="FV26" s="16" t="s">
        <v>81</v>
      </c>
      <c r="FW26" s="16">
        <v>43445</v>
      </c>
      <c r="FX26" s="15">
        <v>6577200</v>
      </c>
      <c r="FY26" s="14">
        <v>2000000</v>
      </c>
      <c r="GD26" s="16" t="s">
        <v>79</v>
      </c>
      <c r="GE26" s="16">
        <v>43627</v>
      </c>
      <c r="GF26" s="15">
        <v>39577344</v>
      </c>
      <c r="GG26" s="14">
        <v>50000000</v>
      </c>
      <c r="GL26" s="16" t="s">
        <v>78</v>
      </c>
      <c r="GM26" s="16">
        <v>43809</v>
      </c>
      <c r="GN26" s="15">
        <v>15140871</v>
      </c>
      <c r="GO26" s="14">
        <v>10000000</v>
      </c>
      <c r="GQ26" s="1">
        <v>2</v>
      </c>
      <c r="GR26" s="1">
        <v>5</v>
      </c>
      <c r="GT26" s="16" t="s">
        <v>77</v>
      </c>
      <c r="GU26" s="16">
        <v>43998</v>
      </c>
      <c r="GV26" s="15">
        <v>17923740</v>
      </c>
      <c r="GW26" s="14">
        <v>10000000</v>
      </c>
      <c r="GY26" s="1">
        <v>6</v>
      </c>
      <c r="GZ26" s="1">
        <v>50</v>
      </c>
      <c r="HB26" s="16" t="s">
        <v>70</v>
      </c>
      <c r="HC26" s="16">
        <v>44180</v>
      </c>
      <c r="HD26" s="15">
        <v>8660241</v>
      </c>
      <c r="HE26" s="14">
        <v>2000000</v>
      </c>
      <c r="HG26" s="1">
        <v>3</v>
      </c>
      <c r="HH26" s="1">
        <v>12</v>
      </c>
      <c r="HJ26" s="16" t="s">
        <v>86</v>
      </c>
      <c r="HK26" s="16">
        <v>44362</v>
      </c>
      <c r="HL26" s="15">
        <v>9136740</v>
      </c>
      <c r="HM26" s="14">
        <v>2000000</v>
      </c>
      <c r="HO26" s="1">
        <v>4</v>
      </c>
      <c r="HP26" s="1">
        <v>25</v>
      </c>
      <c r="HR26" s="16" t="s">
        <v>69</v>
      </c>
      <c r="HS26" s="16">
        <v>44544</v>
      </c>
      <c r="HT26" s="15">
        <v>8828586</v>
      </c>
      <c r="HU26" s="14">
        <v>2000000</v>
      </c>
      <c r="HZ26" s="16" t="s">
        <v>76</v>
      </c>
      <c r="IA26" s="16">
        <v>44726</v>
      </c>
      <c r="IB26" s="15">
        <v>8929954</v>
      </c>
      <c r="IC26" s="14">
        <v>5000000</v>
      </c>
      <c r="IE26" s="1">
        <v>3</v>
      </c>
      <c r="IF26" s="1">
        <v>10</v>
      </c>
      <c r="IH26" s="16" t="s">
        <v>127</v>
      </c>
      <c r="II26" s="16">
        <v>44488</v>
      </c>
      <c r="IJ26" s="15">
        <v>20084907</v>
      </c>
      <c r="IK26" s="14">
        <v>20000000</v>
      </c>
      <c r="IM26"/>
      <c r="IN26"/>
      <c r="IP26" s="16" t="s">
        <v>126</v>
      </c>
      <c r="IQ26" s="16">
        <v>44859</v>
      </c>
      <c r="IR26" s="15">
        <v>13198474</v>
      </c>
      <c r="IS26" s="14">
        <v>10000000</v>
      </c>
    </row>
    <row r="27" spans="2:256" x14ac:dyDescent="0.25">
      <c r="B27" s="16" t="s">
        <v>135</v>
      </c>
      <c r="C27" s="16">
        <v>45202</v>
      </c>
      <c r="D27" s="15">
        <v>14203781.011781011</v>
      </c>
      <c r="E27" s="14">
        <v>15000000</v>
      </c>
      <c r="G27" s="115">
        <f t="shared" si="43"/>
        <v>70000000</v>
      </c>
      <c r="H27" s="2">
        <f t="shared" si="39"/>
        <v>1</v>
      </c>
      <c r="I27" s="39"/>
      <c r="J27" s="39"/>
      <c r="K27" s="39"/>
      <c r="M27" s="2" t="s">
        <v>41</v>
      </c>
      <c r="N27" s="2" t="s">
        <v>25</v>
      </c>
      <c r="Q27" s="13"/>
      <c r="R27" s="13"/>
      <c r="S27" s="13"/>
      <c r="T27" s="16" t="s">
        <v>33</v>
      </c>
      <c r="U27" s="16">
        <v>43452</v>
      </c>
      <c r="V27" s="15">
        <v>8910282.3254670613</v>
      </c>
      <c r="W27" s="14">
        <v>5000000</v>
      </c>
      <c r="Y27" s="1" t="s">
        <v>84</v>
      </c>
      <c r="AB27" s="2" t="s">
        <v>41</v>
      </c>
      <c r="AC27" s="2" t="s">
        <v>25</v>
      </c>
      <c r="AG27" s="13"/>
      <c r="AH27" s="13"/>
      <c r="AI27" s="16" t="s">
        <v>39</v>
      </c>
      <c r="AJ27" s="16">
        <v>43816</v>
      </c>
      <c r="AK27" s="15">
        <v>17512230.211406101</v>
      </c>
      <c r="AL27" s="14">
        <v>15000000</v>
      </c>
      <c r="AQ27" s="2" t="s">
        <v>41</v>
      </c>
      <c r="AR27" s="2" t="s">
        <v>25</v>
      </c>
      <c r="AV27" s="13"/>
      <c r="AW27" s="13"/>
      <c r="AX27" s="16" t="s">
        <v>38</v>
      </c>
      <c r="AY27" s="16">
        <v>44208</v>
      </c>
      <c r="AZ27" s="15">
        <v>12002894.051130779</v>
      </c>
      <c r="BA27" s="14">
        <v>5000000</v>
      </c>
      <c r="BC27" s="55" t="s">
        <v>167</v>
      </c>
      <c r="BD27" s="54"/>
      <c r="BF27" s="2" t="s">
        <v>41</v>
      </c>
      <c r="BG27" s="2" t="s">
        <v>25</v>
      </c>
      <c r="BK27" s="13"/>
      <c r="BL27" s="13"/>
      <c r="BM27" s="16" t="s">
        <v>35</v>
      </c>
      <c r="BN27" s="16">
        <v>44551</v>
      </c>
      <c r="BO27" s="15">
        <v>8995809.9803343173</v>
      </c>
      <c r="BP27" s="14">
        <v>2000000</v>
      </c>
      <c r="BR27" s="1">
        <v>3</v>
      </c>
      <c r="BS27" s="1">
        <v>10</v>
      </c>
      <c r="BU27" s="2" t="s">
        <v>41</v>
      </c>
      <c r="BV27" s="2" t="s">
        <v>25</v>
      </c>
      <c r="BZ27" s="13"/>
      <c r="CA27" s="13"/>
      <c r="CB27" s="16" t="s">
        <v>37</v>
      </c>
      <c r="CC27" s="16">
        <v>44936</v>
      </c>
      <c r="CD27" s="15">
        <v>9252797.0662970655</v>
      </c>
      <c r="CE27" s="14">
        <v>3000000</v>
      </c>
      <c r="CJ27" s="2" t="s">
        <v>41</v>
      </c>
      <c r="CK27" s="2" t="s">
        <v>25</v>
      </c>
      <c r="CO27" s="13"/>
      <c r="CP27" s="13"/>
      <c r="CQ27" s="16" t="s">
        <v>115</v>
      </c>
      <c r="CR27" s="16">
        <v>45279</v>
      </c>
      <c r="CS27" s="15">
        <v>68443644.721644714</v>
      </c>
      <c r="CT27" s="14">
        <v>70000000</v>
      </c>
      <c r="CY27" s="40">
        <v>10000000</v>
      </c>
      <c r="CZ27" s="39"/>
      <c r="DA27" s="40"/>
      <c r="DB27" s="39"/>
      <c r="DD27" s="13"/>
      <c r="DE27" s="13"/>
      <c r="DF27" s="16" t="s">
        <v>127</v>
      </c>
      <c r="DG27" s="16">
        <v>44523</v>
      </c>
      <c r="DH27" s="15">
        <v>16019015.363815146</v>
      </c>
      <c r="DI27" s="14">
        <v>10000000</v>
      </c>
      <c r="DK27"/>
      <c r="DL27"/>
      <c r="DM27"/>
      <c r="DN27"/>
      <c r="DO27" s="2" t="s">
        <v>41</v>
      </c>
      <c r="DP27" s="2" t="s">
        <v>25</v>
      </c>
      <c r="DT27" s="13"/>
      <c r="DU27" s="13"/>
      <c r="DV27" s="16" t="s">
        <v>126</v>
      </c>
      <c r="DW27" s="16">
        <v>44873</v>
      </c>
      <c r="DX27" s="15">
        <v>8820984.6834581364</v>
      </c>
      <c r="DY27" s="14">
        <v>3000000</v>
      </c>
      <c r="EA27"/>
      <c r="EB27">
        <v>1</v>
      </c>
      <c r="EC27"/>
      <c r="ED27"/>
      <c r="EE27" s="2" t="s">
        <v>41</v>
      </c>
      <c r="EF27" s="2" t="s">
        <v>25</v>
      </c>
      <c r="EJ27" s="13"/>
      <c r="EK27" s="13"/>
      <c r="EL27" s="16"/>
      <c r="EM27" s="16"/>
      <c r="EN27" s="15"/>
      <c r="EO27" s="14"/>
      <c r="EQ27"/>
      <c r="ER27"/>
      <c r="ES27"/>
      <c r="EU27" s="16" t="s">
        <v>126</v>
      </c>
      <c r="EV27" s="16">
        <v>44866</v>
      </c>
      <c r="EW27" s="15">
        <v>26314446</v>
      </c>
      <c r="EX27" s="14">
        <v>20000000</v>
      </c>
      <c r="EZ27"/>
      <c r="FA27"/>
      <c r="FB27"/>
      <c r="FD27" s="13"/>
      <c r="FE27" s="13"/>
      <c r="FF27" s="16" t="s">
        <v>83</v>
      </c>
      <c r="FG27" s="16">
        <v>43088</v>
      </c>
      <c r="FH27" s="15">
        <v>21338925</v>
      </c>
      <c r="FI27" s="14">
        <v>20000000</v>
      </c>
      <c r="FK27" s="1">
        <v>2</v>
      </c>
      <c r="FL27" s="1">
        <v>5</v>
      </c>
      <c r="FN27" s="16" t="s">
        <v>82</v>
      </c>
      <c r="FO27" s="46">
        <v>43270</v>
      </c>
      <c r="FP27" s="45">
        <v>7293471</v>
      </c>
      <c r="FQ27" s="44">
        <v>2000000</v>
      </c>
      <c r="FV27" s="16" t="s">
        <v>81</v>
      </c>
      <c r="FW27" s="16">
        <v>43452</v>
      </c>
      <c r="FX27" s="15">
        <v>8973876</v>
      </c>
      <c r="FY27" s="14">
        <v>5000000</v>
      </c>
      <c r="GD27" s="16" t="s">
        <v>79</v>
      </c>
      <c r="GE27" s="16">
        <v>43634</v>
      </c>
      <c r="GF27" s="15">
        <v>58989219</v>
      </c>
      <c r="GG27" s="14">
        <v>70000000</v>
      </c>
      <c r="GL27" s="16" t="s">
        <v>78</v>
      </c>
      <c r="GM27" s="16">
        <v>43816</v>
      </c>
      <c r="GN27" s="15">
        <v>16346604</v>
      </c>
      <c r="GO27" s="14">
        <v>15000000</v>
      </c>
      <c r="GQ27" s="1">
        <v>3</v>
      </c>
      <c r="GR27" s="1">
        <v>10</v>
      </c>
      <c r="GT27" s="16" t="s">
        <v>77</v>
      </c>
      <c r="GU27" s="16">
        <v>44005</v>
      </c>
      <c r="GV27" s="15">
        <v>25061742</v>
      </c>
      <c r="GW27" s="14">
        <v>20000000</v>
      </c>
      <c r="HB27" s="16" t="s">
        <v>70</v>
      </c>
      <c r="HC27" s="16">
        <v>44187</v>
      </c>
      <c r="HD27" s="15">
        <v>11451462</v>
      </c>
      <c r="HE27" s="14">
        <v>5000000</v>
      </c>
      <c r="HG27" s="1">
        <v>4</v>
      </c>
      <c r="HH27" s="1">
        <v>20</v>
      </c>
      <c r="HJ27" s="16" t="s">
        <v>86</v>
      </c>
      <c r="HK27" s="16">
        <v>44369</v>
      </c>
      <c r="HL27" s="15">
        <v>11375163</v>
      </c>
      <c r="HM27" s="14">
        <v>5000000</v>
      </c>
      <c r="HO27" s="1">
        <v>5</v>
      </c>
      <c r="HP27" s="1">
        <v>35</v>
      </c>
      <c r="HR27" s="16" t="s">
        <v>69</v>
      </c>
      <c r="HS27" s="16">
        <v>44551</v>
      </c>
      <c r="HT27" s="15">
        <v>9479955</v>
      </c>
      <c r="HU27" s="14">
        <v>2000000</v>
      </c>
      <c r="HZ27" s="16" t="s">
        <v>76</v>
      </c>
      <c r="IA27" s="16">
        <v>44733</v>
      </c>
      <c r="IB27" s="15">
        <v>11924379</v>
      </c>
      <c r="IC27" s="14">
        <v>10000000</v>
      </c>
      <c r="IE27" s="1">
        <v>4</v>
      </c>
      <c r="IF27" s="1">
        <v>20</v>
      </c>
      <c r="IH27" s="16" t="s">
        <v>127</v>
      </c>
      <c r="II27" s="16">
        <v>44495</v>
      </c>
      <c r="IJ27" s="15">
        <v>32206704</v>
      </c>
      <c r="IK27" s="14">
        <v>30000000</v>
      </c>
      <c r="IM27"/>
      <c r="IN27"/>
      <c r="IP27" s="16" t="s">
        <v>126</v>
      </c>
      <c r="IQ27" s="16">
        <v>44866</v>
      </c>
      <c r="IR27" s="15">
        <v>26314446</v>
      </c>
      <c r="IS27" s="14">
        <v>20000000</v>
      </c>
    </row>
    <row r="28" spans="2:256" x14ac:dyDescent="0.25">
      <c r="B28" s="16" t="s">
        <v>135</v>
      </c>
      <c r="C28" s="16">
        <v>45195</v>
      </c>
      <c r="D28" s="15">
        <v>12154527.258027257</v>
      </c>
      <c r="E28" s="14">
        <v>10000000</v>
      </c>
      <c r="G28" s="115">
        <f t="shared" si="43"/>
        <v>100000000</v>
      </c>
      <c r="H28" s="2">
        <f t="shared" si="39"/>
        <v>0</v>
      </c>
      <c r="I28" s="39"/>
      <c r="J28" s="39"/>
      <c r="K28" s="39"/>
      <c r="M28" s="40">
        <v>60</v>
      </c>
      <c r="N28" s="39">
        <f>($N$25*M28^2+$O$25*M28+$P$25)*1000000</f>
        <v>68933900</v>
      </c>
      <c r="O28" s="40">
        <v>210</v>
      </c>
      <c r="P28" s="39">
        <f>($N$25*O28^2+$O$25*O28+$P$25)*1000000</f>
        <v>471533900</v>
      </c>
      <c r="Q28" s="13"/>
      <c r="R28" s="13"/>
      <c r="S28" s="13"/>
      <c r="T28" s="16" t="s">
        <v>33</v>
      </c>
      <c r="U28" s="16">
        <v>43459</v>
      </c>
      <c r="V28" s="15">
        <v>11618528.392330388</v>
      </c>
      <c r="W28" s="14">
        <v>10000000</v>
      </c>
      <c r="Y28" s="1" t="s">
        <v>163</v>
      </c>
      <c r="AB28" s="40">
        <v>60</v>
      </c>
      <c r="AC28" s="39">
        <f>($AC$25*AB28^2+$AD$25*AB28+$AE$25)*1000000</f>
        <v>52406900</v>
      </c>
      <c r="AD28" s="40">
        <v>210</v>
      </c>
      <c r="AE28" s="39">
        <f t="shared" ref="AE28:AE42" si="44">($AC$25*AD28^2+$AD$25*AD28+$AE$25)*1000000</f>
        <v>296231900</v>
      </c>
      <c r="AG28" s="13"/>
      <c r="AH28" s="13"/>
      <c r="AI28" s="16" t="s">
        <v>39</v>
      </c>
      <c r="AJ28" s="16">
        <v>43823</v>
      </c>
      <c r="AK28" s="15">
        <v>21870114.798426747</v>
      </c>
      <c r="AL28" s="14">
        <v>20000000</v>
      </c>
      <c r="AQ28" s="40">
        <v>60</v>
      </c>
      <c r="AR28" s="39">
        <f>($AR$25*AQ28^2+$AS$25*AQ28+$AT$25)*1000000</f>
        <v>47141900</v>
      </c>
      <c r="AS28" s="40">
        <v>210</v>
      </c>
      <c r="AT28" s="39">
        <f t="shared" ref="AT28:AT42" si="45">($AR$25*AS28^2+$AS$25*AS28+$AT$25)*1000000</f>
        <v>32186899.999999993</v>
      </c>
      <c r="AV28" s="13"/>
      <c r="AW28" s="13"/>
      <c r="AX28" s="16" t="s">
        <v>38</v>
      </c>
      <c r="AY28" s="16">
        <v>44201</v>
      </c>
      <c r="AZ28" s="15">
        <v>9419249.631268438</v>
      </c>
      <c r="BA28" s="14">
        <v>2000000</v>
      </c>
      <c r="BC28" s="52" t="s">
        <v>42</v>
      </c>
      <c r="BD28" s="52" t="s">
        <v>41</v>
      </c>
      <c r="BF28" s="40">
        <v>60</v>
      </c>
      <c r="BG28" s="39">
        <f>($BG$25*BF28^2+$BH$25*BF28+$BI$25)*1000000</f>
        <v>53388100</v>
      </c>
      <c r="BH28" s="40">
        <v>210</v>
      </c>
      <c r="BI28" s="39">
        <f>($BG$25*BH28^2+$BH$25*BH28+$BI$25)*1000000</f>
        <v>138033100.00000003</v>
      </c>
      <c r="BK28" s="13"/>
      <c r="BL28" s="13"/>
      <c r="BM28" s="16" t="s">
        <v>35</v>
      </c>
      <c r="BN28" s="16">
        <v>44558</v>
      </c>
      <c r="BO28" s="15">
        <v>9661544.6165191736</v>
      </c>
      <c r="BP28" s="14">
        <v>5000000</v>
      </c>
      <c r="BR28" s="1">
        <v>4</v>
      </c>
      <c r="BS28" s="1">
        <v>20</v>
      </c>
      <c r="BU28" s="40">
        <v>60</v>
      </c>
      <c r="BV28" s="39">
        <f>($BV$25*BU28^2+$BW$25*BU28+$BX$25)*1000000</f>
        <v>59870500</v>
      </c>
      <c r="BW28" s="40">
        <v>210</v>
      </c>
      <c r="BX28" s="39">
        <f>($BV$25*BW28^2+$BW$25*BW28+$BX$25)*1000000</f>
        <v>242285500</v>
      </c>
      <c r="BZ28" s="13"/>
      <c r="CA28" s="13"/>
      <c r="CB28" s="16" t="s">
        <v>37</v>
      </c>
      <c r="CC28" s="16">
        <v>44929</v>
      </c>
      <c r="CD28" s="15">
        <v>20789274.65927466</v>
      </c>
      <c r="CE28" s="14">
        <v>20000000</v>
      </c>
      <c r="CJ28" s="40">
        <v>60</v>
      </c>
      <c r="CK28" s="39">
        <f>($CK$25*CJ28^2+$CL$25*CJ28+$CM$25)*1000000</f>
        <v>41376299.999999993</v>
      </c>
      <c r="CL28" s="40">
        <v>210</v>
      </c>
      <c r="CM28" s="39">
        <f>($CK$25*CL28^2+$CL$25*CL28+$CM$25)*1000000</f>
        <v>-72353700.000000015</v>
      </c>
      <c r="CO28" s="13"/>
      <c r="CP28" s="13"/>
      <c r="CQ28" s="16" t="s">
        <v>115</v>
      </c>
      <c r="CR28" s="16">
        <v>45286</v>
      </c>
      <c r="CS28" s="15">
        <v>101791079.34857933</v>
      </c>
      <c r="CT28" s="14">
        <v>90000000</v>
      </c>
      <c r="CY28" s="40">
        <v>15000000</v>
      </c>
      <c r="CZ28" s="39"/>
      <c r="DA28" s="40"/>
      <c r="DB28" s="39"/>
      <c r="DD28" s="13"/>
      <c r="DE28" s="13"/>
      <c r="DF28" s="16" t="s">
        <v>127</v>
      </c>
      <c r="DG28" s="16">
        <v>44516</v>
      </c>
      <c r="DH28" s="15">
        <v>11567999.016715834</v>
      </c>
      <c r="DI28" s="14">
        <v>5000000</v>
      </c>
      <c r="DK28"/>
      <c r="DL28"/>
      <c r="DM28"/>
      <c r="DO28" s="40">
        <v>60</v>
      </c>
      <c r="DP28" s="39">
        <f>($DP$25*DO28^2+$DQ$25*DO28+$DR$25)*1000000</f>
        <v>56010300</v>
      </c>
      <c r="DQ28" s="40">
        <v>210</v>
      </c>
      <c r="DR28" s="39">
        <f>($DP$25*DQ28^2+$DQ$25*DQ28+$DR$25)*1000000</f>
        <v>180510300.00000003</v>
      </c>
      <c r="DT28" s="13"/>
      <c r="DU28" s="13"/>
      <c r="DV28" s="16" t="s">
        <v>126</v>
      </c>
      <c r="DW28" s="16">
        <v>44866</v>
      </c>
      <c r="DX28" s="15">
        <v>24033234.286362607</v>
      </c>
      <c r="DY28" s="14">
        <v>20000000</v>
      </c>
      <c r="EA28"/>
      <c r="EB28"/>
      <c r="EC28"/>
      <c r="EE28" s="40">
        <v>60</v>
      </c>
      <c r="EF28" s="39">
        <f>($EF$25*EE28^2+$EG$25*EE28+$EH$25)*1000000</f>
        <v>78955500</v>
      </c>
      <c r="EG28" s="40">
        <v>210</v>
      </c>
      <c r="EH28" s="39">
        <f>($EF$25*EG28^2+$EG$25*EG28+$EH$25)*1000000</f>
        <v>846895500</v>
      </c>
      <c r="EJ28" s="13"/>
      <c r="EK28" s="13"/>
      <c r="EL28" s="16"/>
      <c r="EM28" s="16"/>
      <c r="EN28" s="15"/>
      <c r="EO28" s="14"/>
      <c r="EQ28"/>
      <c r="ER28"/>
      <c r="ES28"/>
      <c r="EU28" s="16" t="s">
        <v>126</v>
      </c>
      <c r="EV28" s="16">
        <v>44873</v>
      </c>
      <c r="EW28" s="15">
        <v>9565262</v>
      </c>
      <c r="EX28" s="14">
        <v>3000000</v>
      </c>
      <c r="EZ28"/>
      <c r="FA28"/>
      <c r="FB28"/>
      <c r="FD28" s="13"/>
      <c r="FE28" s="13"/>
      <c r="FF28" s="16" t="s">
        <v>83</v>
      </c>
      <c r="FG28" s="16">
        <v>43095</v>
      </c>
      <c r="FH28" s="15">
        <v>24133365</v>
      </c>
      <c r="FI28" s="14">
        <v>30000000</v>
      </c>
      <c r="FK28" s="1">
        <v>3</v>
      </c>
      <c r="FL28" s="1">
        <v>10</v>
      </c>
      <c r="FN28" s="16" t="s">
        <v>82</v>
      </c>
      <c r="FO28" s="46">
        <v>43277</v>
      </c>
      <c r="FP28" s="45">
        <v>9880503</v>
      </c>
      <c r="FQ28" s="44">
        <v>5000000</v>
      </c>
      <c r="FV28" s="16" t="s">
        <v>81</v>
      </c>
      <c r="FW28" s="16">
        <v>43459</v>
      </c>
      <c r="FX28" s="15">
        <v>12175476</v>
      </c>
      <c r="FY28" s="14">
        <v>10000000</v>
      </c>
      <c r="GD28" s="16" t="s">
        <v>79</v>
      </c>
      <c r="GE28" s="16">
        <v>43641</v>
      </c>
      <c r="GF28" s="15">
        <v>78838878</v>
      </c>
      <c r="GG28" s="14">
        <v>80000000</v>
      </c>
      <c r="GL28" s="16" t="s">
        <v>78</v>
      </c>
      <c r="GM28" s="16">
        <v>43823</v>
      </c>
      <c r="GN28" s="15">
        <v>20530608</v>
      </c>
      <c r="GO28" s="14">
        <v>20000000</v>
      </c>
      <c r="GQ28" s="1">
        <v>4</v>
      </c>
      <c r="GR28" s="1">
        <v>15</v>
      </c>
      <c r="GT28" s="16" t="s">
        <v>77</v>
      </c>
      <c r="GU28" s="16">
        <v>44012</v>
      </c>
      <c r="GV28" s="15">
        <v>29413656</v>
      </c>
      <c r="GW28" s="14">
        <v>30000000</v>
      </c>
      <c r="HB28" s="16" t="s">
        <v>70</v>
      </c>
      <c r="HC28" s="16">
        <v>44194</v>
      </c>
      <c r="HD28" s="15">
        <v>16795698</v>
      </c>
      <c r="HE28" s="14">
        <v>10000000</v>
      </c>
      <c r="HG28" s="1">
        <v>5</v>
      </c>
      <c r="HH28" s="1">
        <v>30</v>
      </c>
      <c r="HJ28" s="16" t="s">
        <v>86</v>
      </c>
      <c r="HK28" s="16">
        <v>44376</v>
      </c>
      <c r="HL28" s="15">
        <v>14906058</v>
      </c>
      <c r="HM28" s="14">
        <v>10000000</v>
      </c>
      <c r="HR28" s="16" t="s">
        <v>69</v>
      </c>
      <c r="HS28" s="16">
        <v>44558</v>
      </c>
      <c r="HT28" s="15">
        <v>8730972</v>
      </c>
      <c r="HU28" s="14">
        <v>5000000</v>
      </c>
      <c r="HZ28" s="16" t="s">
        <v>76</v>
      </c>
      <c r="IA28" s="16">
        <v>44740</v>
      </c>
      <c r="IB28" s="15">
        <v>14489396</v>
      </c>
      <c r="IC28" s="14">
        <v>20000000</v>
      </c>
      <c r="IE28" s="1">
        <v>5</v>
      </c>
      <c r="IF28" s="1">
        <v>30</v>
      </c>
      <c r="IH28" s="16" t="s">
        <v>127</v>
      </c>
      <c r="II28" s="16">
        <v>44502</v>
      </c>
      <c r="IJ28" s="15">
        <v>52526337</v>
      </c>
      <c r="IK28" s="14">
        <v>50000000</v>
      </c>
      <c r="IM28"/>
      <c r="IN28"/>
      <c r="IP28" s="16" t="s">
        <v>126</v>
      </c>
      <c r="IQ28" s="16">
        <v>44873</v>
      </c>
      <c r="IR28" s="15">
        <v>9565262</v>
      </c>
      <c r="IS28" s="14">
        <v>3000000</v>
      </c>
    </row>
    <row r="29" spans="2:256" x14ac:dyDescent="0.25">
      <c r="B29" s="16" t="s">
        <v>135</v>
      </c>
      <c r="C29" s="16">
        <v>45188</v>
      </c>
      <c r="D29" s="15">
        <v>9208195.4261954259</v>
      </c>
      <c r="E29" s="14">
        <v>5000000</v>
      </c>
      <c r="G29" s="115"/>
      <c r="H29" s="2"/>
      <c r="I29" s="39"/>
      <c r="J29" s="39"/>
      <c r="K29" s="39"/>
      <c r="M29" s="40">
        <v>70</v>
      </c>
      <c r="N29" s="39">
        <f t="shared" ref="N29:P42" si="46">($N$25*M29^2+$O$25*M29+$P$25)*1000000</f>
        <v>84713900</v>
      </c>
      <c r="O29" s="40">
        <v>220</v>
      </c>
      <c r="P29" s="39">
        <f t="shared" si="46"/>
        <v>511013900.00000006</v>
      </c>
      <c r="Q29" s="13"/>
      <c r="R29" s="13"/>
      <c r="S29" s="13"/>
      <c r="T29" s="16" t="s">
        <v>33</v>
      </c>
      <c r="U29" s="16">
        <v>43466</v>
      </c>
      <c r="V29" s="15">
        <v>6368111.9714847608</v>
      </c>
      <c r="W29" s="14">
        <v>2000000</v>
      </c>
      <c r="AB29" s="40">
        <v>70</v>
      </c>
      <c r="AC29" s="39">
        <f t="shared" ref="AC29:AC42" si="47">($AC$25*AB29^2+$AD$25*AB29+$AE$25)*1000000</f>
        <v>62781900</v>
      </c>
      <c r="AD29" s="40">
        <v>220</v>
      </c>
      <c r="AE29" s="39">
        <f t="shared" si="44"/>
        <v>319206899.99999994</v>
      </c>
      <c r="AG29" s="13"/>
      <c r="AH29" s="13"/>
      <c r="AI29" s="16" t="s">
        <v>39</v>
      </c>
      <c r="AJ29" s="16">
        <v>43830</v>
      </c>
      <c r="AK29" s="15">
        <v>10706460.545722717</v>
      </c>
      <c r="AL29" s="14">
        <v>2000000</v>
      </c>
      <c r="AQ29" s="40">
        <v>70</v>
      </c>
      <c r="AR29" s="39">
        <f>($AR$25*AQ29^2+$AS$25*AQ29+$AT$25)*1000000</f>
        <v>51324900</v>
      </c>
      <c r="AS29" s="40">
        <v>220</v>
      </c>
      <c r="AT29" s="39">
        <f t="shared" si="45"/>
        <v>25269899.999999993</v>
      </c>
      <c r="AV29" s="13"/>
      <c r="AW29" s="13"/>
      <c r="AX29" s="16" t="s">
        <v>38</v>
      </c>
      <c r="AY29" s="16">
        <v>44194</v>
      </c>
      <c r="AZ29" s="15">
        <v>17519683.136676501</v>
      </c>
      <c r="BA29" s="14">
        <v>10000000</v>
      </c>
      <c r="BC29" s="1">
        <v>1</v>
      </c>
      <c r="BD29" s="1">
        <v>2</v>
      </c>
      <c r="BF29" s="40">
        <v>70</v>
      </c>
      <c r="BG29" s="39">
        <f t="shared" ref="BG29:BI42" si="48">($BG$25*BF29^2+$BH$25*BF29+$BI$25)*1000000</f>
        <v>60291100</v>
      </c>
      <c r="BH29" s="40">
        <v>220</v>
      </c>
      <c r="BI29" s="39">
        <f t="shared" si="48"/>
        <v>142236100</v>
      </c>
      <c r="BK29" s="13"/>
      <c r="BL29" s="13"/>
      <c r="BM29" s="16" t="s">
        <v>35</v>
      </c>
      <c r="BN29" s="16">
        <v>44565</v>
      </c>
      <c r="BO29" s="15">
        <v>14668907.325467061</v>
      </c>
      <c r="BP29" s="14">
        <v>10000000</v>
      </c>
      <c r="BR29" s="1">
        <v>5</v>
      </c>
      <c r="BS29" s="1">
        <v>30</v>
      </c>
      <c r="BU29" s="40">
        <v>70</v>
      </c>
      <c r="BV29" s="39">
        <f t="shared" ref="BV29:BX42" si="49">($BV$25*BU29^2+$BW$25*BU29+$BX$25)*1000000</f>
        <v>69791500</v>
      </c>
      <c r="BW29" s="40">
        <v>220</v>
      </c>
      <c r="BX29" s="39">
        <f t="shared" si="49"/>
        <v>257006500.00000003</v>
      </c>
      <c r="BZ29" s="13"/>
      <c r="CA29" s="13"/>
      <c r="CB29" s="16" t="s">
        <v>37</v>
      </c>
      <c r="CC29" s="16">
        <v>44922</v>
      </c>
      <c r="CD29" s="15">
        <v>11083673.814386204</v>
      </c>
      <c r="CE29" s="14">
        <v>10000000</v>
      </c>
      <c r="CJ29" s="40">
        <v>70</v>
      </c>
      <c r="CK29" s="39">
        <f t="shared" ref="CK29:CM42" si="50">($CK$25*CJ29^2+$CL$25*CJ29+$CM$25)*1000000</f>
        <v>42754299.999999993</v>
      </c>
      <c r="CL29" s="40">
        <v>220</v>
      </c>
      <c r="CM29" s="39">
        <f t="shared" si="50"/>
        <v>-90175699.999999985</v>
      </c>
      <c r="CO29" s="13"/>
      <c r="CP29" s="13"/>
      <c r="CQ29" s="16" t="s">
        <v>115</v>
      </c>
      <c r="CR29" s="16">
        <v>45293</v>
      </c>
      <c r="CS29" s="15">
        <v>9209292.9082929064</v>
      </c>
      <c r="CT29" s="14">
        <v>3000000</v>
      </c>
      <c r="CY29" s="40">
        <v>20000000</v>
      </c>
      <c r="CZ29" s="39"/>
      <c r="DA29" s="40"/>
      <c r="DB29" s="39"/>
      <c r="DD29" s="13"/>
      <c r="DE29" s="13"/>
      <c r="DF29" s="16" t="s">
        <v>127</v>
      </c>
      <c r="DG29" s="16">
        <v>44509</v>
      </c>
      <c r="DH29" s="15">
        <v>9624065.1425762083</v>
      </c>
      <c r="DI29" s="14">
        <v>2000000</v>
      </c>
      <c r="DK29"/>
      <c r="DL29"/>
      <c r="DM29"/>
      <c r="DO29" s="40">
        <v>70</v>
      </c>
      <c r="DP29" s="39">
        <f t="shared" ref="DP29:DR42" si="51">($DP$25*DO29^2+$DQ$25*DO29+$DR$25)*1000000</f>
        <v>64170300</v>
      </c>
      <c r="DQ29" s="40">
        <v>220</v>
      </c>
      <c r="DR29" s="39">
        <f t="shared" si="51"/>
        <v>188970300</v>
      </c>
      <c r="DT29" s="13"/>
      <c r="DU29" s="13"/>
      <c r="DV29" s="16" t="s">
        <v>126</v>
      </c>
      <c r="DW29" s="16">
        <v>44859</v>
      </c>
      <c r="DX29" s="15">
        <v>12969386.884501932</v>
      </c>
      <c r="DY29" s="14">
        <v>10000000</v>
      </c>
      <c r="EA29"/>
      <c r="EB29"/>
      <c r="EC29"/>
      <c r="EE29" s="40">
        <v>70</v>
      </c>
      <c r="EF29" s="39">
        <f t="shared" ref="EF29:EH42" si="52">($EF$25*EE29^2+$EG$25*EE29+$EH$25)*1000000</f>
        <v>103691500</v>
      </c>
      <c r="EG29" s="40">
        <v>220</v>
      </c>
      <c r="EH29" s="39">
        <f t="shared" si="52"/>
        <v>928331500</v>
      </c>
      <c r="EJ29" s="13"/>
      <c r="EK29" s="13"/>
      <c r="EL29" s="16"/>
      <c r="EM29" s="16"/>
      <c r="EN29" s="15"/>
      <c r="EO29" s="14"/>
      <c r="EQ29"/>
      <c r="ER29"/>
      <c r="ES29"/>
      <c r="EU29" s="16" t="s">
        <v>126</v>
      </c>
      <c r="EV29" s="16">
        <v>44880</v>
      </c>
      <c r="EW29" s="15">
        <v>11733886</v>
      </c>
      <c r="EX29" s="14">
        <v>5000000</v>
      </c>
      <c r="EZ29"/>
      <c r="FA29"/>
      <c r="FB29"/>
      <c r="FD29" s="13"/>
      <c r="FE29" s="13"/>
      <c r="FK29" s="1">
        <v>4</v>
      </c>
      <c r="FL29" s="1">
        <v>15</v>
      </c>
      <c r="GL29" s="16" t="s">
        <v>78</v>
      </c>
      <c r="GM29" s="16">
        <v>43830</v>
      </c>
      <c r="GN29" s="15">
        <v>10294710</v>
      </c>
      <c r="GO29" s="14">
        <v>2000000</v>
      </c>
      <c r="GQ29" s="1">
        <v>5</v>
      </c>
      <c r="GR29" s="1">
        <v>20</v>
      </c>
      <c r="HB29" s="16"/>
      <c r="HC29" s="16"/>
      <c r="HD29" s="15"/>
      <c r="HE29" s="14"/>
      <c r="HG29" s="1">
        <v>6</v>
      </c>
      <c r="HH29" s="1">
        <v>50</v>
      </c>
      <c r="HJ29" s="16"/>
      <c r="HK29" s="16"/>
      <c r="HL29" s="15"/>
      <c r="HM29" s="14"/>
      <c r="HR29" s="16"/>
      <c r="HS29" s="16"/>
      <c r="HT29" s="15"/>
      <c r="HU29" s="14"/>
      <c r="HZ29" s="16"/>
      <c r="IA29" s="16"/>
      <c r="IB29" s="15"/>
      <c r="IC29" s="14"/>
      <c r="IE29" s="1">
        <v>6</v>
      </c>
      <c r="IF29" s="1">
        <v>50</v>
      </c>
      <c r="IH29" s="16" t="s">
        <v>127</v>
      </c>
      <c r="II29" s="16">
        <v>44509</v>
      </c>
      <c r="IJ29" s="15">
        <v>9696150</v>
      </c>
      <c r="IK29" s="14">
        <v>2000000</v>
      </c>
      <c r="IP29" s="16" t="s">
        <v>126</v>
      </c>
      <c r="IQ29" s="16">
        <v>44880</v>
      </c>
      <c r="IR29" s="15">
        <v>11733886</v>
      </c>
      <c r="IS29" s="14">
        <v>5000000</v>
      </c>
    </row>
    <row r="30" spans="2:256" x14ac:dyDescent="0.25">
      <c r="B30" s="16" t="s">
        <v>135</v>
      </c>
      <c r="C30" s="16">
        <v>45181</v>
      </c>
      <c r="D30" s="15">
        <v>8320856.8953568954</v>
      </c>
      <c r="E30" s="14">
        <v>3000000</v>
      </c>
      <c r="G30" s="115"/>
      <c r="H30" s="2"/>
      <c r="I30" s="39"/>
      <c r="J30" s="39"/>
      <c r="K30" s="39"/>
      <c r="M30" s="40">
        <v>80</v>
      </c>
      <c r="N30" s="39">
        <f t="shared" si="46"/>
        <v>102073900.00000001</v>
      </c>
      <c r="O30" s="40">
        <v>230</v>
      </c>
      <c r="P30" s="39">
        <f t="shared" si="46"/>
        <v>552073900</v>
      </c>
      <c r="Q30" s="13"/>
      <c r="R30" s="13"/>
      <c r="S30" s="13"/>
      <c r="T30" s="16" t="s">
        <v>33</v>
      </c>
      <c r="U30" s="16">
        <v>43473</v>
      </c>
      <c r="V30" s="15">
        <v>8769204.2772861365</v>
      </c>
      <c r="W30" s="14">
        <v>5000000</v>
      </c>
      <c r="AB30" s="40">
        <v>80</v>
      </c>
      <c r="AC30" s="39">
        <f t="shared" si="47"/>
        <v>73996900</v>
      </c>
      <c r="AD30" s="40">
        <v>230</v>
      </c>
      <c r="AE30" s="39">
        <f t="shared" si="44"/>
        <v>343021899.99999994</v>
      </c>
      <c r="AG30" s="13"/>
      <c r="AH30" s="13"/>
      <c r="AI30" s="16" t="s">
        <v>39</v>
      </c>
      <c r="AJ30" s="16">
        <v>43837</v>
      </c>
      <c r="AK30" s="15">
        <v>11340723.574237956</v>
      </c>
      <c r="AL30" s="14">
        <v>5000000</v>
      </c>
      <c r="AQ30" s="40">
        <v>80</v>
      </c>
      <c r="AR30" s="39">
        <f t="shared" ref="AR30:AR42" si="53">($AR$25*AQ30^2+$AS$25*AQ30+$AT$25)*1000000</f>
        <v>54767900.000000007</v>
      </c>
      <c r="AS30" s="40">
        <v>230</v>
      </c>
      <c r="AT30" s="39">
        <f t="shared" si="45"/>
        <v>17612899.999999981</v>
      </c>
      <c r="AV30" s="13"/>
      <c r="AW30" s="13"/>
      <c r="AX30" s="16" t="s">
        <v>38</v>
      </c>
      <c r="AY30" s="16">
        <v>44187</v>
      </c>
      <c r="AZ30" s="15">
        <v>12438482.66961652</v>
      </c>
      <c r="BA30" s="14">
        <v>5000000</v>
      </c>
      <c r="BC30" s="1">
        <v>2</v>
      </c>
      <c r="BD30" s="1">
        <v>5</v>
      </c>
      <c r="BF30" s="40">
        <v>80</v>
      </c>
      <c r="BG30" s="39">
        <f t="shared" si="48"/>
        <v>67014100</v>
      </c>
      <c r="BH30" s="40">
        <v>230</v>
      </c>
      <c r="BI30" s="39">
        <f t="shared" si="48"/>
        <v>146259100.00000003</v>
      </c>
      <c r="BK30" s="13"/>
      <c r="BL30" s="13"/>
      <c r="BM30" s="16" t="s">
        <v>35</v>
      </c>
      <c r="BN30" s="16">
        <v>44572</v>
      </c>
      <c r="BO30" s="15">
        <v>24718907.694198627</v>
      </c>
      <c r="BP30" s="14">
        <v>20000000</v>
      </c>
      <c r="BR30" s="1">
        <v>6</v>
      </c>
      <c r="BS30" s="1">
        <v>50</v>
      </c>
      <c r="BU30" s="40">
        <v>80</v>
      </c>
      <c r="BV30" s="39">
        <f t="shared" si="49"/>
        <v>80032500</v>
      </c>
      <c r="BW30" s="40">
        <v>230</v>
      </c>
      <c r="BX30" s="39">
        <f t="shared" si="49"/>
        <v>272047500</v>
      </c>
      <c r="BZ30" s="13"/>
      <c r="CA30" s="13"/>
      <c r="CB30" s="16" t="s">
        <v>37</v>
      </c>
      <c r="CC30" s="16">
        <v>44915</v>
      </c>
      <c r="CD30" s="15">
        <v>9188097.4585886095</v>
      </c>
      <c r="CE30" s="14">
        <v>5000000</v>
      </c>
      <c r="CJ30" s="40">
        <v>80</v>
      </c>
      <c r="CK30" s="39">
        <f t="shared" si="50"/>
        <v>42852300</v>
      </c>
      <c r="CL30" s="40">
        <v>230</v>
      </c>
      <c r="CM30" s="39">
        <f t="shared" si="50"/>
        <v>-109277700</v>
      </c>
      <c r="CO30" s="13"/>
      <c r="CP30" s="13"/>
      <c r="CQ30" s="16" t="s">
        <v>115</v>
      </c>
      <c r="CR30" s="16">
        <v>45300</v>
      </c>
      <c r="CS30" s="15">
        <v>10258208.362208363</v>
      </c>
      <c r="CT30" s="14">
        <v>5000000</v>
      </c>
      <c r="CY30" s="40">
        <v>30000000</v>
      </c>
      <c r="CZ30" s="39"/>
      <c r="DA30" s="40"/>
      <c r="DB30" s="39"/>
      <c r="DD30" s="13"/>
      <c r="DE30" s="13"/>
      <c r="DF30" s="16" t="s">
        <v>127</v>
      </c>
      <c r="DG30" s="16">
        <v>44502</v>
      </c>
      <c r="DH30" s="15">
        <v>50284365.290068828</v>
      </c>
      <c r="DI30" s="14">
        <v>50000000</v>
      </c>
      <c r="DO30" s="40">
        <v>80</v>
      </c>
      <c r="DP30" s="39">
        <f t="shared" si="51"/>
        <v>72350300</v>
      </c>
      <c r="DQ30" s="40">
        <v>230</v>
      </c>
      <c r="DR30" s="39">
        <f t="shared" si="51"/>
        <v>197450300</v>
      </c>
      <c r="DT30" s="13"/>
      <c r="DU30" s="13"/>
      <c r="DV30" s="16" t="s">
        <v>126</v>
      </c>
      <c r="DW30" s="16">
        <v>44852</v>
      </c>
      <c r="DX30" s="15">
        <v>9147285.341502158</v>
      </c>
      <c r="DY30" s="14">
        <v>5000000</v>
      </c>
      <c r="EE30" s="40">
        <v>80</v>
      </c>
      <c r="EF30" s="39">
        <f t="shared" si="52"/>
        <v>132207500.00000001</v>
      </c>
      <c r="EG30" s="40">
        <v>230</v>
      </c>
      <c r="EH30" s="39">
        <f t="shared" si="52"/>
        <v>1013547500</v>
      </c>
      <c r="EJ30" s="13"/>
      <c r="EK30" s="13"/>
      <c r="EL30" s="16"/>
      <c r="EM30" s="16"/>
      <c r="EN30" s="15"/>
      <c r="EO30" s="14"/>
      <c r="EU30" s="16" t="s">
        <v>126</v>
      </c>
      <c r="EV30" s="16">
        <v>44887</v>
      </c>
      <c r="EW30" s="15">
        <v>13861827</v>
      </c>
      <c r="EX30" s="14">
        <v>10000000</v>
      </c>
      <c r="FD30" s="13"/>
      <c r="FE30" s="13"/>
      <c r="FK30" s="1">
        <v>5</v>
      </c>
      <c r="FL30" s="1">
        <v>20</v>
      </c>
      <c r="GQ30" s="1">
        <v>6</v>
      </c>
      <c r="GR30" s="1">
        <v>30</v>
      </c>
      <c r="IH30" s="16" t="s">
        <v>127</v>
      </c>
      <c r="II30" s="16">
        <v>44516</v>
      </c>
      <c r="IJ30" s="15">
        <v>10732320</v>
      </c>
      <c r="IK30" s="14">
        <v>5000000</v>
      </c>
      <c r="IP30" s="16" t="s">
        <v>126</v>
      </c>
      <c r="IQ30" s="16">
        <v>44887</v>
      </c>
      <c r="IR30" s="15">
        <v>13861827</v>
      </c>
      <c r="IS30" s="14">
        <v>10000000</v>
      </c>
    </row>
    <row r="31" spans="2:256" x14ac:dyDescent="0.25">
      <c r="B31" s="16" t="s">
        <v>135</v>
      </c>
      <c r="C31" s="16">
        <v>45174</v>
      </c>
      <c r="D31" s="15">
        <v>14653323.169323169</v>
      </c>
      <c r="E31" s="14">
        <v>10000000</v>
      </c>
      <c r="G31" s="115"/>
      <c r="H31" s="2"/>
      <c r="I31" s="39"/>
      <c r="J31" s="39"/>
      <c r="K31" s="39"/>
      <c r="M31" s="40">
        <v>90</v>
      </c>
      <c r="N31" s="39">
        <f t="shared" si="46"/>
        <v>121013900</v>
      </c>
      <c r="O31" s="40">
        <v>240</v>
      </c>
      <c r="P31" s="39">
        <f t="shared" si="46"/>
        <v>594713900</v>
      </c>
      <c r="Q31" s="13"/>
      <c r="R31" s="13"/>
      <c r="S31" s="13"/>
      <c r="T31" s="16" t="s">
        <v>33</v>
      </c>
      <c r="U31" s="16">
        <v>43480</v>
      </c>
      <c r="V31" s="15">
        <v>12843387.659783678</v>
      </c>
      <c r="W31" s="14">
        <v>10000000</v>
      </c>
      <c r="AB31" s="40">
        <v>90</v>
      </c>
      <c r="AC31" s="39">
        <f t="shared" si="47"/>
        <v>86051899.999999985</v>
      </c>
      <c r="AD31" s="40">
        <v>240</v>
      </c>
      <c r="AE31" s="39">
        <f t="shared" si="44"/>
        <v>367676900</v>
      </c>
      <c r="AG31" s="13"/>
      <c r="AH31" s="13"/>
      <c r="AI31" s="16" t="s">
        <v>39</v>
      </c>
      <c r="AJ31" s="16">
        <v>43844</v>
      </c>
      <c r="AK31" s="15">
        <v>16341286.873156345</v>
      </c>
      <c r="AL31" s="14">
        <v>10000000</v>
      </c>
      <c r="AQ31" s="40">
        <v>90</v>
      </c>
      <c r="AR31" s="39">
        <f t="shared" si="53"/>
        <v>57470900</v>
      </c>
      <c r="AS31" s="40">
        <v>240</v>
      </c>
      <c r="AT31" s="39">
        <f t="shared" si="45"/>
        <v>9215899.9999999888</v>
      </c>
      <c r="AV31" s="13"/>
      <c r="AW31" s="13"/>
      <c r="AX31" s="16" t="s">
        <v>38</v>
      </c>
      <c r="AY31" s="16">
        <v>44180</v>
      </c>
      <c r="AZ31" s="15">
        <v>8899513.397246806</v>
      </c>
      <c r="BA31" s="14">
        <v>2000000</v>
      </c>
      <c r="BC31" s="1">
        <v>3</v>
      </c>
      <c r="BD31" s="1">
        <v>15</v>
      </c>
      <c r="BF31" s="40">
        <v>90</v>
      </c>
      <c r="BG31" s="39">
        <f t="shared" si="48"/>
        <v>73557099.999999985</v>
      </c>
      <c r="BH31" s="40">
        <v>240</v>
      </c>
      <c r="BI31" s="39">
        <f t="shared" si="48"/>
        <v>150102100</v>
      </c>
      <c r="BK31" s="13"/>
      <c r="BL31" s="13"/>
      <c r="BM31" s="16" t="s">
        <v>35</v>
      </c>
      <c r="BN31" s="16">
        <v>44579</v>
      </c>
      <c r="BO31" s="15">
        <v>32041685.594886929</v>
      </c>
      <c r="BP31" s="14">
        <v>30000000</v>
      </c>
      <c r="BU31" s="40">
        <v>90</v>
      </c>
      <c r="BV31" s="39">
        <f t="shared" si="49"/>
        <v>90593499.999999985</v>
      </c>
      <c r="BW31" s="40">
        <v>240</v>
      </c>
      <c r="BX31" s="39">
        <f t="shared" si="49"/>
        <v>287408500</v>
      </c>
      <c r="BZ31" s="13"/>
      <c r="CA31" s="13"/>
      <c r="CB31" s="16" t="s">
        <v>37</v>
      </c>
      <c r="CC31" s="16">
        <v>44908</v>
      </c>
      <c r="CD31" s="15">
        <v>8375973.9051508987</v>
      </c>
      <c r="CE31" s="14">
        <v>3000000</v>
      </c>
      <c r="CJ31" s="40">
        <v>90</v>
      </c>
      <c r="CK31" s="39">
        <f t="shared" si="50"/>
        <v>41670299.999999993</v>
      </c>
      <c r="CL31" s="40">
        <v>240</v>
      </c>
      <c r="CM31" s="39">
        <f t="shared" si="50"/>
        <v>-129659700.00000004</v>
      </c>
      <c r="CO31" s="13"/>
      <c r="CP31" s="13"/>
      <c r="CQ31" s="16" t="s">
        <v>115</v>
      </c>
      <c r="CR31" s="16">
        <v>45307</v>
      </c>
      <c r="CS31" s="15">
        <v>14163772.002772003</v>
      </c>
      <c r="CT31" s="14">
        <v>10000000</v>
      </c>
      <c r="CY31" s="40">
        <v>40000000</v>
      </c>
      <c r="CZ31" s="39"/>
      <c r="DA31" s="40"/>
      <c r="DB31" s="39"/>
      <c r="DD31" s="13"/>
      <c r="DE31" s="13"/>
      <c r="DF31" s="16" t="s">
        <v>127</v>
      </c>
      <c r="DG31" s="16">
        <v>44495</v>
      </c>
      <c r="DH31" s="15">
        <v>33086930.063913479</v>
      </c>
      <c r="DI31" s="14">
        <v>30000000</v>
      </c>
      <c r="DO31" s="40">
        <v>90</v>
      </c>
      <c r="DP31" s="39">
        <f t="shared" si="51"/>
        <v>80550300</v>
      </c>
      <c r="DQ31" s="40">
        <v>240</v>
      </c>
      <c r="DR31" s="39">
        <f t="shared" si="51"/>
        <v>205950300</v>
      </c>
      <c r="DT31" s="13"/>
      <c r="DU31" s="13"/>
      <c r="DV31" s="16" t="s">
        <v>126</v>
      </c>
      <c r="DW31" s="16">
        <v>44845</v>
      </c>
      <c r="DX31" s="15">
        <v>8542306.3308373056</v>
      </c>
      <c r="DY31" s="14">
        <v>3000000</v>
      </c>
      <c r="EE31" s="40">
        <v>90</v>
      </c>
      <c r="EF31" s="39">
        <f t="shared" si="52"/>
        <v>164503500</v>
      </c>
      <c r="EG31" s="40">
        <v>240</v>
      </c>
      <c r="EH31" s="39">
        <f t="shared" si="52"/>
        <v>1102543500</v>
      </c>
      <c r="EJ31" s="13"/>
      <c r="EK31" s="13"/>
      <c r="EL31" s="16"/>
      <c r="EM31" s="16"/>
      <c r="EN31" s="15"/>
      <c r="EO31" s="14"/>
      <c r="EU31" s="16"/>
      <c r="EV31" s="16"/>
      <c r="EW31" s="15"/>
      <c r="EX31" s="14"/>
      <c r="FD31" s="13"/>
      <c r="FE31" s="13"/>
      <c r="FK31" s="1">
        <v>6</v>
      </c>
      <c r="FL31" s="1">
        <v>30</v>
      </c>
      <c r="GQ31" s="1">
        <v>7</v>
      </c>
      <c r="GR31" s="1">
        <v>50</v>
      </c>
      <c r="IH31" s="16" t="s">
        <v>127</v>
      </c>
      <c r="II31" s="16">
        <v>44523</v>
      </c>
      <c r="IJ31" s="15">
        <v>18545007</v>
      </c>
      <c r="IK31" s="14">
        <v>10000000</v>
      </c>
      <c r="IP31" s="16"/>
      <c r="IQ31" s="16"/>
      <c r="IR31" s="15"/>
      <c r="IS31" s="14"/>
    </row>
    <row r="32" spans="2:256" x14ac:dyDescent="0.25">
      <c r="B32" s="16" t="s">
        <v>135</v>
      </c>
      <c r="C32" s="16">
        <v>45167</v>
      </c>
      <c r="D32" s="15">
        <v>9293070.4550704546</v>
      </c>
      <c r="E32" s="14">
        <v>5000000</v>
      </c>
      <c r="M32" s="40">
        <v>100</v>
      </c>
      <c r="N32" s="39">
        <f t="shared" si="46"/>
        <v>141533900.00000003</v>
      </c>
      <c r="O32" s="40">
        <v>250</v>
      </c>
      <c r="P32" s="39">
        <f t="shared" si="46"/>
        <v>638933900</v>
      </c>
      <c r="Q32" s="13"/>
      <c r="R32" s="13"/>
      <c r="S32" s="13"/>
      <c r="T32" s="16" t="s">
        <v>33</v>
      </c>
      <c r="U32" s="16">
        <v>43487</v>
      </c>
      <c r="V32" s="15">
        <v>21724946.165191751</v>
      </c>
      <c r="W32" s="14">
        <v>15000000</v>
      </c>
      <c r="AB32" s="40">
        <v>100</v>
      </c>
      <c r="AC32" s="39">
        <f t="shared" si="47"/>
        <v>98946900</v>
      </c>
      <c r="AD32" s="40">
        <v>250</v>
      </c>
      <c r="AE32" s="39">
        <f t="shared" si="44"/>
        <v>393171900</v>
      </c>
      <c r="AG32" s="13"/>
      <c r="AH32" s="13"/>
      <c r="AI32" s="16" t="s">
        <v>39</v>
      </c>
      <c r="AJ32" s="16">
        <v>43851</v>
      </c>
      <c r="AK32" s="15">
        <v>7949446.4110127836</v>
      </c>
      <c r="AL32" s="14">
        <v>2000000</v>
      </c>
      <c r="AQ32" s="40">
        <v>100</v>
      </c>
      <c r="AR32" s="39">
        <f t="shared" si="53"/>
        <v>59433899.999999993</v>
      </c>
      <c r="AS32" s="40">
        <v>250</v>
      </c>
      <c r="AT32" s="39">
        <f t="shared" si="45"/>
        <v>78899.999999988417</v>
      </c>
      <c r="AV32" s="13"/>
      <c r="AW32" s="13"/>
      <c r="AX32" s="16" t="s">
        <v>38</v>
      </c>
      <c r="AY32" s="16">
        <v>44173</v>
      </c>
      <c r="AZ32" s="15">
        <v>12264618.362831861</v>
      </c>
      <c r="BA32" s="14">
        <v>5000000</v>
      </c>
      <c r="BC32" s="1">
        <v>4</v>
      </c>
      <c r="BD32" s="1">
        <v>25</v>
      </c>
      <c r="BF32" s="40">
        <v>100</v>
      </c>
      <c r="BG32" s="39">
        <f t="shared" si="48"/>
        <v>79920100</v>
      </c>
      <c r="BH32" s="40">
        <v>250</v>
      </c>
      <c r="BI32" s="39">
        <f t="shared" si="48"/>
        <v>153765100.00000003</v>
      </c>
      <c r="BK32" s="13"/>
      <c r="BL32" s="13"/>
      <c r="BM32" s="16" t="s">
        <v>35</v>
      </c>
      <c r="BN32" s="16">
        <v>44586</v>
      </c>
      <c r="BO32" s="15">
        <v>46351200.835791551</v>
      </c>
      <c r="BP32" s="14">
        <v>50000000</v>
      </c>
      <c r="BU32" s="40">
        <v>100</v>
      </c>
      <c r="BV32" s="39">
        <f t="shared" si="49"/>
        <v>101474499.99999999</v>
      </c>
      <c r="BW32" s="40">
        <v>250</v>
      </c>
      <c r="BX32" s="39">
        <f t="shared" si="49"/>
        <v>303089500</v>
      </c>
      <c r="BZ32" s="13"/>
      <c r="CA32" s="13"/>
      <c r="CB32" s="16" t="s">
        <v>37</v>
      </c>
      <c r="CC32" s="16">
        <v>44901</v>
      </c>
      <c r="CD32" s="15">
        <v>24007308.373042881</v>
      </c>
      <c r="CE32" s="14">
        <v>30000000</v>
      </c>
      <c r="CJ32" s="40">
        <v>100</v>
      </c>
      <c r="CK32" s="39">
        <f t="shared" si="50"/>
        <v>39208300</v>
      </c>
      <c r="CL32" s="40">
        <v>250</v>
      </c>
      <c r="CM32" s="39">
        <f t="shared" si="50"/>
        <v>-151321700.00000003</v>
      </c>
      <c r="CO32" s="13"/>
      <c r="CP32" s="13"/>
      <c r="CQ32" s="16" t="s">
        <v>115</v>
      </c>
      <c r="CR32" s="16">
        <v>45314</v>
      </c>
      <c r="CS32" s="15">
        <v>8527726.1492261495</v>
      </c>
      <c r="CT32" s="14">
        <v>3000000</v>
      </c>
      <c r="CY32" s="40">
        <v>50000000</v>
      </c>
      <c r="CZ32" s="39"/>
      <c r="DA32" s="40"/>
      <c r="DB32" s="39"/>
      <c r="DD32" s="13"/>
      <c r="DE32" s="13"/>
      <c r="DF32" s="16" t="s">
        <v>127</v>
      </c>
      <c r="DG32" s="16">
        <v>44488</v>
      </c>
      <c r="DH32" s="15">
        <v>21203085.422812197</v>
      </c>
      <c r="DI32" s="14">
        <v>20000000</v>
      </c>
      <c r="DO32" s="40">
        <v>100</v>
      </c>
      <c r="DP32" s="39">
        <f t="shared" si="51"/>
        <v>88770300</v>
      </c>
      <c r="DQ32" s="40">
        <v>250</v>
      </c>
      <c r="DR32" s="39">
        <f t="shared" si="51"/>
        <v>214470300</v>
      </c>
      <c r="DT32" s="13"/>
      <c r="DU32" s="13"/>
      <c r="DV32" s="16" t="s">
        <v>126</v>
      </c>
      <c r="DW32" s="16">
        <v>44838</v>
      </c>
      <c r="DX32" s="15">
        <v>41464495.575221241</v>
      </c>
      <c r="DY32" s="14">
        <v>50000000</v>
      </c>
      <c r="EE32" s="40">
        <v>100</v>
      </c>
      <c r="EF32" s="39">
        <f t="shared" si="52"/>
        <v>200579500</v>
      </c>
      <c r="EG32" s="40">
        <v>250</v>
      </c>
      <c r="EH32" s="39">
        <f t="shared" si="52"/>
        <v>1195319500</v>
      </c>
      <c r="EJ32" s="13"/>
      <c r="EK32" s="13"/>
      <c r="EL32" s="16"/>
      <c r="EM32" s="16"/>
      <c r="EN32" s="15"/>
      <c r="EO32" s="14"/>
      <c r="EU32" s="95"/>
      <c r="EV32" s="95"/>
      <c r="EW32" s="96"/>
      <c r="EX32" s="97"/>
      <c r="FD32" s="13"/>
      <c r="FE32" s="13"/>
      <c r="FK32" s="1">
        <v>7</v>
      </c>
      <c r="FL32" s="1">
        <v>40</v>
      </c>
      <c r="IH32" s="16" t="s">
        <v>127</v>
      </c>
      <c r="II32" s="16">
        <v>44530</v>
      </c>
      <c r="IJ32" s="15">
        <v>20273610</v>
      </c>
      <c r="IK32" s="14">
        <v>20000000</v>
      </c>
      <c r="IP32" s="16"/>
      <c r="IQ32" s="16"/>
      <c r="IR32" s="15"/>
      <c r="IS32" s="14"/>
    </row>
    <row r="33" spans="2:253" x14ac:dyDescent="0.25">
      <c r="B33" s="16" t="s">
        <v>135</v>
      </c>
      <c r="C33" s="16">
        <v>45160</v>
      </c>
      <c r="D33" s="15">
        <v>8680352.275352275</v>
      </c>
      <c r="E33" s="14">
        <v>3000000</v>
      </c>
      <c r="I33" s="116"/>
      <c r="J33" s="116"/>
      <c r="K33" s="116"/>
      <c r="M33" s="40">
        <v>110</v>
      </c>
      <c r="N33" s="39">
        <f t="shared" si="46"/>
        <v>163633900</v>
      </c>
      <c r="O33" s="40">
        <v>260</v>
      </c>
      <c r="P33" s="39">
        <f t="shared" si="46"/>
        <v>684733900.00000012</v>
      </c>
      <c r="Q33" s="13"/>
      <c r="R33" s="13"/>
      <c r="S33" s="13"/>
      <c r="T33" s="16" t="s">
        <v>33</v>
      </c>
      <c r="U33" s="16">
        <v>43494</v>
      </c>
      <c r="V33" s="15">
        <v>23609991.027531959</v>
      </c>
      <c r="W33" s="14">
        <v>20000000</v>
      </c>
      <c r="AB33" s="40">
        <v>110</v>
      </c>
      <c r="AC33" s="39">
        <f t="shared" si="47"/>
        <v>112681899.99999999</v>
      </c>
      <c r="AD33" s="40">
        <v>260</v>
      </c>
      <c r="AE33" s="39">
        <f t="shared" si="44"/>
        <v>419506899.99999994</v>
      </c>
      <c r="AG33" s="13"/>
      <c r="AH33" s="13"/>
      <c r="AI33" s="16" t="s">
        <v>39</v>
      </c>
      <c r="AJ33" s="16">
        <v>43858</v>
      </c>
      <c r="AK33" s="15">
        <v>9453245.0835791565</v>
      </c>
      <c r="AL33" s="14">
        <v>5000000</v>
      </c>
      <c r="AQ33" s="40">
        <v>110</v>
      </c>
      <c r="AR33" s="39">
        <f t="shared" si="53"/>
        <v>60656900</v>
      </c>
      <c r="AS33" s="40">
        <v>260</v>
      </c>
      <c r="AT33" s="39">
        <f t="shared" si="45"/>
        <v>-9798100.0000000205</v>
      </c>
      <c r="AV33" s="13"/>
      <c r="AW33" s="13"/>
      <c r="AX33" s="16" t="s">
        <v>38</v>
      </c>
      <c r="AY33" s="16">
        <v>44166</v>
      </c>
      <c r="AZ33" s="15">
        <v>9508285.6440511327</v>
      </c>
      <c r="BA33" s="14">
        <v>2000000</v>
      </c>
      <c r="BC33" s="1">
        <v>5</v>
      </c>
      <c r="BD33" s="1">
        <v>35</v>
      </c>
      <c r="BF33" s="40">
        <v>110</v>
      </c>
      <c r="BG33" s="39">
        <f t="shared" si="48"/>
        <v>86103100</v>
      </c>
      <c r="BH33" s="40">
        <v>260</v>
      </c>
      <c r="BI33" s="39">
        <f t="shared" si="48"/>
        <v>157248100</v>
      </c>
      <c r="BK33" s="13"/>
      <c r="BL33" s="13"/>
      <c r="BM33" s="16" t="s">
        <v>35</v>
      </c>
      <c r="BN33" s="16">
        <v>44593</v>
      </c>
      <c r="BO33" s="15">
        <v>9568139.3805309739</v>
      </c>
      <c r="BP33" s="14">
        <v>2000000</v>
      </c>
      <c r="BU33" s="40">
        <v>110</v>
      </c>
      <c r="BV33" s="39">
        <f t="shared" si="49"/>
        <v>112675500</v>
      </c>
      <c r="BW33" s="40">
        <v>260</v>
      </c>
      <c r="BX33" s="39">
        <f t="shared" si="49"/>
        <v>319090500</v>
      </c>
      <c r="BZ33" s="13"/>
      <c r="CA33" s="13"/>
      <c r="CB33" s="16" t="s">
        <v>37</v>
      </c>
      <c r="CC33" s="16">
        <v>44894</v>
      </c>
      <c r="CD33" s="15">
        <v>19316402.995234855</v>
      </c>
      <c r="CE33" s="14">
        <v>20000000</v>
      </c>
      <c r="CJ33" s="40">
        <v>110</v>
      </c>
      <c r="CK33" s="39">
        <f t="shared" si="50"/>
        <v>35466300</v>
      </c>
      <c r="CL33" s="40">
        <v>260</v>
      </c>
      <c r="CM33" s="39">
        <f t="shared" si="50"/>
        <v>-174263700.00000006</v>
      </c>
      <c r="CO33" s="13"/>
      <c r="CP33" s="13"/>
      <c r="CQ33" s="16" t="s">
        <v>115</v>
      </c>
      <c r="CR33" s="16">
        <v>45321</v>
      </c>
      <c r="CS33" s="15">
        <v>9389303.5343035329</v>
      </c>
      <c r="CT33" s="14">
        <v>5000000</v>
      </c>
      <c r="CY33" s="40">
        <v>70000000</v>
      </c>
      <c r="CZ33" s="39"/>
      <c r="DA33" s="40"/>
      <c r="DB33" s="39"/>
      <c r="DD33" s="13"/>
      <c r="DE33" s="13"/>
      <c r="DF33" s="16" t="s">
        <v>127</v>
      </c>
      <c r="DG33" s="16">
        <v>44481</v>
      </c>
      <c r="DH33" s="15">
        <v>16350092.305801379</v>
      </c>
      <c r="DI33" s="14">
        <v>10000000</v>
      </c>
      <c r="DO33" s="40">
        <v>110</v>
      </c>
      <c r="DP33" s="39">
        <f t="shared" si="51"/>
        <v>97010299.999999985</v>
      </c>
      <c r="DQ33" s="40">
        <v>260</v>
      </c>
      <c r="DR33" s="39">
        <f t="shared" si="51"/>
        <v>223010300</v>
      </c>
      <c r="DT33" s="13"/>
      <c r="DU33" s="13"/>
      <c r="DV33" s="16" t="s">
        <v>126</v>
      </c>
      <c r="DW33" s="16">
        <v>44831</v>
      </c>
      <c r="DX33" s="15">
        <v>26481381.098252784</v>
      </c>
      <c r="DY33" s="14">
        <v>30000000</v>
      </c>
      <c r="EE33" s="40">
        <v>110</v>
      </c>
      <c r="EF33" s="39">
        <f t="shared" si="52"/>
        <v>240435500</v>
      </c>
      <c r="EG33" s="40">
        <v>260</v>
      </c>
      <c r="EH33" s="39">
        <f t="shared" si="52"/>
        <v>1291875500</v>
      </c>
      <c r="EJ33" s="13"/>
      <c r="EK33" s="13"/>
      <c r="EL33" s="16"/>
      <c r="EM33" s="16"/>
      <c r="EN33" s="15"/>
      <c r="EO33" s="14"/>
      <c r="EU33" s="95"/>
      <c r="EV33" s="95"/>
      <c r="EW33" s="96"/>
      <c r="EX33" s="97"/>
      <c r="FD33" s="13"/>
      <c r="FE33" s="13"/>
      <c r="IH33" s="16" t="s">
        <v>127</v>
      </c>
      <c r="II33" s="16">
        <v>44537</v>
      </c>
      <c r="IJ33" s="15">
        <v>31576215</v>
      </c>
      <c r="IK33" s="14">
        <v>30000000</v>
      </c>
      <c r="IP33" s="16"/>
      <c r="IQ33" s="16"/>
      <c r="IR33" s="15"/>
      <c r="IS33" s="14"/>
    </row>
    <row r="34" spans="2:253" x14ac:dyDescent="0.25">
      <c r="B34" s="16" t="s">
        <v>135</v>
      </c>
      <c r="C34" s="16">
        <v>45153</v>
      </c>
      <c r="D34" s="15">
        <v>29189057.750057742</v>
      </c>
      <c r="E34" s="14">
        <v>30000000</v>
      </c>
      <c r="I34" s="116"/>
      <c r="J34" s="116"/>
      <c r="K34" s="116"/>
      <c r="M34" s="40">
        <v>120</v>
      </c>
      <c r="N34" s="39">
        <f t="shared" si="46"/>
        <v>187313900</v>
      </c>
      <c r="O34" s="40">
        <v>270</v>
      </c>
      <c r="P34" s="39">
        <f t="shared" si="46"/>
        <v>732113900</v>
      </c>
      <c r="Q34" s="13"/>
      <c r="R34" s="13"/>
      <c r="S34" s="13"/>
      <c r="T34" s="16" t="s">
        <v>33</v>
      </c>
      <c r="U34" s="16">
        <v>43501</v>
      </c>
      <c r="V34" s="15">
        <v>8052857.0550639154</v>
      </c>
      <c r="W34" s="14">
        <v>2000000</v>
      </c>
      <c r="AB34" s="40">
        <v>120</v>
      </c>
      <c r="AC34" s="39">
        <f t="shared" si="47"/>
        <v>127256899.99999999</v>
      </c>
      <c r="AD34" s="40">
        <v>270</v>
      </c>
      <c r="AE34" s="39">
        <f t="shared" si="44"/>
        <v>446681900</v>
      </c>
      <c r="AG34" s="13"/>
      <c r="AH34" s="13"/>
      <c r="AI34" s="16" t="s">
        <v>39</v>
      </c>
      <c r="AJ34" s="16">
        <v>43865</v>
      </c>
      <c r="AK34" s="15">
        <v>13666496.68141593</v>
      </c>
      <c r="AL34" s="14">
        <v>10000000</v>
      </c>
      <c r="AQ34" s="40">
        <v>120</v>
      </c>
      <c r="AR34" s="39">
        <f t="shared" si="53"/>
        <v>61139900</v>
      </c>
      <c r="AS34" s="40">
        <v>270</v>
      </c>
      <c r="AT34" s="39">
        <f t="shared" si="45"/>
        <v>-20415100.000000011</v>
      </c>
      <c r="AV34" s="13"/>
      <c r="AW34" s="13"/>
      <c r="AX34" s="16" t="s">
        <v>38</v>
      </c>
      <c r="AY34" s="16">
        <v>44159</v>
      </c>
      <c r="AZ34" s="15">
        <v>9219306.1701081619</v>
      </c>
      <c r="BA34" s="14">
        <v>2000000</v>
      </c>
      <c r="BC34" s="1">
        <v>6</v>
      </c>
      <c r="BD34" s="1">
        <v>50</v>
      </c>
      <c r="BF34" s="40">
        <v>120</v>
      </c>
      <c r="BG34" s="39">
        <f t="shared" si="48"/>
        <v>92106100.000000015</v>
      </c>
      <c r="BH34" s="40">
        <v>270</v>
      </c>
      <c r="BI34" s="39">
        <f t="shared" si="48"/>
        <v>160551100</v>
      </c>
      <c r="BK34" s="13"/>
      <c r="BL34" s="13"/>
      <c r="BM34" s="16" t="s">
        <v>35</v>
      </c>
      <c r="BN34" s="16">
        <v>44600</v>
      </c>
      <c r="BO34" s="15">
        <v>10997342.920353984</v>
      </c>
      <c r="BP34" s="14">
        <v>5000000</v>
      </c>
      <c r="BU34" s="40">
        <v>120</v>
      </c>
      <c r="BV34" s="39">
        <f t="shared" si="49"/>
        <v>124196500</v>
      </c>
      <c r="BW34" s="40">
        <v>270</v>
      </c>
      <c r="BX34" s="39">
        <f t="shared" si="49"/>
        <v>335411500</v>
      </c>
      <c r="BZ34" s="13"/>
      <c r="CA34" s="13"/>
      <c r="CB34" s="16" t="s">
        <v>37</v>
      </c>
      <c r="CC34" s="16">
        <v>44887</v>
      </c>
      <c r="CD34" s="15">
        <v>12652465.963240299</v>
      </c>
      <c r="CE34" s="14">
        <v>10000000</v>
      </c>
      <c r="CJ34" s="40">
        <v>120</v>
      </c>
      <c r="CK34" s="39">
        <f t="shared" si="50"/>
        <v>30444299.999999996</v>
      </c>
      <c r="CL34" s="40">
        <v>270</v>
      </c>
      <c r="CM34" s="39">
        <f t="shared" si="50"/>
        <v>-198485700</v>
      </c>
      <c r="CO34" s="13"/>
      <c r="CP34" s="13"/>
      <c r="CQ34" s="16" t="s">
        <v>115</v>
      </c>
      <c r="CR34" s="16">
        <v>45328</v>
      </c>
      <c r="CS34" s="15">
        <v>18082208.708708707</v>
      </c>
      <c r="CT34" s="14">
        <v>10000000</v>
      </c>
      <c r="CY34" s="40">
        <v>90000000</v>
      </c>
      <c r="CZ34" s="39"/>
      <c r="DA34" s="40"/>
      <c r="DB34" s="39"/>
      <c r="DD34" s="13"/>
      <c r="DE34" s="13"/>
      <c r="DF34" s="16" t="s">
        <v>127</v>
      </c>
      <c r="DG34" s="16">
        <v>44474</v>
      </c>
      <c r="DH34" s="15">
        <v>12042942.232055068</v>
      </c>
      <c r="DI34" s="14">
        <v>5000000</v>
      </c>
      <c r="DO34" s="40">
        <v>120</v>
      </c>
      <c r="DP34" s="39">
        <f t="shared" si="51"/>
        <v>105270299.99999999</v>
      </c>
      <c r="DQ34" s="40">
        <v>270</v>
      </c>
      <c r="DR34" s="39">
        <f t="shared" si="51"/>
        <v>231570300</v>
      </c>
      <c r="DT34" s="13"/>
      <c r="DU34" s="13"/>
      <c r="DV34" s="16" t="s">
        <v>126</v>
      </c>
      <c r="DW34" s="16">
        <v>44824</v>
      </c>
      <c r="DX34" s="15">
        <v>21774610.959836625</v>
      </c>
      <c r="DY34" s="14">
        <v>20000000</v>
      </c>
      <c r="EE34" s="40">
        <v>120</v>
      </c>
      <c r="EF34" s="39">
        <f t="shared" si="52"/>
        <v>284071500</v>
      </c>
      <c r="EG34" s="40">
        <v>270</v>
      </c>
      <c r="EH34" s="39">
        <f t="shared" si="52"/>
        <v>1392211500</v>
      </c>
      <c r="EJ34" s="13"/>
      <c r="EK34" s="13"/>
      <c r="EL34" s="16"/>
      <c r="EM34" s="16"/>
      <c r="EN34" s="15"/>
      <c r="EO34" s="14"/>
      <c r="EU34" s="16"/>
      <c r="EV34" s="16"/>
      <c r="EW34" s="15"/>
      <c r="EX34" s="14"/>
      <c r="FD34" s="13"/>
      <c r="FE34" s="13"/>
      <c r="IH34" s="16" t="s">
        <v>127</v>
      </c>
      <c r="II34" s="16">
        <v>44544</v>
      </c>
      <c r="IJ34" s="15">
        <v>8828586</v>
      </c>
      <c r="IK34" s="14">
        <v>2000000</v>
      </c>
      <c r="IP34" s="16"/>
      <c r="IQ34" s="16"/>
      <c r="IR34" s="15"/>
      <c r="IS34" s="14"/>
    </row>
    <row r="35" spans="2:253" x14ac:dyDescent="0.25">
      <c r="B35" s="16" t="s">
        <v>135</v>
      </c>
      <c r="C35" s="16">
        <v>45146</v>
      </c>
      <c r="D35" s="15">
        <v>22289923.538923535</v>
      </c>
      <c r="E35" s="14">
        <v>20000000</v>
      </c>
      <c r="I35" s="116"/>
      <c r="J35" s="116"/>
      <c r="K35" s="116"/>
      <c r="M35" s="40">
        <v>130</v>
      </c>
      <c r="N35" s="39">
        <f t="shared" si="46"/>
        <v>212573900.00000003</v>
      </c>
      <c r="O35" s="40">
        <v>280</v>
      </c>
      <c r="P35" s="39">
        <f t="shared" si="46"/>
        <v>781073900</v>
      </c>
      <c r="Q35" s="13"/>
      <c r="R35" s="13"/>
      <c r="S35" s="13"/>
      <c r="T35" s="16" t="s">
        <v>33</v>
      </c>
      <c r="U35" s="16">
        <v>43508</v>
      </c>
      <c r="V35" s="15">
        <v>9004759.5870206505</v>
      </c>
      <c r="W35" s="14">
        <v>5000000</v>
      </c>
      <c r="AB35" s="40">
        <v>130</v>
      </c>
      <c r="AC35" s="39">
        <f t="shared" si="47"/>
        <v>142671900</v>
      </c>
      <c r="AD35" s="40">
        <v>280</v>
      </c>
      <c r="AE35" s="39">
        <f t="shared" si="44"/>
        <v>474696900</v>
      </c>
      <c r="AG35" s="13"/>
      <c r="AH35" s="13"/>
      <c r="AI35" s="16" t="s">
        <v>39</v>
      </c>
      <c r="AJ35" s="16">
        <v>43872</v>
      </c>
      <c r="AK35" s="15">
        <v>7998191.0029498534</v>
      </c>
      <c r="AL35" s="14">
        <v>2000000</v>
      </c>
      <c r="AQ35" s="40">
        <v>130</v>
      </c>
      <c r="AR35" s="39">
        <f t="shared" si="53"/>
        <v>60882899.999999993</v>
      </c>
      <c r="AS35" s="40">
        <v>280</v>
      </c>
      <c r="AT35" s="39">
        <f t="shared" si="45"/>
        <v>-31772100.000000037</v>
      </c>
      <c r="AV35" s="13"/>
      <c r="AW35" s="13"/>
      <c r="AX35" s="16" t="s">
        <v>38</v>
      </c>
      <c r="AY35" s="16">
        <v>44152</v>
      </c>
      <c r="AZ35" s="15">
        <v>35676691.86332351</v>
      </c>
      <c r="BA35" s="14">
        <v>30000000</v>
      </c>
      <c r="BF35" s="40">
        <v>130</v>
      </c>
      <c r="BG35" s="39">
        <f t="shared" si="48"/>
        <v>97929100</v>
      </c>
      <c r="BH35" s="40">
        <v>280</v>
      </c>
      <c r="BI35" s="39">
        <f t="shared" si="48"/>
        <v>163674100</v>
      </c>
      <c r="BK35" s="13"/>
      <c r="BL35" s="13"/>
      <c r="BM35" s="16" t="s">
        <v>35</v>
      </c>
      <c r="BN35" s="16">
        <v>44607</v>
      </c>
      <c r="BO35" s="15">
        <v>15074664.70009833</v>
      </c>
      <c r="BP35" s="14">
        <v>10000000</v>
      </c>
      <c r="BU35" s="40">
        <v>130</v>
      </c>
      <c r="BV35" s="39">
        <f t="shared" si="49"/>
        <v>136037500.00000003</v>
      </c>
      <c r="BW35" s="40">
        <v>280</v>
      </c>
      <c r="BX35" s="39">
        <f t="shared" si="49"/>
        <v>352052500</v>
      </c>
      <c r="BZ35" s="13"/>
      <c r="CA35" s="13"/>
      <c r="CB35" s="16" t="s">
        <v>37</v>
      </c>
      <c r="CC35" s="16">
        <v>44880</v>
      </c>
      <c r="CD35" s="15">
        <v>14048715.452688906</v>
      </c>
      <c r="CE35" s="14">
        <v>5000000</v>
      </c>
      <c r="CJ35" s="40">
        <v>130</v>
      </c>
      <c r="CK35" s="39">
        <f t="shared" si="50"/>
        <v>24142299.999999989</v>
      </c>
      <c r="CL35" s="40">
        <v>280</v>
      </c>
      <c r="CM35" s="39">
        <f t="shared" si="50"/>
        <v>-223987700.00000009</v>
      </c>
      <c r="CO35" s="13"/>
      <c r="CP35" s="13"/>
      <c r="CQ35" s="16" t="s">
        <v>115</v>
      </c>
      <c r="CR35" s="16">
        <v>45335</v>
      </c>
      <c r="CS35" s="15">
        <v>24152813.005313005</v>
      </c>
      <c r="CT35" s="14">
        <v>20000000</v>
      </c>
      <c r="CY35" s="40">
        <v>120000000</v>
      </c>
      <c r="CZ35" s="39"/>
      <c r="DA35" s="40"/>
      <c r="DB35" s="39"/>
      <c r="DD35" s="13"/>
      <c r="DE35" s="13"/>
      <c r="DF35" s="16" t="s">
        <v>127</v>
      </c>
      <c r="DG35" s="16">
        <v>44467</v>
      </c>
      <c r="DH35" s="15">
        <v>9819176.2536873184</v>
      </c>
      <c r="DI35" s="14">
        <v>2000000</v>
      </c>
      <c r="DO35" s="40">
        <v>130</v>
      </c>
      <c r="DP35" s="39">
        <f t="shared" si="51"/>
        <v>113550300</v>
      </c>
      <c r="DQ35" s="40">
        <v>280</v>
      </c>
      <c r="DR35" s="39">
        <f t="shared" si="51"/>
        <v>240150300.00000003</v>
      </c>
      <c r="DT35" s="13"/>
      <c r="DU35" s="13"/>
      <c r="DV35" s="16" t="s">
        <v>126</v>
      </c>
      <c r="DW35" s="16">
        <v>44817</v>
      </c>
      <c r="DX35" s="15">
        <v>14935118.901747221</v>
      </c>
      <c r="DY35" s="14">
        <v>10000000</v>
      </c>
      <c r="EE35" s="40">
        <v>130</v>
      </c>
      <c r="EF35" s="39">
        <f t="shared" si="52"/>
        <v>331487500.00000006</v>
      </c>
      <c r="EG35" s="40">
        <v>280</v>
      </c>
      <c r="EH35" s="39">
        <f t="shared" si="52"/>
        <v>1496327499.9999998</v>
      </c>
      <c r="EJ35" s="13"/>
      <c r="EK35" s="13"/>
      <c r="EL35" s="16"/>
      <c r="EM35" s="16"/>
      <c r="EN35" s="15"/>
      <c r="EO35" s="14"/>
      <c r="EU35" s="16"/>
      <c r="EV35" s="16"/>
      <c r="EW35" s="15"/>
      <c r="EX35" s="14"/>
      <c r="FD35" s="13"/>
      <c r="FE35" s="13"/>
      <c r="IH35" s="16" t="s">
        <v>127</v>
      </c>
      <c r="II35" s="16">
        <v>44551</v>
      </c>
      <c r="IJ35" s="15">
        <v>9479955</v>
      </c>
      <c r="IK35" s="14">
        <v>2000000</v>
      </c>
      <c r="IP35" s="16"/>
      <c r="IQ35" s="16"/>
      <c r="IR35" s="15"/>
      <c r="IS35" s="14"/>
    </row>
    <row r="36" spans="2:253" x14ac:dyDescent="0.25">
      <c r="B36" s="16" t="s">
        <v>135</v>
      </c>
      <c r="C36" s="16">
        <v>45139</v>
      </c>
      <c r="D36" s="15">
        <v>12713646.107646106</v>
      </c>
      <c r="E36" s="14">
        <v>10000000</v>
      </c>
      <c r="I36" s="116"/>
      <c r="J36" s="116"/>
      <c r="K36" s="116"/>
      <c r="M36" s="40">
        <v>140</v>
      </c>
      <c r="N36" s="39">
        <f t="shared" si="46"/>
        <v>239413900</v>
      </c>
      <c r="O36" s="40">
        <v>290</v>
      </c>
      <c r="P36" s="39">
        <f t="shared" si="46"/>
        <v>831613900</v>
      </c>
      <c r="Q36" s="13"/>
      <c r="R36" s="13"/>
      <c r="S36" s="13"/>
      <c r="T36" s="16" t="s">
        <v>33</v>
      </c>
      <c r="U36" s="16">
        <v>43515</v>
      </c>
      <c r="V36" s="15">
        <v>12443073.623402163</v>
      </c>
      <c r="W36" s="14">
        <v>10000000</v>
      </c>
      <c r="AB36" s="40">
        <v>140</v>
      </c>
      <c r="AC36" s="39">
        <f t="shared" si="47"/>
        <v>158926900</v>
      </c>
      <c r="AD36" s="40">
        <v>290</v>
      </c>
      <c r="AE36" s="39">
        <f t="shared" si="44"/>
        <v>503551900</v>
      </c>
      <c r="AG36" s="13"/>
      <c r="AH36" s="13"/>
      <c r="AI36" s="16" t="s">
        <v>39</v>
      </c>
      <c r="AJ36" s="16">
        <v>43879</v>
      </c>
      <c r="AK36" s="15">
        <v>10477271.509341201</v>
      </c>
      <c r="AL36" s="14">
        <v>5000000</v>
      </c>
      <c r="AQ36" s="40">
        <v>140</v>
      </c>
      <c r="AR36" s="39">
        <f t="shared" si="53"/>
        <v>59885899.999999993</v>
      </c>
      <c r="AS36" s="40">
        <v>290</v>
      </c>
      <c r="AT36" s="39">
        <f t="shared" si="45"/>
        <v>-43869100.000000045</v>
      </c>
      <c r="AV36" s="13"/>
      <c r="AW36" s="13"/>
      <c r="AX36" s="16" t="s">
        <v>38</v>
      </c>
      <c r="AY36" s="16">
        <v>44145</v>
      </c>
      <c r="AZ36" s="15">
        <v>26046122.418879062</v>
      </c>
      <c r="BA36" s="14">
        <v>20000000</v>
      </c>
      <c r="BC36" s="1">
        <v>38</v>
      </c>
      <c r="BD36" s="1">
        <v>14</v>
      </c>
      <c r="BF36" s="40">
        <v>140</v>
      </c>
      <c r="BG36" s="39">
        <f t="shared" si="48"/>
        <v>103572100</v>
      </c>
      <c r="BH36" s="40">
        <v>290</v>
      </c>
      <c r="BI36" s="39">
        <f t="shared" si="48"/>
        <v>166617100.00000003</v>
      </c>
      <c r="BK36" s="13"/>
      <c r="BL36" s="13"/>
      <c r="BM36" s="16" t="s">
        <v>35</v>
      </c>
      <c r="BN36" s="16">
        <v>44614</v>
      </c>
      <c r="BO36" s="15">
        <v>9469921.951819079</v>
      </c>
      <c r="BP36" s="14">
        <v>2000000</v>
      </c>
      <c r="BU36" s="40">
        <v>140</v>
      </c>
      <c r="BV36" s="39">
        <f t="shared" si="49"/>
        <v>148198500.00000003</v>
      </c>
      <c r="BW36" s="40">
        <v>290</v>
      </c>
      <c r="BX36" s="39">
        <f t="shared" si="49"/>
        <v>369013500</v>
      </c>
      <c r="BZ36" s="13"/>
      <c r="CA36" s="13"/>
      <c r="CB36" s="16" t="s">
        <v>37</v>
      </c>
      <c r="CC36" s="16">
        <v>44873</v>
      </c>
      <c r="CD36" s="15">
        <v>8820984.6834581364</v>
      </c>
      <c r="CE36" s="14">
        <v>3000000</v>
      </c>
      <c r="CJ36" s="40">
        <v>140</v>
      </c>
      <c r="CK36" s="39">
        <f t="shared" si="50"/>
        <v>16560299.99999998</v>
      </c>
      <c r="CL36" s="40">
        <v>290</v>
      </c>
      <c r="CM36" s="39">
        <f t="shared" si="50"/>
        <v>-250769700</v>
      </c>
      <c r="CO36" s="13"/>
      <c r="CP36" s="13"/>
      <c r="CQ36" s="16" t="s">
        <v>115</v>
      </c>
      <c r="CR36" s="16">
        <v>45342</v>
      </c>
      <c r="CS36" s="15">
        <v>31100381.612381607</v>
      </c>
      <c r="CT36" s="14">
        <v>30000000</v>
      </c>
      <c r="CY36" s="40">
        <v>150000000</v>
      </c>
      <c r="CZ36" s="39"/>
      <c r="DA36" s="40"/>
      <c r="DB36" s="39"/>
      <c r="DD36" s="13"/>
      <c r="DE36" s="13"/>
      <c r="DF36" s="16" t="s">
        <v>127</v>
      </c>
      <c r="DG36" s="16">
        <v>44460</v>
      </c>
      <c r="DH36" s="15">
        <v>37092954.400196664</v>
      </c>
      <c r="DI36" s="14">
        <v>30000000</v>
      </c>
      <c r="DO36" s="40">
        <v>140</v>
      </c>
      <c r="DP36" s="39">
        <f t="shared" si="51"/>
        <v>121850299.99999999</v>
      </c>
      <c r="DQ36" s="40">
        <v>290</v>
      </c>
      <c r="DR36" s="39">
        <f t="shared" si="51"/>
        <v>248750300</v>
      </c>
      <c r="DT36" s="13"/>
      <c r="DU36" s="13"/>
      <c r="DV36" s="16" t="s">
        <v>126</v>
      </c>
      <c r="DW36" s="16">
        <v>44810</v>
      </c>
      <c r="DX36" s="15">
        <v>9323163.9437258914</v>
      </c>
      <c r="DY36" s="14">
        <v>5000000</v>
      </c>
      <c r="EE36" s="40">
        <v>140</v>
      </c>
      <c r="EF36" s="39">
        <f t="shared" si="52"/>
        <v>382683500</v>
      </c>
      <c r="EG36" s="40">
        <v>290</v>
      </c>
      <c r="EH36" s="39">
        <f t="shared" si="52"/>
        <v>1604223500</v>
      </c>
      <c r="EJ36" s="13"/>
      <c r="EK36" s="13"/>
      <c r="EL36" s="16"/>
      <c r="EM36" s="16"/>
      <c r="EN36" s="15"/>
      <c r="EO36" s="14"/>
      <c r="EU36" s="16"/>
      <c r="EV36" s="16"/>
      <c r="EW36" s="15"/>
      <c r="EX36" s="14"/>
      <c r="FD36" s="13"/>
      <c r="FE36" s="13"/>
      <c r="IH36" s="16" t="s">
        <v>127</v>
      </c>
      <c r="II36" s="16">
        <v>44558</v>
      </c>
      <c r="IJ36" s="15">
        <v>8730972</v>
      </c>
      <c r="IK36" s="14">
        <v>5000000</v>
      </c>
      <c r="IP36" s="16"/>
      <c r="IQ36" s="16"/>
      <c r="IR36" s="15"/>
      <c r="IS36" s="14"/>
    </row>
    <row r="37" spans="2:253" x14ac:dyDescent="0.25">
      <c r="B37" s="16" t="s">
        <v>135</v>
      </c>
      <c r="C37" s="16">
        <v>45132</v>
      </c>
      <c r="D37" s="15">
        <v>9303610.3026103005</v>
      </c>
      <c r="E37" s="14">
        <v>5000000</v>
      </c>
      <c r="I37" s="116"/>
      <c r="J37" s="116"/>
      <c r="K37" s="116"/>
      <c r="M37" s="40">
        <v>150</v>
      </c>
      <c r="N37" s="39">
        <f t="shared" si="46"/>
        <v>267833900.00000003</v>
      </c>
      <c r="O37" s="40">
        <v>300</v>
      </c>
      <c r="P37" s="39">
        <f t="shared" si="46"/>
        <v>883733900.00000012</v>
      </c>
      <c r="Q37" s="13"/>
      <c r="R37" s="13"/>
      <c r="S37" s="13"/>
      <c r="T37" s="16" t="s">
        <v>33</v>
      </c>
      <c r="U37" s="16">
        <v>43522</v>
      </c>
      <c r="V37" s="15">
        <v>14410134.709931174</v>
      </c>
      <c r="W37" s="14">
        <v>15000000</v>
      </c>
      <c r="AB37" s="40">
        <v>150</v>
      </c>
      <c r="AC37" s="39">
        <f t="shared" si="47"/>
        <v>176021900</v>
      </c>
      <c r="AD37" s="40">
        <v>300</v>
      </c>
      <c r="AE37" s="39">
        <f t="shared" si="44"/>
        <v>533246900.00000012</v>
      </c>
      <c r="AG37" s="13"/>
      <c r="AH37" s="13"/>
      <c r="AI37" s="16" t="s">
        <v>39</v>
      </c>
      <c r="AJ37" s="16">
        <v>43886</v>
      </c>
      <c r="AK37" s="15">
        <v>7884330.2605703054</v>
      </c>
      <c r="AL37" s="14">
        <v>2000000</v>
      </c>
      <c r="AQ37" s="40">
        <v>150</v>
      </c>
      <c r="AR37" s="39">
        <f t="shared" si="53"/>
        <v>58148900.000000015</v>
      </c>
      <c r="AS37" s="40">
        <v>300</v>
      </c>
      <c r="AT37" s="39">
        <f t="shared" si="45"/>
        <v>-56706099.999999978</v>
      </c>
      <c r="AV37" s="13"/>
      <c r="AW37" s="13"/>
      <c r="AX37" s="16" t="s">
        <v>38</v>
      </c>
      <c r="AY37" s="16">
        <v>44138</v>
      </c>
      <c r="AZ37" s="15">
        <v>16374744.100294989</v>
      </c>
      <c r="BA37" s="14">
        <v>10000000</v>
      </c>
      <c r="BF37" s="40">
        <v>150</v>
      </c>
      <c r="BG37" s="39">
        <f t="shared" si="48"/>
        <v>109035100</v>
      </c>
      <c r="BH37" s="40">
        <v>300</v>
      </c>
      <c r="BI37" s="39">
        <f t="shared" si="48"/>
        <v>169380100</v>
      </c>
      <c r="BK37" s="13"/>
      <c r="BL37" s="13"/>
      <c r="BM37" s="16" t="s">
        <v>35</v>
      </c>
      <c r="BN37" s="16">
        <v>44621</v>
      </c>
      <c r="BO37" s="15">
        <v>12893113.692232059</v>
      </c>
      <c r="BP37" s="14">
        <v>5000000</v>
      </c>
      <c r="BU37" s="40">
        <v>150</v>
      </c>
      <c r="BV37" s="39">
        <f t="shared" si="49"/>
        <v>160679500.00000003</v>
      </c>
      <c r="BW37" s="40">
        <v>300</v>
      </c>
      <c r="BX37" s="39">
        <f t="shared" si="49"/>
        <v>386294500</v>
      </c>
      <c r="BZ37" s="13"/>
      <c r="CA37" s="13"/>
      <c r="CB37" s="16" t="s">
        <v>37</v>
      </c>
      <c r="CC37" s="16">
        <v>44866</v>
      </c>
      <c r="CD37" s="15">
        <v>24033234.286362607</v>
      </c>
      <c r="CE37" s="14">
        <v>20000000</v>
      </c>
      <c r="CJ37" s="40">
        <v>150</v>
      </c>
      <c r="CK37" s="39">
        <f t="shared" si="50"/>
        <v>7698299.9999999991</v>
      </c>
      <c r="CL37" s="40">
        <v>300</v>
      </c>
      <c r="CM37" s="39">
        <f t="shared" si="50"/>
        <v>-278831700</v>
      </c>
      <c r="CO37" s="13"/>
      <c r="CP37" s="13"/>
      <c r="CQ37" s="16" t="s">
        <v>115</v>
      </c>
      <c r="CR37" s="16">
        <v>45349</v>
      </c>
      <c r="CS37" s="15">
        <v>9128848.8103488106</v>
      </c>
      <c r="CT37" s="14">
        <v>3000000</v>
      </c>
      <c r="CY37" s="40">
        <v>200000000</v>
      </c>
      <c r="CZ37" s="39"/>
      <c r="DA37" s="40"/>
      <c r="DB37" s="39"/>
      <c r="DD37" s="13"/>
      <c r="DE37" s="13"/>
      <c r="DF37" s="16" t="s">
        <v>127</v>
      </c>
      <c r="DG37" s="16">
        <v>44453</v>
      </c>
      <c r="DH37" s="15">
        <v>26493046.091445435</v>
      </c>
      <c r="DI37" s="14">
        <v>20000000</v>
      </c>
      <c r="DO37" s="40">
        <v>150</v>
      </c>
      <c r="DP37" s="39">
        <f t="shared" si="51"/>
        <v>130170300</v>
      </c>
      <c r="DQ37" s="40">
        <v>300</v>
      </c>
      <c r="DR37" s="39">
        <f t="shared" si="51"/>
        <v>257370300</v>
      </c>
      <c r="DT37" s="13"/>
      <c r="DU37" s="13"/>
      <c r="DV37" s="16" t="s">
        <v>126</v>
      </c>
      <c r="DW37" s="16">
        <v>44803</v>
      </c>
      <c r="DX37" s="15">
        <v>8114797.0274563199</v>
      </c>
      <c r="DY37" s="14">
        <v>3000000</v>
      </c>
      <c r="EE37" s="40">
        <v>150</v>
      </c>
      <c r="EF37" s="39">
        <f t="shared" si="52"/>
        <v>437659500</v>
      </c>
      <c r="EG37" s="40">
        <v>300</v>
      </c>
      <c r="EH37" s="39">
        <f t="shared" si="52"/>
        <v>1715899500</v>
      </c>
      <c r="EJ37" s="13"/>
      <c r="EK37" s="13"/>
      <c r="EL37" s="16"/>
      <c r="EM37" s="16"/>
      <c r="EN37" s="15"/>
      <c r="EO37" s="14"/>
      <c r="EU37" s="16"/>
      <c r="EV37" s="16"/>
      <c r="EW37" s="15"/>
      <c r="EX37" s="14"/>
      <c r="FD37" s="13"/>
      <c r="FE37" s="13"/>
      <c r="IH37" s="16" t="s">
        <v>127</v>
      </c>
      <c r="II37" s="16">
        <v>44565</v>
      </c>
      <c r="IJ37" s="15">
        <v>13895292</v>
      </c>
      <c r="IK37" s="14">
        <v>10000000</v>
      </c>
      <c r="IP37" s="16"/>
      <c r="IQ37" s="16"/>
      <c r="IR37" s="15"/>
      <c r="IS37" s="14"/>
    </row>
    <row r="38" spans="2:253" x14ac:dyDescent="0.25">
      <c r="B38" s="16" t="s">
        <v>135</v>
      </c>
      <c r="C38" s="16">
        <v>45125</v>
      </c>
      <c r="D38" s="15">
        <v>8391166.3201663196</v>
      </c>
      <c r="E38" s="14">
        <v>3000000</v>
      </c>
      <c r="I38" s="116"/>
      <c r="J38" s="116"/>
      <c r="K38" s="116"/>
      <c r="M38" s="40">
        <v>160</v>
      </c>
      <c r="N38" s="39">
        <f t="shared" si="46"/>
        <v>297833900</v>
      </c>
      <c r="O38" s="40">
        <v>310</v>
      </c>
      <c r="P38" s="39">
        <f t="shared" si="46"/>
        <v>937433900</v>
      </c>
      <c r="Q38" s="13"/>
      <c r="R38" s="13"/>
      <c r="S38" s="13"/>
      <c r="T38" s="16" t="s">
        <v>33</v>
      </c>
      <c r="U38" s="16">
        <v>43529</v>
      </c>
      <c r="V38" s="15">
        <v>24266503.441494595</v>
      </c>
      <c r="W38" s="14">
        <v>30000000</v>
      </c>
      <c r="AB38" s="40">
        <v>160</v>
      </c>
      <c r="AC38" s="39">
        <f t="shared" si="47"/>
        <v>193956900</v>
      </c>
      <c r="AD38" s="40">
        <v>310</v>
      </c>
      <c r="AE38" s="39">
        <f t="shared" si="44"/>
        <v>563781900</v>
      </c>
      <c r="AG38" s="13"/>
      <c r="AH38" s="13"/>
      <c r="AI38" s="16" t="s">
        <v>39</v>
      </c>
      <c r="AJ38" s="16">
        <v>43893</v>
      </c>
      <c r="AK38" s="15">
        <v>9793786.2586037386</v>
      </c>
      <c r="AL38" s="14">
        <v>5000000</v>
      </c>
      <c r="AQ38" s="40">
        <v>160</v>
      </c>
      <c r="AR38" s="39">
        <f t="shared" si="53"/>
        <v>55671900.000000007</v>
      </c>
      <c r="AS38" s="40">
        <v>310</v>
      </c>
      <c r="AT38" s="39">
        <f t="shared" si="45"/>
        <v>-70283099.99999997</v>
      </c>
      <c r="AV38" s="13"/>
      <c r="AW38" s="13"/>
      <c r="AX38" s="16" t="s">
        <v>38</v>
      </c>
      <c r="AY38" s="16">
        <v>44131</v>
      </c>
      <c r="AZ38" s="15">
        <v>11575730.580137661</v>
      </c>
      <c r="BA38" s="14">
        <v>5000000</v>
      </c>
      <c r="BF38" s="40">
        <v>160</v>
      </c>
      <c r="BG38" s="39">
        <f t="shared" si="48"/>
        <v>114318100.00000001</v>
      </c>
      <c r="BH38" s="40">
        <v>310</v>
      </c>
      <c r="BI38" s="39">
        <f t="shared" si="48"/>
        <v>171963100.00000003</v>
      </c>
      <c r="BK38" s="13"/>
      <c r="BL38" s="13"/>
      <c r="BM38" s="16" t="s">
        <v>35</v>
      </c>
      <c r="BN38" s="16">
        <v>44628</v>
      </c>
      <c r="BO38" s="15">
        <v>18445974.557522126</v>
      </c>
      <c r="BP38" s="14">
        <v>10000000</v>
      </c>
      <c r="BU38" s="40">
        <v>160</v>
      </c>
      <c r="BV38" s="39">
        <f t="shared" si="49"/>
        <v>173480500</v>
      </c>
      <c r="BW38" s="40">
        <v>310</v>
      </c>
      <c r="BX38" s="39">
        <f t="shared" si="49"/>
        <v>403895500</v>
      </c>
      <c r="BZ38" s="13"/>
      <c r="CA38" s="13"/>
      <c r="CB38" s="16" t="s">
        <v>37</v>
      </c>
      <c r="CC38" s="16">
        <v>44859</v>
      </c>
      <c r="CD38" s="15">
        <v>12969386.884501932</v>
      </c>
      <c r="CE38" s="14">
        <v>10000000</v>
      </c>
      <c r="CJ38" s="40">
        <v>160</v>
      </c>
      <c r="CK38" s="39">
        <f t="shared" si="50"/>
        <v>-2443699.9999999972</v>
      </c>
      <c r="CL38" s="40">
        <v>310</v>
      </c>
      <c r="CM38" s="39">
        <f t="shared" si="50"/>
        <v>-308173700.00000012</v>
      </c>
      <c r="CO38" s="13"/>
      <c r="CP38" s="13"/>
      <c r="CQ38" s="16" t="s">
        <v>115</v>
      </c>
      <c r="CR38" s="16">
        <v>45356</v>
      </c>
      <c r="CS38" s="15">
        <v>11997695.888195887</v>
      </c>
      <c r="CT38" s="14">
        <v>8000000</v>
      </c>
      <c r="CY38" s="40"/>
      <c r="CZ38" s="39"/>
      <c r="DA38" s="40"/>
      <c r="DB38" s="39"/>
      <c r="DD38" s="13"/>
      <c r="DE38" s="13"/>
      <c r="DF38" s="16" t="s">
        <v>127</v>
      </c>
      <c r="DG38" s="16">
        <v>44446</v>
      </c>
      <c r="DH38" s="15">
        <v>18400582.841691252</v>
      </c>
      <c r="DI38" s="14">
        <v>10000000</v>
      </c>
      <c r="DO38" s="40">
        <v>160</v>
      </c>
      <c r="DP38" s="39">
        <f t="shared" si="51"/>
        <v>138510300.00000003</v>
      </c>
      <c r="DQ38" s="40">
        <v>310</v>
      </c>
      <c r="DR38" s="39">
        <f t="shared" si="51"/>
        <v>266010300.00000003</v>
      </c>
      <c r="DT38" s="13"/>
      <c r="DU38" s="13"/>
      <c r="DV38" s="16" t="s">
        <v>126</v>
      </c>
      <c r="DW38" s="16">
        <v>44796</v>
      </c>
      <c r="DX38" s="15">
        <v>15798659.51894713</v>
      </c>
      <c r="DY38" s="14">
        <v>10000000</v>
      </c>
      <c r="EE38" s="40">
        <v>160</v>
      </c>
      <c r="EF38" s="39">
        <f t="shared" si="52"/>
        <v>496415500.00000006</v>
      </c>
      <c r="EG38" s="40">
        <v>310</v>
      </c>
      <c r="EH38" s="39">
        <f t="shared" si="52"/>
        <v>1831355500</v>
      </c>
      <c r="EJ38" s="13"/>
      <c r="EK38" s="13"/>
      <c r="EL38" s="16"/>
      <c r="EM38" s="16"/>
      <c r="EN38" s="15"/>
      <c r="EO38" s="14"/>
      <c r="EU38" s="16"/>
      <c r="EV38" s="16"/>
      <c r="EW38" s="15"/>
      <c r="EX38" s="14"/>
      <c r="FD38" s="13"/>
      <c r="FE38" s="13"/>
      <c r="IH38" s="16" t="s">
        <v>127</v>
      </c>
      <c r="II38" s="16">
        <v>44572</v>
      </c>
      <c r="IJ38" s="15">
        <v>24878085</v>
      </c>
      <c r="IK38" s="14">
        <v>20000000</v>
      </c>
      <c r="IP38" s="16"/>
      <c r="IQ38" s="16"/>
      <c r="IR38" s="15"/>
      <c r="IS38" s="14"/>
    </row>
    <row r="39" spans="2:253" x14ac:dyDescent="0.25">
      <c r="B39" s="16" t="s">
        <v>135</v>
      </c>
      <c r="C39" s="16">
        <v>45118</v>
      </c>
      <c r="D39" s="15">
        <v>20429754.215754211</v>
      </c>
      <c r="E39" s="14">
        <v>20000000</v>
      </c>
      <c r="I39" s="116"/>
      <c r="J39" s="116"/>
      <c r="K39" s="116"/>
      <c r="M39" s="40">
        <v>170</v>
      </c>
      <c r="N39" s="39">
        <f t="shared" si="46"/>
        <v>329413900</v>
      </c>
      <c r="O39" s="40">
        <v>320</v>
      </c>
      <c r="P39" s="39">
        <f t="shared" si="46"/>
        <v>992713900.00000012</v>
      </c>
      <c r="Q39" s="13"/>
      <c r="R39" s="13"/>
      <c r="S39" s="13"/>
      <c r="T39" s="16" t="s">
        <v>33</v>
      </c>
      <c r="U39" s="16">
        <v>43536</v>
      </c>
      <c r="V39" s="15">
        <v>31614050.884955756</v>
      </c>
      <c r="W39" s="14">
        <v>40000000</v>
      </c>
      <c r="AB39" s="40">
        <v>170</v>
      </c>
      <c r="AC39" s="39">
        <f t="shared" si="47"/>
        <v>212731900</v>
      </c>
      <c r="AD39" s="40">
        <v>320</v>
      </c>
      <c r="AE39" s="39">
        <f t="shared" si="44"/>
        <v>595156900.00000012</v>
      </c>
      <c r="AG39" s="13"/>
      <c r="AH39" s="13"/>
      <c r="AI39" s="16" t="s">
        <v>39</v>
      </c>
      <c r="AJ39" s="16">
        <v>43900</v>
      </c>
      <c r="AK39" s="15">
        <v>12892954.891838742</v>
      </c>
      <c r="AL39" s="14">
        <v>10000000</v>
      </c>
      <c r="AQ39" s="40">
        <v>170</v>
      </c>
      <c r="AR39" s="39">
        <f t="shared" si="53"/>
        <v>52454899.999999993</v>
      </c>
      <c r="AS39" s="40">
        <v>320</v>
      </c>
      <c r="AT39" s="39">
        <f t="shared" si="45"/>
        <v>-84600099.999999985</v>
      </c>
      <c r="AV39" s="13"/>
      <c r="AW39" s="13"/>
      <c r="AX39" s="16" t="s">
        <v>38</v>
      </c>
      <c r="AY39" s="16">
        <v>44124</v>
      </c>
      <c r="AZ39" s="15">
        <v>9598762.4139626361</v>
      </c>
      <c r="BA39" s="14">
        <v>2000000</v>
      </c>
      <c r="BF39" s="40">
        <v>170</v>
      </c>
      <c r="BG39" s="39">
        <f t="shared" si="48"/>
        <v>119421100.00000003</v>
      </c>
      <c r="BH39" s="40">
        <v>320</v>
      </c>
      <c r="BI39" s="39">
        <f t="shared" si="48"/>
        <v>174366100.00000003</v>
      </c>
      <c r="BK39" s="13"/>
      <c r="BL39" s="13"/>
      <c r="BM39" s="16" t="s">
        <v>35</v>
      </c>
      <c r="BN39" s="16">
        <v>44635</v>
      </c>
      <c r="BO39" s="15">
        <v>8610531.5880039353</v>
      </c>
      <c r="BP39" s="14">
        <v>2000000</v>
      </c>
      <c r="BU39" s="40">
        <v>170</v>
      </c>
      <c r="BV39" s="39">
        <f t="shared" si="49"/>
        <v>186601500.00000003</v>
      </c>
      <c r="BW39" s="40">
        <v>320</v>
      </c>
      <c r="BX39" s="39">
        <f t="shared" si="49"/>
        <v>421816500</v>
      </c>
      <c r="BZ39" s="13"/>
      <c r="CA39" s="13"/>
      <c r="CB39" s="16" t="s">
        <v>37</v>
      </c>
      <c r="CC39" s="16">
        <v>44852</v>
      </c>
      <c r="CD39" s="15">
        <v>9147285.341502158</v>
      </c>
      <c r="CE39" s="14">
        <v>5000000</v>
      </c>
      <c r="CJ39" s="40">
        <v>170</v>
      </c>
      <c r="CK39" s="39">
        <f t="shared" si="50"/>
        <v>-13865700.000000022</v>
      </c>
      <c r="CL39" s="40">
        <v>320</v>
      </c>
      <c r="CM39" s="39">
        <f t="shared" si="50"/>
        <v>-338795700</v>
      </c>
      <c r="CO39" s="13"/>
      <c r="CP39" s="13"/>
      <c r="CQ39" s="16" t="s">
        <v>115</v>
      </c>
      <c r="CR39" s="16">
        <v>45363</v>
      </c>
      <c r="CS39" s="15">
        <v>14729771.309771309</v>
      </c>
      <c r="CT39" s="14">
        <v>15000000</v>
      </c>
      <c r="CY39" s="40"/>
      <c r="CZ39" s="39"/>
      <c r="DA39" s="40"/>
      <c r="DB39" s="39"/>
      <c r="DD39" s="13"/>
      <c r="DE39" s="13"/>
      <c r="DF39" s="16" t="s">
        <v>127</v>
      </c>
      <c r="DG39" s="16">
        <v>44439</v>
      </c>
      <c r="DH39" s="15">
        <v>11312176.007866276</v>
      </c>
      <c r="DI39" s="14">
        <v>5000000</v>
      </c>
      <c r="DO39" s="40">
        <v>170</v>
      </c>
      <c r="DP39" s="39">
        <f t="shared" si="51"/>
        <v>146870300</v>
      </c>
      <c r="DQ39" s="40">
        <v>320</v>
      </c>
      <c r="DR39" s="39">
        <f t="shared" si="51"/>
        <v>274670300.00000006</v>
      </c>
      <c r="DT39" s="13"/>
      <c r="DU39" s="13"/>
      <c r="DV39" s="16" t="s">
        <v>126</v>
      </c>
      <c r="DW39" s="16">
        <v>44789</v>
      </c>
      <c r="DX39" s="15">
        <v>10754930.224642616</v>
      </c>
      <c r="DY39" s="14">
        <v>5000000</v>
      </c>
      <c r="EE39" s="40">
        <v>170</v>
      </c>
      <c r="EF39" s="39">
        <f t="shared" si="52"/>
        <v>558951500</v>
      </c>
      <c r="EG39" s="40">
        <v>320</v>
      </c>
      <c r="EH39" s="39">
        <f t="shared" si="52"/>
        <v>1950591500</v>
      </c>
      <c r="EJ39" s="13"/>
      <c r="EK39" s="13"/>
      <c r="EL39" s="16"/>
      <c r="EM39" s="16"/>
      <c r="EN39" s="15"/>
      <c r="EO39" s="14"/>
      <c r="EU39" s="16"/>
      <c r="EV39" s="16"/>
      <c r="EW39" s="15"/>
      <c r="EX39" s="14"/>
      <c r="FD39" s="13"/>
      <c r="FE39" s="13"/>
      <c r="IH39" s="16" t="s">
        <v>127</v>
      </c>
      <c r="II39" s="16">
        <v>44579</v>
      </c>
      <c r="IJ39" s="15">
        <v>31693230</v>
      </c>
      <c r="IK39" s="14">
        <v>30000000</v>
      </c>
      <c r="IP39" s="16"/>
      <c r="IQ39" s="16"/>
      <c r="IR39" s="15"/>
      <c r="IS39" s="14"/>
    </row>
    <row r="40" spans="2:253" x14ac:dyDescent="0.25">
      <c r="B40" s="16" t="s">
        <v>135</v>
      </c>
      <c r="C40" s="16">
        <v>45111</v>
      </c>
      <c r="D40" s="15">
        <v>14557561.099561101</v>
      </c>
      <c r="E40" s="14">
        <v>10000000</v>
      </c>
      <c r="I40" s="116"/>
      <c r="J40" s="116"/>
      <c r="K40" s="116"/>
      <c r="M40" s="40">
        <v>180</v>
      </c>
      <c r="N40" s="39">
        <f t="shared" si="46"/>
        <v>362573900.00000006</v>
      </c>
      <c r="O40" s="40">
        <v>330</v>
      </c>
      <c r="P40" s="39">
        <f t="shared" si="46"/>
        <v>1049573900.0000001</v>
      </c>
      <c r="Q40" s="13"/>
      <c r="R40" s="13"/>
      <c r="S40" s="13"/>
      <c r="T40" s="16" t="s">
        <v>33</v>
      </c>
      <c r="U40" s="16">
        <v>43543</v>
      </c>
      <c r="V40" s="15">
        <v>43833553.34316618</v>
      </c>
      <c r="W40" s="14">
        <v>50000000</v>
      </c>
      <c r="AB40" s="40">
        <v>180</v>
      </c>
      <c r="AC40" s="39">
        <f t="shared" si="47"/>
        <v>232346899.99999997</v>
      </c>
      <c r="AD40" s="40">
        <v>330</v>
      </c>
      <c r="AE40" s="39">
        <f t="shared" si="44"/>
        <v>627371900.00000012</v>
      </c>
      <c r="AG40" s="13"/>
      <c r="AH40" s="13"/>
      <c r="AI40" s="16" t="s">
        <v>39</v>
      </c>
      <c r="AJ40" s="16">
        <v>43907</v>
      </c>
      <c r="AK40" s="15">
        <v>14721239.306784663</v>
      </c>
      <c r="AL40" s="14">
        <v>15000000</v>
      </c>
      <c r="AQ40" s="40">
        <v>180</v>
      </c>
      <c r="AR40" s="39">
        <f t="shared" si="53"/>
        <v>48497899.999999985</v>
      </c>
      <c r="AS40" s="40">
        <v>330</v>
      </c>
      <c r="AT40" s="39">
        <f t="shared" si="45"/>
        <v>-99657100</v>
      </c>
      <c r="AV40" s="13"/>
      <c r="AW40" s="13"/>
      <c r="AX40" s="16" t="s">
        <v>38</v>
      </c>
      <c r="AY40" s="16">
        <v>44117</v>
      </c>
      <c r="AZ40" s="15">
        <v>9216192.9695181921</v>
      </c>
      <c r="BA40" s="14">
        <v>2000000</v>
      </c>
      <c r="BF40" s="40">
        <v>180</v>
      </c>
      <c r="BG40" s="39">
        <f t="shared" si="48"/>
        <v>124344100</v>
      </c>
      <c r="BH40" s="40">
        <v>330</v>
      </c>
      <c r="BI40" s="39">
        <f t="shared" si="48"/>
        <v>176589100</v>
      </c>
      <c r="BK40" s="13"/>
      <c r="BL40" s="13"/>
      <c r="BM40" s="16" t="s">
        <v>35</v>
      </c>
      <c r="BN40" s="16">
        <v>44642</v>
      </c>
      <c r="BO40" s="15">
        <v>11822875.491642086</v>
      </c>
      <c r="BP40" s="14">
        <v>5000000</v>
      </c>
      <c r="BU40" s="40">
        <v>180</v>
      </c>
      <c r="BV40" s="39">
        <f t="shared" si="49"/>
        <v>200042500.00000003</v>
      </c>
      <c r="BW40" s="40">
        <v>330</v>
      </c>
      <c r="BX40" s="39">
        <f t="shared" si="49"/>
        <v>440057500</v>
      </c>
      <c r="BZ40" s="13"/>
      <c r="CA40" s="13"/>
      <c r="CB40" s="16" t="s">
        <v>37</v>
      </c>
      <c r="CC40" s="16">
        <v>44845</v>
      </c>
      <c r="CD40" s="15">
        <v>8542306.3308373056</v>
      </c>
      <c r="CE40" s="14">
        <v>3000000</v>
      </c>
      <c r="CJ40" s="40">
        <v>180</v>
      </c>
      <c r="CK40" s="39">
        <f t="shared" si="50"/>
        <v>-26567700.000000019</v>
      </c>
      <c r="CL40" s="40">
        <v>330</v>
      </c>
      <c r="CM40" s="39">
        <f t="shared" si="50"/>
        <v>-370697700.00000006</v>
      </c>
      <c r="CO40" s="13"/>
      <c r="CP40" s="13"/>
      <c r="CQ40" s="16" t="s">
        <v>115</v>
      </c>
      <c r="CR40" s="16">
        <v>45370</v>
      </c>
      <c r="CS40" s="15">
        <v>20737410.487410486</v>
      </c>
      <c r="CT40" s="14">
        <v>20000000</v>
      </c>
      <c r="CY40" s="40"/>
      <c r="CZ40" s="39"/>
      <c r="DA40" s="40"/>
      <c r="DB40" s="39"/>
      <c r="DD40" s="13"/>
      <c r="DE40" s="13"/>
      <c r="DF40" s="16" t="s">
        <v>127</v>
      </c>
      <c r="DG40" s="16">
        <v>44432</v>
      </c>
      <c r="DH40" s="15">
        <v>9724531.5880039353</v>
      </c>
      <c r="DI40" s="14">
        <v>2000000</v>
      </c>
      <c r="DO40" s="40">
        <v>180</v>
      </c>
      <c r="DP40" s="39">
        <f t="shared" si="51"/>
        <v>155250300.00000003</v>
      </c>
      <c r="DQ40" s="40">
        <v>330</v>
      </c>
      <c r="DR40" s="39">
        <f t="shared" si="51"/>
        <v>283350300</v>
      </c>
      <c r="DT40" s="13"/>
      <c r="DU40" s="13"/>
      <c r="DV40" s="16" t="s">
        <v>126</v>
      </c>
      <c r="DW40" s="16">
        <v>44782</v>
      </c>
      <c r="DX40" s="15">
        <v>8466307.3519400954</v>
      </c>
      <c r="DY40" s="14">
        <v>3000000</v>
      </c>
      <c r="EE40" s="40">
        <v>180</v>
      </c>
      <c r="EF40" s="39">
        <f t="shared" si="52"/>
        <v>625267500</v>
      </c>
      <c r="EG40" s="40">
        <v>330</v>
      </c>
      <c r="EH40" s="39">
        <f t="shared" si="52"/>
        <v>2073607500</v>
      </c>
      <c r="EJ40" s="13"/>
      <c r="EK40" s="13"/>
      <c r="EL40" s="16"/>
      <c r="EM40" s="16"/>
      <c r="EN40" s="15"/>
      <c r="EO40" s="14"/>
      <c r="EU40" s="16"/>
      <c r="EV40" s="16"/>
      <c r="EW40" s="15"/>
      <c r="EX40" s="14"/>
      <c r="FD40" s="13"/>
      <c r="FE40" s="13"/>
      <c r="IH40" s="16" t="s">
        <v>127</v>
      </c>
      <c r="II40" s="16">
        <v>44586</v>
      </c>
      <c r="IJ40" s="15">
        <v>48101343</v>
      </c>
      <c r="IK40" s="14">
        <v>50000000</v>
      </c>
      <c r="IP40" s="16"/>
      <c r="IQ40" s="16"/>
      <c r="IR40" s="15"/>
      <c r="IS40" s="14"/>
    </row>
    <row r="41" spans="2:253" x14ac:dyDescent="0.25">
      <c r="B41" s="16" t="s">
        <v>135</v>
      </c>
      <c r="C41" s="16">
        <v>45104</v>
      </c>
      <c r="D41" s="15">
        <v>10458440.863940863</v>
      </c>
      <c r="E41" s="14">
        <v>5000000</v>
      </c>
      <c r="M41" s="40">
        <v>190</v>
      </c>
      <c r="N41" s="39">
        <f t="shared" si="46"/>
        <v>397313900.00000006</v>
      </c>
      <c r="O41" s="40">
        <v>340</v>
      </c>
      <c r="P41" s="39">
        <f t="shared" si="46"/>
        <v>1108013900.0000002</v>
      </c>
      <c r="Q41" s="13"/>
      <c r="R41" s="13"/>
      <c r="S41" s="13"/>
      <c r="T41" s="16" t="s">
        <v>33</v>
      </c>
      <c r="U41" s="16">
        <v>43550</v>
      </c>
      <c r="V41" s="15">
        <v>60594309.611602761</v>
      </c>
      <c r="W41" s="14">
        <v>70000000</v>
      </c>
      <c r="AB41" s="40">
        <v>190</v>
      </c>
      <c r="AC41" s="39">
        <f t="shared" si="47"/>
        <v>252801900</v>
      </c>
      <c r="AD41" s="40">
        <v>340</v>
      </c>
      <c r="AE41" s="39">
        <f t="shared" si="44"/>
        <v>660426900</v>
      </c>
      <c r="AG41" s="13"/>
      <c r="AH41" s="13"/>
      <c r="AI41" s="16" t="s">
        <v>39</v>
      </c>
      <c r="AJ41" s="16">
        <v>43914</v>
      </c>
      <c r="AK41" s="15">
        <v>7215313.2989183897</v>
      </c>
      <c r="AL41" s="14">
        <v>2000000</v>
      </c>
      <c r="AQ41" s="40">
        <v>190</v>
      </c>
      <c r="AR41" s="39">
        <f t="shared" si="53"/>
        <v>43800900</v>
      </c>
      <c r="AS41" s="40">
        <v>340</v>
      </c>
      <c r="AT41" s="39">
        <f t="shared" si="45"/>
        <v>-115454100.00000003</v>
      </c>
      <c r="AV41" s="13"/>
      <c r="AW41" s="13"/>
      <c r="AX41" s="16" t="s">
        <v>38</v>
      </c>
      <c r="AY41" s="16">
        <v>44110</v>
      </c>
      <c r="AZ41" s="15">
        <v>18094398.230088498</v>
      </c>
      <c r="BA41" s="14">
        <v>10000000</v>
      </c>
      <c r="BF41" s="40">
        <v>190</v>
      </c>
      <c r="BG41" s="39">
        <f t="shared" si="48"/>
        <v>129087099.99999999</v>
      </c>
      <c r="BH41" s="40">
        <v>340</v>
      </c>
      <c r="BI41" s="39">
        <f t="shared" si="48"/>
        <v>178632100.00000003</v>
      </c>
      <c r="BK41" s="13"/>
      <c r="BL41" s="13"/>
      <c r="BM41" s="16" t="s">
        <v>35</v>
      </c>
      <c r="BN41" s="16">
        <v>44649</v>
      </c>
      <c r="BO41" s="15">
        <v>8750404.9901671596</v>
      </c>
      <c r="BP41" s="14">
        <v>2000000</v>
      </c>
      <c r="BU41" s="40">
        <v>190</v>
      </c>
      <c r="BV41" s="39">
        <f t="shared" si="49"/>
        <v>213803500.00000003</v>
      </c>
      <c r="BW41" s="40">
        <v>340</v>
      </c>
      <c r="BX41" s="39">
        <f t="shared" si="49"/>
        <v>458618500</v>
      </c>
      <c r="BZ41" s="13"/>
      <c r="CA41" s="13"/>
      <c r="CB41" s="16" t="s">
        <v>37</v>
      </c>
      <c r="CC41" s="16">
        <v>44838</v>
      </c>
      <c r="CD41" s="15">
        <v>41464495.575221241</v>
      </c>
      <c r="CE41" s="14">
        <v>50000000</v>
      </c>
      <c r="CJ41" s="40">
        <v>190</v>
      </c>
      <c r="CK41" s="39">
        <f t="shared" si="50"/>
        <v>-40549700.000000022</v>
      </c>
      <c r="CL41" s="40">
        <v>340</v>
      </c>
      <c r="CM41" s="39">
        <f t="shared" si="50"/>
        <v>-403879700.00000006</v>
      </c>
      <c r="CO41" s="13"/>
      <c r="CP41" s="13"/>
      <c r="CQ41" s="16" t="s">
        <v>115</v>
      </c>
      <c r="CR41" s="16">
        <v>45377</v>
      </c>
      <c r="CS41" s="15">
        <v>26972456.802956805</v>
      </c>
      <c r="CT41" s="14">
        <v>30000000</v>
      </c>
      <c r="CY41" s="40"/>
      <c r="CZ41" s="39"/>
      <c r="DA41" s="40"/>
      <c r="DB41" s="39"/>
      <c r="DD41" s="13"/>
      <c r="DE41" s="13"/>
      <c r="DF41" s="16" t="s">
        <v>127</v>
      </c>
      <c r="DG41" s="16">
        <v>44425</v>
      </c>
      <c r="DH41" s="15">
        <v>21044769.665683389</v>
      </c>
      <c r="DI41" s="14">
        <v>10000000</v>
      </c>
      <c r="DO41" s="40">
        <v>190</v>
      </c>
      <c r="DP41" s="39">
        <f t="shared" si="51"/>
        <v>163650300.00000003</v>
      </c>
      <c r="DQ41" s="40">
        <v>340</v>
      </c>
      <c r="DR41" s="39">
        <f t="shared" si="51"/>
        <v>292050300.00000006</v>
      </c>
      <c r="DT41" s="13"/>
      <c r="DU41" s="13"/>
      <c r="DV41" s="16" t="s">
        <v>126</v>
      </c>
      <c r="DW41" s="16">
        <v>44775</v>
      </c>
      <c r="DX41" s="15">
        <v>22150339.459950082</v>
      </c>
      <c r="DY41" s="14">
        <v>20000000</v>
      </c>
      <c r="EE41" s="40">
        <v>190</v>
      </c>
      <c r="EF41" s="39">
        <f t="shared" si="52"/>
        <v>695363499.99999988</v>
      </c>
      <c r="EG41" s="40">
        <v>340</v>
      </c>
      <c r="EH41" s="39">
        <f t="shared" si="52"/>
        <v>2200403500</v>
      </c>
      <c r="EJ41" s="13"/>
      <c r="EK41" s="13"/>
      <c r="EL41" s="16"/>
      <c r="EM41" s="16"/>
      <c r="EN41" s="15"/>
      <c r="EO41" s="14"/>
      <c r="EU41" s="16"/>
      <c r="EV41" s="16"/>
      <c r="EW41" s="15"/>
      <c r="EX41" s="14"/>
      <c r="FD41" s="13"/>
      <c r="FE41" s="13"/>
      <c r="IH41" s="16" t="s">
        <v>127</v>
      </c>
      <c r="II41" s="16">
        <v>44593</v>
      </c>
      <c r="IJ41" s="15">
        <v>9278637</v>
      </c>
      <c r="IK41" s="14">
        <v>2000000</v>
      </c>
      <c r="IP41" s="16"/>
      <c r="IQ41" s="16"/>
      <c r="IR41" s="15"/>
      <c r="IS41" s="14"/>
    </row>
    <row r="42" spans="2:253" x14ac:dyDescent="0.25">
      <c r="B42" s="16" t="s">
        <v>135</v>
      </c>
      <c r="C42" s="16">
        <v>45097</v>
      </c>
      <c r="D42" s="15">
        <v>7897734.6962346965</v>
      </c>
      <c r="E42" s="14">
        <v>3000000</v>
      </c>
      <c r="I42" s="116"/>
      <c r="J42" s="116"/>
      <c r="K42" s="116"/>
      <c r="M42" s="40">
        <v>200</v>
      </c>
      <c r="N42" s="39">
        <f t="shared" si="46"/>
        <v>433633900.00000006</v>
      </c>
      <c r="O42" s="40">
        <v>350</v>
      </c>
      <c r="P42" s="39">
        <f t="shared" si="46"/>
        <v>1168033900.0000002</v>
      </c>
      <c r="Q42" s="13"/>
      <c r="R42" s="13"/>
      <c r="S42" s="13"/>
      <c r="T42" s="16" t="s">
        <v>33</v>
      </c>
      <c r="U42" s="16">
        <v>43557</v>
      </c>
      <c r="V42" s="15">
        <v>8602430.8013765998</v>
      </c>
      <c r="W42" s="14">
        <v>2000000</v>
      </c>
      <c r="AB42" s="40">
        <v>200</v>
      </c>
      <c r="AC42" s="39">
        <f t="shared" si="47"/>
        <v>274096900</v>
      </c>
      <c r="AD42" s="40">
        <v>350</v>
      </c>
      <c r="AE42" s="39">
        <f t="shared" si="44"/>
        <v>694321900</v>
      </c>
      <c r="AG42" s="13"/>
      <c r="AH42" s="13"/>
      <c r="AI42" s="16" t="s">
        <v>39</v>
      </c>
      <c r="AJ42" s="16">
        <v>43921</v>
      </c>
      <c r="AK42" s="15">
        <v>10565742.994100297</v>
      </c>
      <c r="AL42" s="14">
        <v>5000000</v>
      </c>
      <c r="AQ42" s="40">
        <v>200</v>
      </c>
      <c r="AR42" s="39">
        <f t="shared" si="53"/>
        <v>38363899.999999985</v>
      </c>
      <c r="AS42" s="40">
        <v>350</v>
      </c>
      <c r="AT42" s="39">
        <f t="shared" si="45"/>
        <v>-131991100.00000001</v>
      </c>
      <c r="AV42" s="13"/>
      <c r="AW42" s="13"/>
      <c r="AX42" s="16" t="s">
        <v>38</v>
      </c>
      <c r="AY42" s="16">
        <v>44103</v>
      </c>
      <c r="AZ42" s="15">
        <v>13311842.18289086</v>
      </c>
      <c r="BA42" s="14">
        <v>5000000</v>
      </c>
      <c r="BF42" s="40">
        <v>200</v>
      </c>
      <c r="BG42" s="39">
        <f t="shared" si="48"/>
        <v>133650100.00000001</v>
      </c>
      <c r="BH42" s="40">
        <v>350</v>
      </c>
      <c r="BI42" s="39">
        <f t="shared" si="48"/>
        <v>180495100</v>
      </c>
      <c r="BK42" s="13"/>
      <c r="BL42" s="13"/>
      <c r="BM42" s="16" t="s">
        <v>35</v>
      </c>
      <c r="BN42" s="16">
        <v>44656</v>
      </c>
      <c r="BO42" s="15">
        <v>8264872.0501474943</v>
      </c>
      <c r="BP42" s="14">
        <v>2000000</v>
      </c>
      <c r="BU42" s="40">
        <v>200</v>
      </c>
      <c r="BV42" s="39">
        <f t="shared" si="49"/>
        <v>227884500</v>
      </c>
      <c r="BW42" s="40">
        <v>350</v>
      </c>
      <c r="BX42" s="39">
        <f t="shared" si="49"/>
        <v>477499500</v>
      </c>
      <c r="BZ42" s="13"/>
      <c r="CA42" s="13"/>
      <c r="CB42" s="16" t="s">
        <v>37</v>
      </c>
      <c r="CC42" s="16">
        <v>44831</v>
      </c>
      <c r="CD42" s="15">
        <v>26481381.098252784</v>
      </c>
      <c r="CE42" s="14">
        <v>30000000</v>
      </c>
      <c r="CJ42" s="40">
        <v>200</v>
      </c>
      <c r="CK42" s="39">
        <f t="shared" si="50"/>
        <v>-55811699.999999993</v>
      </c>
      <c r="CL42" s="40">
        <v>350</v>
      </c>
      <c r="CM42" s="39">
        <f t="shared" si="50"/>
        <v>-438341700</v>
      </c>
      <c r="CO42" s="13"/>
      <c r="CP42" s="13"/>
      <c r="CQ42" s="16" t="s">
        <v>115</v>
      </c>
      <c r="CR42" s="16">
        <v>45384</v>
      </c>
      <c r="CS42" s="15">
        <v>30707917.417417414</v>
      </c>
      <c r="CT42" s="14">
        <v>40000000</v>
      </c>
      <c r="CY42" s="40"/>
      <c r="CZ42" s="39"/>
      <c r="DA42" s="40"/>
      <c r="DB42" s="39"/>
      <c r="DD42" s="13"/>
      <c r="DE42" s="13"/>
      <c r="DF42" s="16" t="s">
        <v>127</v>
      </c>
      <c r="DG42" s="16">
        <v>44418</v>
      </c>
      <c r="DH42" s="15">
        <v>10800299.778761065</v>
      </c>
      <c r="DI42" s="14">
        <v>5000000</v>
      </c>
      <c r="DO42" s="40">
        <v>200</v>
      </c>
      <c r="DP42" s="39">
        <f t="shared" si="51"/>
        <v>172070300.00000003</v>
      </c>
      <c r="DQ42" s="40">
        <v>350</v>
      </c>
      <c r="DR42" s="39">
        <f t="shared" si="51"/>
        <v>300770300</v>
      </c>
      <c r="DT42" s="13"/>
      <c r="DU42" s="13"/>
      <c r="DV42" s="16" t="s">
        <v>126</v>
      </c>
      <c r="DW42" s="16">
        <v>44768</v>
      </c>
      <c r="DX42" s="15">
        <v>15460507.941910598</v>
      </c>
      <c r="DY42" s="14">
        <v>10000000</v>
      </c>
      <c r="EE42" s="40">
        <v>200</v>
      </c>
      <c r="EF42" s="39">
        <f t="shared" si="52"/>
        <v>769239500</v>
      </c>
      <c r="EG42" s="40">
        <v>350</v>
      </c>
      <c r="EH42" s="39">
        <f t="shared" si="52"/>
        <v>2330979500</v>
      </c>
      <c r="EJ42" s="13"/>
      <c r="EK42" s="13"/>
      <c r="EL42" s="16"/>
      <c r="EM42" s="16"/>
      <c r="EN42" s="15"/>
      <c r="EO42" s="14"/>
      <c r="EU42" s="16"/>
      <c r="EV42" s="16"/>
      <c r="EW42" s="15"/>
      <c r="EX42" s="14"/>
      <c r="FD42" s="13"/>
      <c r="FE42" s="13"/>
      <c r="IH42" s="16" t="s">
        <v>127</v>
      </c>
      <c r="II42" s="16">
        <v>44600</v>
      </c>
      <c r="IJ42" s="15">
        <v>11077362</v>
      </c>
      <c r="IK42" s="14">
        <v>5000000</v>
      </c>
      <c r="IP42" s="16"/>
      <c r="IQ42" s="16"/>
      <c r="IR42" s="15"/>
      <c r="IS42" s="14"/>
    </row>
    <row r="43" spans="2:253" x14ac:dyDescent="0.25">
      <c r="B43" s="16" t="s">
        <v>135</v>
      </c>
      <c r="C43" s="16">
        <v>45090</v>
      </c>
      <c r="D43" s="15">
        <v>17313915.453915451</v>
      </c>
      <c r="E43" s="14">
        <v>20000000</v>
      </c>
      <c r="I43" s="116"/>
      <c r="J43" s="116"/>
      <c r="K43" s="116"/>
      <c r="Q43" s="13"/>
      <c r="R43" s="13"/>
      <c r="S43" s="13"/>
      <c r="T43" s="16" t="s">
        <v>33</v>
      </c>
      <c r="U43" s="16">
        <v>43564</v>
      </c>
      <c r="V43" s="15">
        <v>10928040.437561458</v>
      </c>
      <c r="W43" s="14">
        <v>5000000</v>
      </c>
      <c r="AG43" s="13"/>
      <c r="AH43" s="13"/>
      <c r="AI43" s="16" t="s">
        <v>39</v>
      </c>
      <c r="AJ43" s="16">
        <v>43928</v>
      </c>
      <c r="AK43" s="15">
        <v>16704283.923303839</v>
      </c>
      <c r="AL43" s="14">
        <v>10000000</v>
      </c>
      <c r="AV43" s="13"/>
      <c r="AW43" s="13"/>
      <c r="AX43" s="16" t="s">
        <v>38</v>
      </c>
      <c r="AY43" s="16">
        <v>44096</v>
      </c>
      <c r="AZ43" s="15">
        <v>10243366.887905605</v>
      </c>
      <c r="BA43" s="14">
        <v>2000000</v>
      </c>
      <c r="BK43" s="13"/>
      <c r="BL43" s="13"/>
      <c r="BM43" s="16" t="s">
        <v>35</v>
      </c>
      <c r="BN43" s="16">
        <v>44663</v>
      </c>
      <c r="BO43" s="15">
        <v>11151636.184857424</v>
      </c>
      <c r="BP43" s="14">
        <v>5000000</v>
      </c>
      <c r="BZ43" s="13"/>
      <c r="CA43" s="13"/>
      <c r="CB43" s="16" t="s">
        <v>37</v>
      </c>
      <c r="CC43" s="16">
        <v>44824</v>
      </c>
      <c r="CD43" s="15">
        <v>21774610.959836625</v>
      </c>
      <c r="CE43" s="14">
        <v>20000000</v>
      </c>
      <c r="CJ43" s="40"/>
      <c r="CK43" s="39"/>
      <c r="CL43" s="40"/>
      <c r="CM43" s="39"/>
      <c r="CO43" s="13"/>
      <c r="CP43" s="13"/>
      <c r="CQ43" s="16" t="s">
        <v>115</v>
      </c>
      <c r="CR43" s="16">
        <v>45391</v>
      </c>
      <c r="CS43" s="15">
        <v>44051448.371448368</v>
      </c>
      <c r="CT43" s="14">
        <v>50000000</v>
      </c>
      <c r="CY43" s="40"/>
      <c r="CZ43" s="39"/>
      <c r="DA43" s="40"/>
      <c r="DB43" s="39"/>
      <c r="DD43" s="13"/>
      <c r="DE43" s="13"/>
      <c r="DF43" s="16" t="s">
        <v>127</v>
      </c>
      <c r="DG43" s="16">
        <v>44411</v>
      </c>
      <c r="DH43" s="15">
        <v>8737466.5683382507</v>
      </c>
      <c r="DI43" s="14">
        <v>2000000</v>
      </c>
      <c r="DO43" s="40"/>
      <c r="DP43" s="39"/>
      <c r="DQ43" s="40"/>
      <c r="DR43" s="39"/>
      <c r="DT43" s="13"/>
      <c r="DU43" s="13"/>
      <c r="DV43" s="16" t="s">
        <v>126</v>
      </c>
      <c r="DW43" s="16">
        <v>44761</v>
      </c>
      <c r="DX43" s="15">
        <v>15887167.007034266</v>
      </c>
      <c r="DY43" s="14">
        <v>5000000</v>
      </c>
      <c r="EE43" s="40"/>
      <c r="EF43" s="39"/>
      <c r="EG43" s="40"/>
      <c r="EH43" s="39"/>
      <c r="EJ43" s="13"/>
      <c r="EK43" s="13"/>
      <c r="EL43" s="16"/>
      <c r="EM43" s="16"/>
      <c r="EN43" s="15"/>
      <c r="EO43" s="14"/>
      <c r="EU43" s="16"/>
      <c r="EV43" s="16"/>
      <c r="EW43" s="15"/>
      <c r="EX43" s="14"/>
      <c r="FD43" s="13"/>
      <c r="FE43" s="13"/>
      <c r="IH43" s="16" t="s">
        <v>127</v>
      </c>
      <c r="II43" s="16">
        <v>44607</v>
      </c>
      <c r="IJ43" s="15">
        <v>14443305</v>
      </c>
      <c r="IK43" s="14">
        <v>10000000</v>
      </c>
      <c r="IP43" s="16"/>
      <c r="IQ43" s="16"/>
      <c r="IR43" s="15"/>
      <c r="IS43" s="14"/>
    </row>
    <row r="44" spans="2:253" x14ac:dyDescent="0.25">
      <c r="B44" s="16" t="s">
        <v>135</v>
      </c>
      <c r="C44" s="16">
        <v>45083</v>
      </c>
      <c r="D44" s="15">
        <v>13397146.454146456</v>
      </c>
      <c r="E44" s="14">
        <v>10000000</v>
      </c>
      <c r="I44" s="116"/>
      <c r="J44" s="116"/>
      <c r="K44" s="116"/>
      <c r="M44" s="38" t="s">
        <v>27</v>
      </c>
      <c r="N44" s="38" t="s">
        <v>26</v>
      </c>
      <c r="O44" s="38" t="s">
        <v>25</v>
      </c>
      <c r="P44" s="38" t="s">
        <v>24</v>
      </c>
      <c r="Q44" s="13"/>
      <c r="R44" s="13"/>
      <c r="S44" s="13"/>
      <c r="T44" s="16" t="s">
        <v>33</v>
      </c>
      <c r="U44" s="16">
        <v>43571</v>
      </c>
      <c r="V44" s="15">
        <v>15318182.645034416</v>
      </c>
      <c r="W44" s="14">
        <v>10000000</v>
      </c>
      <c r="AB44" s="38" t="s">
        <v>27</v>
      </c>
      <c r="AC44" s="38" t="s">
        <v>26</v>
      </c>
      <c r="AD44" s="38" t="s">
        <v>25</v>
      </c>
      <c r="AE44" s="38" t="s">
        <v>24</v>
      </c>
      <c r="AG44" s="13"/>
      <c r="AH44" s="13"/>
      <c r="AI44" s="16" t="s">
        <v>39</v>
      </c>
      <c r="AJ44" s="16">
        <v>43935</v>
      </c>
      <c r="AK44" s="15">
        <v>19239208.702064898</v>
      </c>
      <c r="AL44" s="14">
        <v>15000000</v>
      </c>
      <c r="AQ44" s="38" t="s">
        <v>27</v>
      </c>
      <c r="AR44" s="38" t="s">
        <v>26</v>
      </c>
      <c r="AS44" s="38" t="s">
        <v>25</v>
      </c>
      <c r="AT44" s="38" t="s">
        <v>24</v>
      </c>
      <c r="AV44" s="13"/>
      <c r="AW44" s="13"/>
      <c r="AX44" s="16" t="s">
        <v>38</v>
      </c>
      <c r="AY44" s="16">
        <v>44089</v>
      </c>
      <c r="AZ44" s="15">
        <v>23236850.294985253</v>
      </c>
      <c r="BA44" s="14">
        <v>20000000</v>
      </c>
      <c r="BF44" s="38" t="s">
        <v>27</v>
      </c>
      <c r="BG44" s="38" t="s">
        <v>26</v>
      </c>
      <c r="BH44" s="38" t="s">
        <v>25</v>
      </c>
      <c r="BI44" s="38" t="s">
        <v>24</v>
      </c>
      <c r="BK44" s="13"/>
      <c r="BL44" s="13"/>
      <c r="BM44" s="16" t="s">
        <v>35</v>
      </c>
      <c r="BN44" s="16">
        <v>44670</v>
      </c>
      <c r="BO44" s="15">
        <v>16153900.442477878</v>
      </c>
      <c r="BP44" s="14">
        <v>10000000</v>
      </c>
      <c r="BU44" s="38" t="s">
        <v>27</v>
      </c>
      <c r="BV44" s="38" t="s">
        <v>26</v>
      </c>
      <c r="BW44" s="38" t="s">
        <v>25</v>
      </c>
      <c r="BX44" s="38" t="s">
        <v>24</v>
      </c>
      <c r="BZ44" s="13"/>
      <c r="CA44" s="13"/>
      <c r="CB44" s="16" t="s">
        <v>37</v>
      </c>
      <c r="CC44" s="16">
        <v>44817</v>
      </c>
      <c r="CD44" s="15">
        <v>14935118.901747221</v>
      </c>
      <c r="CE44" s="14">
        <v>10000000</v>
      </c>
      <c r="CJ44" s="60" t="s">
        <v>51</v>
      </c>
      <c r="CK44" s="39"/>
      <c r="CL44" s="40"/>
      <c r="CM44" s="39"/>
      <c r="CO44" s="13"/>
      <c r="CP44" s="13"/>
      <c r="CQ44" s="16" t="s">
        <v>115</v>
      </c>
      <c r="CR44" s="16">
        <v>45398</v>
      </c>
      <c r="CS44" s="15">
        <v>9091124.0471240468</v>
      </c>
      <c r="CT44" s="14">
        <v>3000000</v>
      </c>
      <c r="CY44" s="40"/>
      <c r="CZ44" s="39"/>
      <c r="DA44" s="40"/>
      <c r="DB44" s="39"/>
      <c r="DD44" s="13"/>
      <c r="DE44" s="13"/>
      <c r="DF44" s="16" t="s">
        <v>127</v>
      </c>
      <c r="DG44" s="16">
        <v>44404</v>
      </c>
      <c r="DH44" s="15">
        <v>15715806.907571292</v>
      </c>
      <c r="DI44" s="14">
        <v>10000000</v>
      </c>
      <c r="DO44" s="38" t="s">
        <v>27</v>
      </c>
      <c r="DP44" s="38" t="s">
        <v>26</v>
      </c>
      <c r="DQ44" s="38" t="s">
        <v>25</v>
      </c>
      <c r="DR44" s="38" t="s">
        <v>24</v>
      </c>
      <c r="DT44" s="13"/>
      <c r="DU44" s="13"/>
      <c r="DV44" s="16" t="s">
        <v>126</v>
      </c>
      <c r="DW44" s="16">
        <v>44754</v>
      </c>
      <c r="DX44" s="15">
        <v>8988383.8211935572</v>
      </c>
      <c r="DY44" s="14">
        <v>3000000</v>
      </c>
      <c r="EE44" s="38" t="s">
        <v>27</v>
      </c>
      <c r="EF44" s="38" t="s">
        <v>26</v>
      </c>
      <c r="EG44" s="38" t="s">
        <v>25</v>
      </c>
      <c r="EH44" s="38" t="s">
        <v>24</v>
      </c>
      <c r="EJ44" s="13"/>
      <c r="EK44" s="13"/>
      <c r="EL44" s="16"/>
      <c r="EM44" s="16"/>
      <c r="EN44" s="15"/>
      <c r="EO44" s="14"/>
      <c r="EU44" s="16"/>
      <c r="EV44" s="16"/>
      <c r="EW44" s="15"/>
      <c r="EX44" s="14"/>
      <c r="FD44" s="13"/>
      <c r="FE44" s="13"/>
      <c r="IH44" s="16" t="s">
        <v>127</v>
      </c>
      <c r="II44" s="16">
        <v>44614</v>
      </c>
      <c r="IJ44" s="15">
        <v>8213148</v>
      </c>
      <c r="IK44" s="14">
        <v>2000000</v>
      </c>
      <c r="IP44" s="16"/>
      <c r="IQ44" s="16"/>
      <c r="IR44" s="15"/>
      <c r="IS44" s="14"/>
    </row>
    <row r="45" spans="2:253" x14ac:dyDescent="0.25">
      <c r="B45" s="16" t="s">
        <v>135</v>
      </c>
      <c r="C45" s="16">
        <v>45076</v>
      </c>
      <c r="D45" s="15">
        <v>9865218.9882189874</v>
      </c>
      <c r="E45" s="14">
        <v>5000000</v>
      </c>
      <c r="I45" s="116"/>
      <c r="J45" s="116"/>
      <c r="K45" s="116"/>
      <c r="M45" s="12" t="str">
        <f t="shared" ref="M45:M62" si="54">B3</f>
        <v>L12M</v>
      </c>
      <c r="N45" s="12">
        <f t="shared" ref="N45:N62" si="55">C3</f>
        <v>45370</v>
      </c>
      <c r="O45" s="11">
        <f t="shared" ref="O45:O62" si="56">D3/1000000</f>
        <v>20.737410487410486</v>
      </c>
      <c r="P45" s="11">
        <f t="shared" ref="P45:P62" si="57">E3/1000000</f>
        <v>20</v>
      </c>
      <c r="Q45" s="13"/>
      <c r="R45" s="13"/>
      <c r="S45" s="13"/>
      <c r="T45" s="16" t="s">
        <v>33</v>
      </c>
      <c r="U45" s="16">
        <v>43578</v>
      </c>
      <c r="V45" s="15">
        <v>16349433.997050151</v>
      </c>
      <c r="W45" s="14">
        <v>15000000</v>
      </c>
      <c r="AB45" s="12" t="str">
        <f t="shared" ref="AB45:AC62" si="58">T3</f>
        <v>FY19</v>
      </c>
      <c r="AC45" s="12">
        <f t="shared" si="58"/>
        <v>43284</v>
      </c>
      <c r="AD45" s="11">
        <f t="shared" ref="AD45:AE60" si="59">V3/1000000</f>
        <v>14.432465953785647</v>
      </c>
      <c r="AE45" s="11">
        <f t="shared" si="59"/>
        <v>10</v>
      </c>
      <c r="AG45" s="13"/>
      <c r="AH45" s="13"/>
      <c r="AI45" s="16" t="s">
        <v>39</v>
      </c>
      <c r="AJ45" s="16">
        <v>43942</v>
      </c>
      <c r="AK45" s="15">
        <v>8448518.9282202572</v>
      </c>
      <c r="AL45" s="14">
        <v>2000000</v>
      </c>
      <c r="AQ45" s="12" t="str">
        <f t="shared" ref="AQ45:AR62" si="60">AI3</f>
        <v>FY20</v>
      </c>
      <c r="AR45" s="12">
        <f t="shared" si="60"/>
        <v>43648</v>
      </c>
      <c r="AS45" s="11">
        <f t="shared" ref="AS45:AT60" si="61">AK3/1000000</f>
        <v>8.4306527777777784</v>
      </c>
      <c r="AT45" s="11">
        <f t="shared" si="61"/>
        <v>2</v>
      </c>
      <c r="AV45" s="13"/>
      <c r="AW45" s="13"/>
      <c r="AX45" s="16" t="s">
        <v>38</v>
      </c>
      <c r="AY45" s="16">
        <v>44082</v>
      </c>
      <c r="AZ45" s="15">
        <v>17498731.194690268</v>
      </c>
      <c r="BA45" s="14">
        <v>10000000</v>
      </c>
      <c r="BF45" s="12" t="str">
        <f t="shared" ref="BF45:BG62" si="62">AX3</f>
        <v>FY21</v>
      </c>
      <c r="BG45" s="12">
        <f t="shared" si="62"/>
        <v>44376</v>
      </c>
      <c r="BH45" s="11">
        <f t="shared" ref="BH45:BI60" si="63">AZ3/1000000</f>
        <v>14.779653146509341</v>
      </c>
      <c r="BI45" s="11">
        <f t="shared" si="63"/>
        <v>10</v>
      </c>
      <c r="BK45" s="13"/>
      <c r="BL45" s="13"/>
      <c r="BM45" s="16" t="s">
        <v>35</v>
      </c>
      <c r="BN45" s="16">
        <v>44677</v>
      </c>
      <c r="BO45" s="15">
        <v>21468686.578171093</v>
      </c>
      <c r="BP45" s="14">
        <v>20000000</v>
      </c>
      <c r="BU45" s="12" t="str">
        <f t="shared" ref="BU45:BV62" si="64">BM3</f>
        <v>FY22</v>
      </c>
      <c r="BV45" s="12">
        <f t="shared" si="64"/>
        <v>44383</v>
      </c>
      <c r="BW45" s="11">
        <f t="shared" ref="BW45:BX60" si="65">BO3/1000000</f>
        <v>25.373026302851532</v>
      </c>
      <c r="BX45" s="11">
        <f t="shared" si="65"/>
        <v>20</v>
      </c>
      <c r="BZ45" s="13"/>
      <c r="CA45" s="13"/>
      <c r="CB45" s="16" t="s">
        <v>37</v>
      </c>
      <c r="CC45" s="16">
        <v>44810</v>
      </c>
      <c r="CD45" s="15">
        <v>9323163.9437258914</v>
      </c>
      <c r="CE45" s="14">
        <v>5000000</v>
      </c>
      <c r="CJ45" s="59">
        <v>4.0000000000000002E-4</v>
      </c>
      <c r="CK45" s="59">
        <v>-3.3500000000000002E-2</v>
      </c>
      <c r="CL45" s="59">
        <v>1.4722</v>
      </c>
      <c r="CM45" s="59">
        <v>4.3783000000000003</v>
      </c>
      <c r="CO45" s="13"/>
      <c r="CP45" s="13"/>
      <c r="CQ45" s="16" t="s">
        <v>115</v>
      </c>
      <c r="CR45" s="16">
        <v>45405</v>
      </c>
      <c r="CS45" s="15">
        <v>8794471.933471933</v>
      </c>
      <c r="CT45" s="14">
        <v>3000000</v>
      </c>
      <c r="CY45" s="40"/>
      <c r="CZ45" s="39"/>
      <c r="DA45" s="40"/>
      <c r="DB45" s="39"/>
      <c r="DD45" s="13"/>
      <c r="DE45" s="13"/>
      <c r="DF45" s="16" t="s">
        <v>127</v>
      </c>
      <c r="DG45" s="16">
        <v>44397</v>
      </c>
      <c r="DH45" s="15">
        <v>11303058.628318587</v>
      </c>
      <c r="DI45" s="14">
        <v>5000000</v>
      </c>
      <c r="DO45" s="12" t="str">
        <f t="shared" ref="DO45:DP60" si="66">DF3</f>
        <v>Pre GC</v>
      </c>
      <c r="DP45" s="12">
        <f t="shared" si="66"/>
        <v>44691</v>
      </c>
      <c r="DQ45" s="11">
        <f t="shared" ref="DQ45:DR60" si="67">DH3/1000000</f>
        <v>9.9194193706981331</v>
      </c>
      <c r="DR45" s="11">
        <f t="shared" si="67"/>
        <v>5</v>
      </c>
      <c r="DT45" s="13"/>
      <c r="DU45" s="13"/>
      <c r="DV45" s="16" t="s">
        <v>126</v>
      </c>
      <c r="DW45" s="16">
        <v>44747</v>
      </c>
      <c r="DX45" s="15">
        <v>26744814.045836173</v>
      </c>
      <c r="DY45" s="14">
        <v>30000000</v>
      </c>
      <c r="EE45" s="12" t="str">
        <f t="shared" ref="EE45:EF60" si="68">DV3</f>
        <v>Post GC</v>
      </c>
      <c r="EF45" s="12">
        <f t="shared" si="68"/>
        <v>45041</v>
      </c>
      <c r="EG45" s="11">
        <f t="shared" ref="EG45:EH60" si="69">DX3/1000000</f>
        <v>9.7251242781242766</v>
      </c>
      <c r="EH45" s="11">
        <f t="shared" si="69"/>
        <v>5</v>
      </c>
      <c r="EJ45" s="13"/>
      <c r="EK45" s="13"/>
      <c r="EL45" s="16"/>
      <c r="EM45" s="16"/>
      <c r="EN45" s="15"/>
      <c r="EO45" s="14"/>
      <c r="FD45" s="13"/>
      <c r="FE45" s="13"/>
      <c r="IH45" s="16" t="s">
        <v>127</v>
      </c>
      <c r="II45" s="16">
        <v>44621</v>
      </c>
      <c r="IJ45" s="15">
        <v>12585855</v>
      </c>
      <c r="IK45" s="14">
        <v>5000000</v>
      </c>
      <c r="IP45" s="16"/>
      <c r="IQ45" s="16"/>
      <c r="IR45" s="15"/>
      <c r="IS45" s="14"/>
    </row>
    <row r="46" spans="2:253" x14ac:dyDescent="0.25">
      <c r="B46" s="16" t="s">
        <v>135</v>
      </c>
      <c r="C46" s="16">
        <v>45069</v>
      </c>
      <c r="D46" s="15">
        <v>8703118.3876183871</v>
      </c>
      <c r="E46" s="14">
        <v>3000000</v>
      </c>
      <c r="I46" s="116"/>
      <c r="J46" s="116"/>
      <c r="K46" s="116"/>
      <c r="M46" s="12" t="str">
        <f t="shared" si="54"/>
        <v>L12M</v>
      </c>
      <c r="N46" s="12">
        <f t="shared" si="55"/>
        <v>45363</v>
      </c>
      <c r="O46" s="11">
        <f t="shared" si="56"/>
        <v>14.729771309771309</v>
      </c>
      <c r="P46" s="11">
        <f t="shared" si="57"/>
        <v>15</v>
      </c>
      <c r="Q46" s="13"/>
      <c r="R46" s="13"/>
      <c r="S46" s="13"/>
      <c r="T46" s="16" t="s">
        <v>33</v>
      </c>
      <c r="U46" s="16">
        <v>43585</v>
      </c>
      <c r="V46" s="15">
        <v>7781780.9734513285</v>
      </c>
      <c r="W46" s="14">
        <v>2000000</v>
      </c>
      <c r="AB46" s="12" t="str">
        <f t="shared" si="58"/>
        <v>FY19</v>
      </c>
      <c r="AC46" s="12">
        <f t="shared" si="58"/>
        <v>43291</v>
      </c>
      <c r="AD46" s="11">
        <f t="shared" si="59"/>
        <v>16.65409587020649</v>
      </c>
      <c r="AE46" s="11">
        <f t="shared" si="59"/>
        <v>15</v>
      </c>
      <c r="AG46" s="13"/>
      <c r="AH46" s="13"/>
      <c r="AI46" s="16" t="s">
        <v>39</v>
      </c>
      <c r="AJ46" s="16">
        <v>43949</v>
      </c>
      <c r="AK46" s="15">
        <v>8829529.4985250756</v>
      </c>
      <c r="AL46" s="14">
        <v>2000000</v>
      </c>
      <c r="AQ46" s="12" t="str">
        <f t="shared" si="60"/>
        <v>FY20</v>
      </c>
      <c r="AR46" s="12">
        <f t="shared" si="60"/>
        <v>43655</v>
      </c>
      <c r="AS46" s="11">
        <f t="shared" si="61"/>
        <v>9.6763874139626367</v>
      </c>
      <c r="AT46" s="11">
        <f t="shared" si="61"/>
        <v>5</v>
      </c>
      <c r="AV46" s="13"/>
      <c r="AW46" s="13"/>
      <c r="AX46" s="16" t="s">
        <v>38</v>
      </c>
      <c r="AY46" s="16">
        <v>44075</v>
      </c>
      <c r="AZ46" s="15">
        <v>12143818.829891842</v>
      </c>
      <c r="BA46" s="14">
        <v>5000000</v>
      </c>
      <c r="BF46" s="12" t="str">
        <f t="shared" si="62"/>
        <v>FY21</v>
      </c>
      <c r="BG46" s="12">
        <f t="shared" si="62"/>
        <v>44369</v>
      </c>
      <c r="BH46" s="11">
        <f t="shared" si="63"/>
        <v>10.317431661750248</v>
      </c>
      <c r="BI46" s="11">
        <f t="shared" si="63"/>
        <v>5</v>
      </c>
      <c r="BK46" s="13"/>
      <c r="BL46" s="13"/>
      <c r="BM46" s="16" t="s">
        <v>35</v>
      </c>
      <c r="BN46" s="16">
        <v>44684</v>
      </c>
      <c r="BO46" s="15">
        <v>8234016.3470993135</v>
      </c>
      <c r="BP46" s="14">
        <v>2000000</v>
      </c>
      <c r="BU46" s="12" t="str">
        <f t="shared" si="64"/>
        <v>FY22</v>
      </c>
      <c r="BV46" s="12">
        <f t="shared" si="64"/>
        <v>44390</v>
      </c>
      <c r="BW46" s="11">
        <f t="shared" si="65"/>
        <v>9.2202829400196649</v>
      </c>
      <c r="BX46" s="11">
        <f t="shared" si="65"/>
        <v>2</v>
      </c>
      <c r="BZ46" s="13"/>
      <c r="CA46" s="13"/>
      <c r="CB46" s="16" t="s">
        <v>37</v>
      </c>
      <c r="CC46" s="16">
        <v>44803</v>
      </c>
      <c r="CD46" s="15">
        <v>8114797.0274563199</v>
      </c>
      <c r="CE46" s="14">
        <v>3000000</v>
      </c>
      <c r="CO46" s="13"/>
      <c r="CP46" s="13"/>
      <c r="CQ46" s="16" t="s">
        <v>115</v>
      </c>
      <c r="CR46" s="16">
        <v>45412</v>
      </c>
      <c r="CS46" s="15">
        <v>11943663.894663893</v>
      </c>
      <c r="CT46" s="14">
        <v>8000000</v>
      </c>
      <c r="CY46" s="40"/>
      <c r="CZ46" s="39"/>
      <c r="DA46" s="40"/>
      <c r="DB46" s="39"/>
      <c r="DD46" s="13"/>
      <c r="DE46" s="13"/>
      <c r="DF46" s="16" t="s">
        <v>127</v>
      </c>
      <c r="DG46" s="16">
        <v>44390</v>
      </c>
      <c r="DH46" s="15">
        <v>9220282.9400196653</v>
      </c>
      <c r="DI46" s="14">
        <v>2000000</v>
      </c>
      <c r="DO46" s="12" t="str">
        <f t="shared" si="66"/>
        <v>Pre GC</v>
      </c>
      <c r="DP46" s="12">
        <f t="shared" si="66"/>
        <v>44684</v>
      </c>
      <c r="DQ46" s="11">
        <f t="shared" si="67"/>
        <v>8.2340163470993133</v>
      </c>
      <c r="DR46" s="11">
        <f t="shared" si="67"/>
        <v>2</v>
      </c>
      <c r="DT46" s="13"/>
      <c r="DU46" s="13"/>
      <c r="DV46" s="16" t="s">
        <v>126</v>
      </c>
      <c r="DW46" s="16">
        <v>44740</v>
      </c>
      <c r="DX46" s="15">
        <v>16459891.30928069</v>
      </c>
      <c r="DY46" s="14">
        <v>20000000</v>
      </c>
      <c r="EE46" s="12" t="str">
        <f t="shared" si="68"/>
        <v>Post GC</v>
      </c>
      <c r="EF46" s="12">
        <f t="shared" si="68"/>
        <v>45034</v>
      </c>
      <c r="EG46" s="11">
        <f t="shared" si="69"/>
        <v>9.2700094710094678</v>
      </c>
      <c r="EH46" s="11">
        <f t="shared" si="69"/>
        <v>3</v>
      </c>
      <c r="EJ46" s="13"/>
      <c r="EK46" s="13"/>
      <c r="EL46" s="16"/>
      <c r="EM46" s="16"/>
      <c r="EN46" s="15"/>
      <c r="EO46" s="14"/>
      <c r="FD46" s="13"/>
      <c r="FE46" s="13"/>
      <c r="IH46" s="16" t="s">
        <v>127</v>
      </c>
      <c r="II46" s="16">
        <v>44628</v>
      </c>
      <c r="IJ46" s="15">
        <v>18339861</v>
      </c>
      <c r="IK46" s="14">
        <v>10000000</v>
      </c>
      <c r="IP46" s="16"/>
      <c r="IQ46" s="16"/>
      <c r="IR46" s="15"/>
      <c r="IS46" s="14"/>
    </row>
    <row r="47" spans="2:253" x14ac:dyDescent="0.25">
      <c r="B47" s="16" t="s">
        <v>135</v>
      </c>
      <c r="C47" s="16">
        <v>45062</v>
      </c>
      <c r="D47" s="15">
        <v>29237498.960498959</v>
      </c>
      <c r="E47" s="14">
        <v>30000000</v>
      </c>
      <c r="I47" s="116"/>
      <c r="J47" s="116"/>
      <c r="K47" s="116"/>
      <c r="M47" s="12" t="str">
        <f t="shared" si="54"/>
        <v>L12M</v>
      </c>
      <c r="N47" s="12">
        <f t="shared" si="55"/>
        <v>45356</v>
      </c>
      <c r="O47" s="11">
        <f t="shared" si="56"/>
        <v>11.997695888195887</v>
      </c>
      <c r="P47" s="11">
        <f t="shared" si="57"/>
        <v>8</v>
      </c>
      <c r="Q47" s="13"/>
      <c r="R47" s="13"/>
      <c r="S47" s="13"/>
      <c r="T47" s="16" t="s">
        <v>33</v>
      </c>
      <c r="U47" s="16">
        <v>43592</v>
      </c>
      <c r="V47" s="15">
        <v>9504586.4060963653</v>
      </c>
      <c r="W47" s="14">
        <v>5000000</v>
      </c>
      <c r="AB47" s="12" t="str">
        <f t="shared" si="58"/>
        <v>FY19</v>
      </c>
      <c r="AC47" s="12">
        <f t="shared" si="58"/>
        <v>43298</v>
      </c>
      <c r="AD47" s="11">
        <f t="shared" si="59"/>
        <v>25.270413102261557</v>
      </c>
      <c r="AE47" s="11">
        <f t="shared" si="59"/>
        <v>30</v>
      </c>
      <c r="AG47" s="13"/>
      <c r="AH47" s="13"/>
      <c r="AI47" s="16" t="s">
        <v>39</v>
      </c>
      <c r="AJ47" s="16">
        <v>43956</v>
      </c>
      <c r="AK47" s="15">
        <v>11116368.731563423</v>
      </c>
      <c r="AL47" s="14">
        <v>5000000</v>
      </c>
      <c r="AQ47" s="12" t="str">
        <f t="shared" si="60"/>
        <v>FY20</v>
      </c>
      <c r="AR47" s="12">
        <f t="shared" si="60"/>
        <v>43662</v>
      </c>
      <c r="AS47" s="11">
        <f t="shared" si="61"/>
        <v>13.883266470009833</v>
      </c>
      <c r="AT47" s="11">
        <f t="shared" si="61"/>
        <v>10</v>
      </c>
      <c r="AV47" s="13"/>
      <c r="AW47" s="13"/>
      <c r="AX47" s="16" t="s">
        <v>38</v>
      </c>
      <c r="AY47" s="16">
        <v>44068</v>
      </c>
      <c r="AZ47" s="15">
        <v>9989077.0648967549</v>
      </c>
      <c r="BA47" s="14">
        <v>2000000</v>
      </c>
      <c r="BF47" s="12" t="str">
        <f t="shared" si="62"/>
        <v>FY21</v>
      </c>
      <c r="BG47" s="12">
        <f t="shared" si="62"/>
        <v>44362</v>
      </c>
      <c r="BH47" s="11">
        <f t="shared" si="63"/>
        <v>8.3530850540806298</v>
      </c>
      <c r="BI47" s="11">
        <f t="shared" si="63"/>
        <v>2</v>
      </c>
      <c r="BK47" s="13"/>
      <c r="BL47" s="13"/>
      <c r="BM47" s="16" t="s">
        <v>35</v>
      </c>
      <c r="BN47" s="16">
        <v>44691</v>
      </c>
      <c r="BO47" s="15">
        <v>9919419.3706981335</v>
      </c>
      <c r="BP47" s="14">
        <v>5000000</v>
      </c>
      <c r="BU47" s="12" t="str">
        <f t="shared" si="64"/>
        <v>FY22</v>
      </c>
      <c r="BV47" s="12">
        <f t="shared" si="64"/>
        <v>44397</v>
      </c>
      <c r="BW47" s="11">
        <f t="shared" si="65"/>
        <v>11.303058628318587</v>
      </c>
      <c r="BX47" s="11">
        <f t="shared" si="65"/>
        <v>5</v>
      </c>
      <c r="BZ47" s="13"/>
      <c r="CA47" s="13"/>
      <c r="CB47" s="16" t="s">
        <v>37</v>
      </c>
      <c r="CC47" s="16">
        <v>44796</v>
      </c>
      <c r="CD47" s="15">
        <v>15798659.51894713</v>
      </c>
      <c r="CE47" s="14">
        <v>10000000</v>
      </c>
      <c r="CJ47" s="2" t="s">
        <v>41</v>
      </c>
      <c r="CK47" s="2" t="s">
        <v>25</v>
      </c>
      <c r="CO47" s="13"/>
      <c r="CP47" s="13"/>
      <c r="CQ47" s="16" t="s">
        <v>115</v>
      </c>
      <c r="CR47" s="16">
        <v>45419</v>
      </c>
      <c r="CS47" s="15">
        <v>14858632.709632708</v>
      </c>
      <c r="CT47" s="14">
        <v>15000000</v>
      </c>
      <c r="CY47" s="40"/>
      <c r="CZ47" s="39"/>
      <c r="DA47" s="40"/>
      <c r="DB47" s="39"/>
      <c r="DD47" s="13"/>
      <c r="DE47" s="13"/>
      <c r="DF47" s="16" t="s">
        <v>127</v>
      </c>
      <c r="DG47" s="16">
        <v>44383</v>
      </c>
      <c r="DH47" s="15">
        <v>25373026.302851532</v>
      </c>
      <c r="DI47" s="14">
        <v>20000000</v>
      </c>
      <c r="DO47" s="12" t="str">
        <f t="shared" si="66"/>
        <v>Pre GC</v>
      </c>
      <c r="DP47" s="12">
        <f t="shared" si="66"/>
        <v>44677</v>
      </c>
      <c r="DQ47" s="11">
        <f t="shared" si="67"/>
        <v>21.468686578171091</v>
      </c>
      <c r="DR47" s="11">
        <f t="shared" si="67"/>
        <v>20</v>
      </c>
      <c r="DT47" s="13"/>
      <c r="DU47" s="13"/>
      <c r="DV47" s="16" t="s">
        <v>126</v>
      </c>
      <c r="DW47" s="16">
        <v>44733</v>
      </c>
      <c r="DX47" s="15">
        <v>12227484.570002271</v>
      </c>
      <c r="DY47" s="14">
        <v>10000000</v>
      </c>
      <c r="EE47" s="12" t="str">
        <f t="shared" si="68"/>
        <v>Post GC</v>
      </c>
      <c r="EF47" s="12">
        <f t="shared" si="68"/>
        <v>45027</v>
      </c>
      <c r="EG47" s="11">
        <f t="shared" si="69"/>
        <v>24.316174405174401</v>
      </c>
      <c r="EH47" s="11">
        <f t="shared" si="69"/>
        <v>30</v>
      </c>
      <c r="EJ47" s="13"/>
      <c r="EK47" s="13"/>
      <c r="EL47" s="16"/>
      <c r="EM47" s="16"/>
      <c r="EN47" s="15"/>
      <c r="EO47" s="14"/>
      <c r="FD47" s="13"/>
      <c r="FE47" s="13"/>
      <c r="IH47" s="16" t="s">
        <v>127</v>
      </c>
      <c r="II47" s="16">
        <v>44635</v>
      </c>
      <c r="IJ47" s="15">
        <v>8647974</v>
      </c>
      <c r="IK47" s="14">
        <v>2000000</v>
      </c>
      <c r="IP47" s="16"/>
      <c r="IQ47" s="16"/>
      <c r="IR47" s="15"/>
      <c r="IS47" s="14"/>
    </row>
    <row r="48" spans="2:253" x14ac:dyDescent="0.25">
      <c r="B48" s="16" t="s">
        <v>135</v>
      </c>
      <c r="C48" s="16">
        <v>45055</v>
      </c>
      <c r="D48" s="15">
        <v>21594296.604296606</v>
      </c>
      <c r="E48" s="14">
        <v>20000000</v>
      </c>
      <c r="I48" s="116"/>
      <c r="J48" s="116"/>
      <c r="K48" s="116"/>
      <c r="M48" s="12" t="str">
        <f t="shared" si="54"/>
        <v>L12M</v>
      </c>
      <c r="N48" s="12">
        <f t="shared" si="55"/>
        <v>45349</v>
      </c>
      <c r="O48" s="11">
        <f t="shared" si="56"/>
        <v>9.1288488103488099</v>
      </c>
      <c r="P48" s="11">
        <f t="shared" si="57"/>
        <v>3</v>
      </c>
      <c r="Q48" s="13"/>
      <c r="R48" s="13"/>
      <c r="S48" s="13"/>
      <c r="T48" s="16" t="s">
        <v>33</v>
      </c>
      <c r="U48" s="16">
        <v>43599</v>
      </c>
      <c r="V48" s="15">
        <v>14241673.672566375</v>
      </c>
      <c r="W48" s="14">
        <v>10000000</v>
      </c>
      <c r="AB48" s="12" t="str">
        <f t="shared" si="58"/>
        <v>FY19</v>
      </c>
      <c r="AC48" s="12">
        <f t="shared" si="58"/>
        <v>43305</v>
      </c>
      <c r="AD48" s="11">
        <f t="shared" si="59"/>
        <v>31.103626106194692</v>
      </c>
      <c r="AE48" s="11">
        <f t="shared" si="59"/>
        <v>40</v>
      </c>
      <c r="AG48" s="13"/>
      <c r="AH48" s="13"/>
      <c r="AI48" s="16" t="s">
        <v>39</v>
      </c>
      <c r="AJ48" s="16">
        <v>43963</v>
      </c>
      <c r="AK48" s="15">
        <v>18684113.692232061</v>
      </c>
      <c r="AL48" s="14">
        <v>10000000</v>
      </c>
      <c r="AQ48" s="12" t="str">
        <f t="shared" si="60"/>
        <v>FY20</v>
      </c>
      <c r="AR48" s="12">
        <f t="shared" si="60"/>
        <v>43669</v>
      </c>
      <c r="AS48" s="11">
        <f t="shared" si="61"/>
        <v>21.90278539823009</v>
      </c>
      <c r="AT48" s="11">
        <f t="shared" si="61"/>
        <v>15</v>
      </c>
      <c r="AV48" s="13"/>
      <c r="AW48" s="13"/>
      <c r="AX48" s="16" t="s">
        <v>38</v>
      </c>
      <c r="AY48" s="16">
        <v>44061</v>
      </c>
      <c r="AZ48" s="15">
        <v>22205153.146509346</v>
      </c>
      <c r="BA48" s="14">
        <v>10000000</v>
      </c>
      <c r="BF48" s="12" t="str">
        <f t="shared" si="62"/>
        <v>FY21</v>
      </c>
      <c r="BG48" s="12">
        <f t="shared" si="62"/>
        <v>44355</v>
      </c>
      <c r="BH48" s="11">
        <f t="shared" si="63"/>
        <v>17.663805555555555</v>
      </c>
      <c r="BI48" s="11">
        <f t="shared" si="63"/>
        <v>10</v>
      </c>
      <c r="BK48" s="13"/>
      <c r="BL48" s="13"/>
      <c r="BM48" s="16" t="s">
        <v>35</v>
      </c>
      <c r="BN48" s="16">
        <v>44698</v>
      </c>
      <c r="BO48" s="15">
        <v>13527500.000000002</v>
      </c>
      <c r="BP48" s="14">
        <v>10000000</v>
      </c>
      <c r="BU48" s="12" t="str">
        <f t="shared" si="64"/>
        <v>FY22</v>
      </c>
      <c r="BV48" s="12">
        <f t="shared" si="64"/>
        <v>44404</v>
      </c>
      <c r="BW48" s="11">
        <f t="shared" si="65"/>
        <v>15.715806907571292</v>
      </c>
      <c r="BX48" s="11">
        <f t="shared" si="65"/>
        <v>10</v>
      </c>
      <c r="BZ48" s="13"/>
      <c r="CA48" s="13"/>
      <c r="CB48" s="16" t="s">
        <v>37</v>
      </c>
      <c r="CC48" s="16">
        <v>44789</v>
      </c>
      <c r="CD48" s="15">
        <v>10754930.224642616</v>
      </c>
      <c r="CE48" s="14">
        <v>5000000</v>
      </c>
      <c r="CJ48" s="40">
        <v>60</v>
      </c>
      <c r="CK48" s="39">
        <f>($CJ$45*CJ48^3+$CK$45*CJ48^2+$CL$45*CJ48+$CM$45)*1000000</f>
        <v>58510299.999999993</v>
      </c>
      <c r="CL48" s="40">
        <v>210</v>
      </c>
      <c r="CM48" s="39">
        <f>($CJ$45*CL48^3+$CK$45*CL48^2+$CL$45*CL48+$CM$45)*1000000</f>
        <v>2540590300</v>
      </c>
      <c r="CO48" s="13"/>
      <c r="CP48" s="13"/>
      <c r="CQ48" s="16" t="s">
        <v>115</v>
      </c>
      <c r="CR48" s="16">
        <v>45426</v>
      </c>
      <c r="CS48" s="15">
        <v>17741966.158466157</v>
      </c>
      <c r="CT48" s="14">
        <v>20000000</v>
      </c>
      <c r="CY48" s="40"/>
      <c r="CZ48" s="39"/>
      <c r="DA48" s="40"/>
      <c r="DB48" s="39"/>
      <c r="DD48" s="13"/>
      <c r="DE48" s="13"/>
      <c r="DF48" s="16" t="s">
        <v>127</v>
      </c>
      <c r="DG48" s="16">
        <v>44376</v>
      </c>
      <c r="DH48" s="15">
        <v>14779653.146509342</v>
      </c>
      <c r="DI48" s="14">
        <v>10000000</v>
      </c>
      <c r="DO48" s="12" t="str">
        <f t="shared" si="66"/>
        <v>Pre GC</v>
      </c>
      <c r="DP48" s="12">
        <f t="shared" si="66"/>
        <v>44670</v>
      </c>
      <c r="DQ48" s="11">
        <f t="shared" si="67"/>
        <v>16.153900442477877</v>
      </c>
      <c r="DR48" s="11">
        <f t="shared" si="67"/>
        <v>10</v>
      </c>
      <c r="DT48" s="13"/>
      <c r="DU48" s="13"/>
      <c r="DV48" s="16" t="s">
        <v>126</v>
      </c>
      <c r="DW48" s="16">
        <v>44726</v>
      </c>
      <c r="DX48" s="15">
        <v>9067532.9022010434</v>
      </c>
      <c r="DY48" s="14">
        <v>5000000</v>
      </c>
      <c r="EE48" s="12" t="str">
        <f t="shared" si="68"/>
        <v>Post GC</v>
      </c>
      <c r="EF48" s="12">
        <f t="shared" si="68"/>
        <v>45020</v>
      </c>
      <c r="EG48" s="11">
        <f t="shared" si="69"/>
        <v>20.387653730653728</v>
      </c>
      <c r="EH48" s="11">
        <f t="shared" si="69"/>
        <v>20</v>
      </c>
      <c r="EJ48" s="13"/>
      <c r="EK48" s="13"/>
      <c r="EL48" s="16"/>
      <c r="EM48" s="16"/>
      <c r="EN48" s="15"/>
      <c r="EO48" s="14"/>
      <c r="FD48" s="13"/>
      <c r="FE48" s="13"/>
      <c r="IH48" s="16" t="s">
        <v>127</v>
      </c>
      <c r="II48" s="16">
        <v>44642</v>
      </c>
      <c r="IJ48" s="15">
        <v>15013329</v>
      </c>
      <c r="IK48" s="14">
        <v>5000000</v>
      </c>
      <c r="IP48" s="16"/>
      <c r="IQ48" s="16"/>
      <c r="IR48" s="15"/>
      <c r="IS48" s="14"/>
    </row>
    <row r="49" spans="2:253" x14ac:dyDescent="0.25">
      <c r="B49" s="16" t="s">
        <v>135</v>
      </c>
      <c r="C49" s="16">
        <v>45048</v>
      </c>
      <c r="D49" s="15">
        <v>14635402.517902518</v>
      </c>
      <c r="E49" s="14">
        <v>10000000</v>
      </c>
      <c r="I49" s="116"/>
      <c r="J49" s="116"/>
      <c r="K49" s="116"/>
      <c r="M49" s="12" t="str">
        <f t="shared" si="54"/>
        <v>L12M</v>
      </c>
      <c r="N49" s="12">
        <f t="shared" si="55"/>
        <v>45342</v>
      </c>
      <c r="O49" s="11">
        <f t="shared" si="56"/>
        <v>31.100381612381607</v>
      </c>
      <c r="P49" s="11">
        <f t="shared" si="57"/>
        <v>30</v>
      </c>
      <c r="Q49" s="13"/>
      <c r="R49" s="13"/>
      <c r="S49" s="13"/>
      <c r="T49" s="16" t="s">
        <v>33</v>
      </c>
      <c r="U49" s="16">
        <v>43606</v>
      </c>
      <c r="V49" s="15">
        <v>18252359.636184864</v>
      </c>
      <c r="W49" s="14">
        <v>15000000</v>
      </c>
      <c r="AB49" s="12" t="str">
        <f t="shared" si="58"/>
        <v>FY19</v>
      </c>
      <c r="AC49" s="12">
        <f t="shared" si="58"/>
        <v>43312</v>
      </c>
      <c r="AD49" s="11">
        <f t="shared" si="59"/>
        <v>38.919567477876122</v>
      </c>
      <c r="AE49" s="11">
        <f t="shared" si="59"/>
        <v>50</v>
      </c>
      <c r="AG49" s="13"/>
      <c r="AH49" s="13"/>
      <c r="AI49" s="16" t="s">
        <v>39</v>
      </c>
      <c r="AJ49" s="16">
        <v>43970</v>
      </c>
      <c r="AK49" s="15">
        <v>23689684.365781713</v>
      </c>
      <c r="AL49" s="14">
        <v>15000000</v>
      </c>
      <c r="AQ49" s="12" t="str">
        <f t="shared" si="60"/>
        <v>FY20</v>
      </c>
      <c r="AR49" s="12">
        <f t="shared" si="60"/>
        <v>43676</v>
      </c>
      <c r="AS49" s="11">
        <f t="shared" si="61"/>
        <v>28.630879424778772</v>
      </c>
      <c r="AT49" s="11">
        <f t="shared" si="61"/>
        <v>25</v>
      </c>
      <c r="AV49" s="13"/>
      <c r="AW49" s="13"/>
      <c r="AX49" s="16" t="s">
        <v>38</v>
      </c>
      <c r="AY49" s="16">
        <v>44054</v>
      </c>
      <c r="AZ49" s="15">
        <v>13638125.368731566</v>
      </c>
      <c r="BA49" s="14">
        <v>5000000</v>
      </c>
      <c r="BF49" s="12" t="str">
        <f t="shared" si="62"/>
        <v>FY21</v>
      </c>
      <c r="BG49" s="12">
        <f t="shared" si="62"/>
        <v>44348</v>
      </c>
      <c r="BH49" s="11">
        <f t="shared" si="63"/>
        <v>12.060125245821046</v>
      </c>
      <c r="BI49" s="11">
        <f t="shared" si="63"/>
        <v>5</v>
      </c>
      <c r="BK49" s="13"/>
      <c r="BL49" s="13"/>
      <c r="BM49" s="16" t="s">
        <v>35</v>
      </c>
      <c r="BN49" s="16">
        <v>44705</v>
      </c>
      <c r="BO49" s="15">
        <v>9006239.7322441582</v>
      </c>
      <c r="BP49" s="14">
        <v>3000000</v>
      </c>
      <c r="BU49" s="12" t="str">
        <f t="shared" si="64"/>
        <v>FY22</v>
      </c>
      <c r="BV49" s="12">
        <f t="shared" si="64"/>
        <v>44411</v>
      </c>
      <c r="BW49" s="11">
        <f t="shared" si="65"/>
        <v>8.7374665683382506</v>
      </c>
      <c r="BX49" s="11">
        <f t="shared" si="65"/>
        <v>2</v>
      </c>
      <c r="BZ49" s="13"/>
      <c r="CA49" s="13"/>
      <c r="CB49" s="16" t="s">
        <v>37</v>
      </c>
      <c r="CC49" s="16">
        <v>44782</v>
      </c>
      <c r="CD49" s="15">
        <v>8466307.3519400954</v>
      </c>
      <c r="CE49" s="14">
        <v>3000000</v>
      </c>
      <c r="CJ49" s="40">
        <v>70</v>
      </c>
      <c r="CK49" s="39">
        <f t="shared" ref="CK49:CM62" si="70">($CJ$45*CJ49^3+$CK$45*CJ49^2+$CL$45*CJ49+$CM$45)*1000000</f>
        <v>80482300.000000015</v>
      </c>
      <c r="CL49" s="40">
        <v>220</v>
      </c>
      <c r="CM49" s="39">
        <f t="shared" si="70"/>
        <v>2966062299.9999995</v>
      </c>
      <c r="CO49" s="13"/>
      <c r="CP49" s="13"/>
      <c r="CQ49" s="16" t="s">
        <v>115</v>
      </c>
      <c r="CR49" s="16">
        <v>45433</v>
      </c>
      <c r="CS49" s="15">
        <v>21232620.351120349</v>
      </c>
      <c r="CT49" s="14">
        <v>30000000</v>
      </c>
      <c r="CY49" s="40"/>
      <c r="CZ49" s="39"/>
      <c r="DD49" s="13"/>
      <c r="DE49" s="13"/>
      <c r="DF49" s="16" t="s">
        <v>127</v>
      </c>
      <c r="DG49" s="16">
        <v>44369</v>
      </c>
      <c r="DH49" s="15">
        <v>10317431.661750248</v>
      </c>
      <c r="DI49" s="14">
        <v>5000000</v>
      </c>
      <c r="DO49" s="12" t="str">
        <f t="shared" si="66"/>
        <v>Pre GC</v>
      </c>
      <c r="DP49" s="12">
        <f t="shared" si="66"/>
        <v>44663</v>
      </c>
      <c r="DQ49" s="11">
        <f t="shared" si="67"/>
        <v>11.151636184857423</v>
      </c>
      <c r="DR49" s="11">
        <f t="shared" si="67"/>
        <v>5</v>
      </c>
      <c r="DT49" s="13"/>
      <c r="DU49" s="13"/>
      <c r="DV49" s="16" t="s">
        <v>126</v>
      </c>
      <c r="DW49" s="16">
        <v>44719</v>
      </c>
      <c r="DX49" s="15">
        <v>8443267.9827547092</v>
      </c>
      <c r="DY49" s="14">
        <v>3000000</v>
      </c>
      <c r="EE49" s="12" t="str">
        <f t="shared" si="68"/>
        <v>Post GC</v>
      </c>
      <c r="EF49" s="12">
        <f t="shared" si="68"/>
        <v>45013</v>
      </c>
      <c r="EG49" s="11">
        <f t="shared" si="69"/>
        <v>14.791094479094479</v>
      </c>
      <c r="EH49" s="11">
        <f t="shared" si="69"/>
        <v>10</v>
      </c>
      <c r="EJ49" s="13"/>
      <c r="EK49" s="13"/>
      <c r="EL49" s="16"/>
      <c r="EM49" s="16"/>
      <c r="EN49" s="15"/>
      <c r="EO49" s="14"/>
      <c r="FD49" s="13"/>
      <c r="FE49" s="13"/>
      <c r="IH49" s="16" t="s">
        <v>127</v>
      </c>
      <c r="II49" s="16">
        <v>44649</v>
      </c>
      <c r="IJ49" s="15">
        <v>9676923</v>
      </c>
      <c r="IK49" s="14">
        <v>2000000</v>
      </c>
      <c r="IP49" s="16"/>
      <c r="IQ49" s="16"/>
      <c r="IR49" s="15"/>
      <c r="IS49" s="14"/>
    </row>
    <row r="50" spans="2:253" x14ac:dyDescent="0.25">
      <c r="B50" s="16" t="s">
        <v>135</v>
      </c>
      <c r="C50" s="16">
        <v>45041</v>
      </c>
      <c r="D50" s="15">
        <v>9725124.2781242765</v>
      </c>
      <c r="E50" s="14">
        <v>5000000</v>
      </c>
      <c r="I50" s="116"/>
      <c r="J50" s="116"/>
      <c r="K50" s="116"/>
      <c r="M50" s="12" t="str">
        <f t="shared" si="54"/>
        <v>L12M</v>
      </c>
      <c r="N50" s="12">
        <f t="shared" si="55"/>
        <v>45335</v>
      </c>
      <c r="O50" s="11">
        <f t="shared" si="56"/>
        <v>24.152813005313007</v>
      </c>
      <c r="P50" s="11">
        <f t="shared" si="57"/>
        <v>20</v>
      </c>
      <c r="Q50" s="13"/>
      <c r="R50" s="13"/>
      <c r="S50" s="13"/>
      <c r="T50" s="16" t="s">
        <v>33</v>
      </c>
      <c r="U50" s="16">
        <v>43613</v>
      </c>
      <c r="V50" s="15">
        <v>27160876.106194694</v>
      </c>
      <c r="W50" s="14">
        <v>30000000</v>
      </c>
      <c r="AB50" s="12" t="str">
        <f t="shared" si="58"/>
        <v>FY19</v>
      </c>
      <c r="AC50" s="12">
        <f t="shared" si="58"/>
        <v>43319</v>
      </c>
      <c r="AD50" s="11">
        <f t="shared" si="59"/>
        <v>64.902499508357934</v>
      </c>
      <c r="AE50" s="11">
        <f t="shared" si="59"/>
        <v>70</v>
      </c>
      <c r="AG50" s="13"/>
      <c r="AH50" s="13"/>
      <c r="AI50" s="16" t="s">
        <v>39</v>
      </c>
      <c r="AJ50" s="16">
        <v>43977</v>
      </c>
      <c r="AK50" s="15">
        <v>9225829.8918387443</v>
      </c>
      <c r="AL50" s="14">
        <v>2000000</v>
      </c>
      <c r="AQ50" s="12" t="str">
        <f t="shared" si="60"/>
        <v>FY20</v>
      </c>
      <c r="AR50" s="12">
        <f t="shared" si="60"/>
        <v>43683</v>
      </c>
      <c r="AS50" s="11">
        <f t="shared" si="61"/>
        <v>35.846270157325478</v>
      </c>
      <c r="AT50" s="11">
        <f t="shared" si="61"/>
        <v>40</v>
      </c>
      <c r="AV50" s="13"/>
      <c r="AW50" s="13"/>
      <c r="AX50" s="16" t="s">
        <v>38</v>
      </c>
      <c r="AY50" s="16">
        <v>44047</v>
      </c>
      <c r="AZ50" s="15">
        <v>10415211.897738447</v>
      </c>
      <c r="BA50" s="14">
        <v>2000000</v>
      </c>
      <c r="BF50" s="12" t="str">
        <f t="shared" si="62"/>
        <v>FY21</v>
      </c>
      <c r="BG50" s="12">
        <f t="shared" si="62"/>
        <v>44341</v>
      </c>
      <c r="BH50" s="11">
        <f t="shared" si="63"/>
        <v>8.9172512291052133</v>
      </c>
      <c r="BI50" s="11">
        <f t="shared" si="63"/>
        <v>2</v>
      </c>
      <c r="BK50" s="13"/>
      <c r="BL50" s="13"/>
      <c r="BM50" s="16" t="s">
        <v>35</v>
      </c>
      <c r="BN50" s="16">
        <v>44712</v>
      </c>
      <c r="BO50" s="15">
        <v>10614764.125255279</v>
      </c>
      <c r="BP50" s="14">
        <v>5000000</v>
      </c>
      <c r="BU50" s="12" t="str">
        <f t="shared" si="64"/>
        <v>FY22</v>
      </c>
      <c r="BV50" s="12">
        <f t="shared" si="64"/>
        <v>44418</v>
      </c>
      <c r="BW50" s="11">
        <f t="shared" si="65"/>
        <v>10.800299778761065</v>
      </c>
      <c r="BX50" s="11">
        <f t="shared" si="65"/>
        <v>5</v>
      </c>
      <c r="BZ50" s="13"/>
      <c r="CA50" s="13"/>
      <c r="CB50" s="16" t="s">
        <v>37</v>
      </c>
      <c r="CC50" s="16">
        <v>44775</v>
      </c>
      <c r="CD50" s="15">
        <v>22150339.459950082</v>
      </c>
      <c r="CE50" s="14">
        <v>20000000</v>
      </c>
      <c r="CJ50" s="40">
        <v>80</v>
      </c>
      <c r="CK50" s="39">
        <f t="shared" si="70"/>
        <v>112554300</v>
      </c>
      <c r="CL50" s="40">
        <v>230</v>
      </c>
      <c r="CM50" s="39">
        <f t="shared" si="70"/>
        <v>3437634300</v>
      </c>
      <c r="CO50" s="13"/>
      <c r="CP50" s="13"/>
      <c r="CQ50" s="16" t="s">
        <v>115</v>
      </c>
      <c r="CR50" s="16">
        <v>45440</v>
      </c>
      <c r="CS50" s="15">
        <v>34128926.77292677</v>
      </c>
      <c r="CT50" s="14">
        <v>40000000</v>
      </c>
      <c r="CY50" s="60" t="s">
        <v>90</v>
      </c>
      <c r="CZ50" s="59">
        <v>-6.4000000000000003E-3</v>
      </c>
      <c r="DA50" s="59">
        <v>0.9698</v>
      </c>
      <c r="DB50" s="59">
        <v>6.2282999999999999</v>
      </c>
      <c r="DD50" s="13"/>
      <c r="DE50" s="13"/>
      <c r="DF50" s="16" t="s">
        <v>127</v>
      </c>
      <c r="DG50" s="16">
        <v>44362</v>
      </c>
      <c r="DH50" s="15">
        <v>8353085.0540806307</v>
      </c>
      <c r="DI50" s="14">
        <v>2000000</v>
      </c>
      <c r="DO50" s="12" t="str">
        <f t="shared" si="66"/>
        <v>Pre GC</v>
      </c>
      <c r="DP50" s="12">
        <f t="shared" si="66"/>
        <v>44656</v>
      </c>
      <c r="DQ50" s="11">
        <f t="shared" si="67"/>
        <v>8.2648720501474937</v>
      </c>
      <c r="DR50" s="11">
        <f t="shared" si="67"/>
        <v>2</v>
      </c>
      <c r="DT50" s="13"/>
      <c r="DU50" s="13"/>
      <c r="DV50" s="16" t="s">
        <v>126</v>
      </c>
      <c r="DW50" s="16">
        <v>44712</v>
      </c>
      <c r="DX50" s="15">
        <v>10614764.125255279</v>
      </c>
      <c r="DY50" s="14">
        <v>5000000</v>
      </c>
      <c r="EE50" s="12" t="str">
        <f t="shared" si="68"/>
        <v>Post GC</v>
      </c>
      <c r="EF50" s="12">
        <f t="shared" si="68"/>
        <v>45006</v>
      </c>
      <c r="EG50" s="11">
        <f t="shared" si="69"/>
        <v>10.052417532917532</v>
      </c>
      <c r="EH50" s="11">
        <f t="shared" si="69"/>
        <v>5</v>
      </c>
      <c r="EJ50" s="13"/>
      <c r="EK50" s="13"/>
      <c r="EL50" s="16"/>
      <c r="EM50" s="16"/>
      <c r="EN50" s="15"/>
      <c r="EO50" s="14"/>
      <c r="FD50" s="13"/>
      <c r="FE50" s="13"/>
      <c r="IH50" s="16" t="s">
        <v>127</v>
      </c>
      <c r="II50" s="16">
        <v>44656</v>
      </c>
      <c r="IJ50" s="15">
        <v>7645821</v>
      </c>
      <c r="IK50" s="14">
        <v>2000000</v>
      </c>
      <c r="IP50" s="16"/>
      <c r="IQ50" s="16"/>
      <c r="IR50" s="15"/>
      <c r="IS50" s="14"/>
    </row>
    <row r="51" spans="2:253" x14ac:dyDescent="0.25">
      <c r="B51" s="16" t="s">
        <v>135</v>
      </c>
      <c r="C51" s="16">
        <v>45034</v>
      </c>
      <c r="D51" s="15">
        <v>9270009.4710094687</v>
      </c>
      <c r="E51" s="14">
        <v>3000000</v>
      </c>
      <c r="I51" s="116"/>
      <c r="J51" s="116"/>
      <c r="K51" s="116"/>
      <c r="M51" s="12" t="str">
        <f t="shared" si="54"/>
        <v>L12M</v>
      </c>
      <c r="N51" s="12">
        <f t="shared" si="55"/>
        <v>45328</v>
      </c>
      <c r="O51" s="11">
        <f t="shared" si="56"/>
        <v>18.082208708708706</v>
      </c>
      <c r="P51" s="11">
        <f t="shared" si="57"/>
        <v>10</v>
      </c>
      <c r="Q51" s="13"/>
      <c r="R51" s="13"/>
      <c r="S51" s="13"/>
      <c r="T51" s="16" t="s">
        <v>33</v>
      </c>
      <c r="U51" s="16">
        <v>43620</v>
      </c>
      <c r="V51" s="15">
        <v>33138245.329400204</v>
      </c>
      <c r="W51" s="14">
        <v>40000000</v>
      </c>
      <c r="AB51" s="12" t="str">
        <f t="shared" si="58"/>
        <v>FY19</v>
      </c>
      <c r="AC51" s="12">
        <f t="shared" si="58"/>
        <v>43326</v>
      </c>
      <c r="AD51" s="11">
        <f t="shared" si="59"/>
        <v>8.2003893805309751</v>
      </c>
      <c r="AE51" s="11">
        <f t="shared" si="59"/>
        <v>2</v>
      </c>
      <c r="AG51" s="13"/>
      <c r="AH51" s="13"/>
      <c r="AI51" s="16" t="s">
        <v>39</v>
      </c>
      <c r="AJ51" s="16">
        <v>43984</v>
      </c>
      <c r="AK51" s="15">
        <v>9383140.3638151456</v>
      </c>
      <c r="AL51" s="14">
        <v>2000000</v>
      </c>
      <c r="AQ51" s="12" t="str">
        <f t="shared" si="60"/>
        <v>FY20</v>
      </c>
      <c r="AR51" s="12">
        <f t="shared" si="60"/>
        <v>43690</v>
      </c>
      <c r="AS51" s="11">
        <f t="shared" si="61"/>
        <v>8.7331270894788595</v>
      </c>
      <c r="AT51" s="11">
        <f t="shared" si="61"/>
        <v>2</v>
      </c>
      <c r="AV51" s="13"/>
      <c r="AW51" s="13"/>
      <c r="AX51" s="16" t="s">
        <v>38</v>
      </c>
      <c r="AY51" s="16">
        <v>44040</v>
      </c>
      <c r="AZ51" s="15">
        <v>19466334.316617507</v>
      </c>
      <c r="BA51" s="14">
        <v>10000000</v>
      </c>
      <c r="BF51" s="12" t="str">
        <f t="shared" si="62"/>
        <v>FY21</v>
      </c>
      <c r="BG51" s="12">
        <f t="shared" si="62"/>
        <v>44334</v>
      </c>
      <c r="BH51" s="11">
        <f t="shared" si="63"/>
        <v>11.883051745329402</v>
      </c>
      <c r="BI51" s="11">
        <f t="shared" si="63"/>
        <v>5</v>
      </c>
      <c r="BK51" s="13"/>
      <c r="BL51" s="13"/>
      <c r="BM51" s="16" t="s">
        <v>35</v>
      </c>
      <c r="BN51" s="16">
        <v>44719</v>
      </c>
      <c r="BO51" s="15">
        <v>8443267.9827547092</v>
      </c>
      <c r="BP51" s="14">
        <v>3000000</v>
      </c>
      <c r="BU51" s="12" t="str">
        <f t="shared" si="64"/>
        <v>FY22</v>
      </c>
      <c r="BV51" s="12">
        <f t="shared" si="64"/>
        <v>44425</v>
      </c>
      <c r="BW51" s="11">
        <f t="shared" si="65"/>
        <v>21.04476966568339</v>
      </c>
      <c r="BX51" s="11">
        <f t="shared" si="65"/>
        <v>10</v>
      </c>
      <c r="BZ51" s="13"/>
      <c r="CA51" s="13"/>
      <c r="CB51" s="16" t="s">
        <v>37</v>
      </c>
      <c r="CC51" s="16">
        <v>44768</v>
      </c>
      <c r="CD51" s="15">
        <v>15460507.941910598</v>
      </c>
      <c r="CE51" s="14">
        <v>10000000</v>
      </c>
      <c r="CJ51" s="40">
        <v>90</v>
      </c>
      <c r="CK51" s="39">
        <f t="shared" si="70"/>
        <v>157126300</v>
      </c>
      <c r="CL51" s="40">
        <v>240</v>
      </c>
      <c r="CM51" s="39">
        <f t="shared" si="70"/>
        <v>3957706300</v>
      </c>
      <c r="CO51" s="13"/>
      <c r="CP51" s="13"/>
      <c r="CQ51" s="16" t="s">
        <v>115</v>
      </c>
      <c r="CR51" s="16">
        <v>45447</v>
      </c>
      <c r="CS51" s="15">
        <v>9196103.4881034885</v>
      </c>
      <c r="CT51" s="14">
        <v>3000000</v>
      </c>
      <c r="DD51" s="13"/>
      <c r="DE51" s="13"/>
      <c r="DF51" s="16" t="s">
        <v>127</v>
      </c>
      <c r="DG51" s="16">
        <v>44355</v>
      </c>
      <c r="DH51" s="15">
        <v>17663805.555555556</v>
      </c>
      <c r="DI51" s="14">
        <v>10000000</v>
      </c>
      <c r="DO51" s="12" t="str">
        <f t="shared" si="66"/>
        <v>Pre GC</v>
      </c>
      <c r="DP51" s="12">
        <f t="shared" si="66"/>
        <v>44649</v>
      </c>
      <c r="DQ51" s="11">
        <f t="shared" si="67"/>
        <v>8.7504049901671603</v>
      </c>
      <c r="DR51" s="11">
        <f t="shared" si="67"/>
        <v>2</v>
      </c>
      <c r="DT51" s="13"/>
      <c r="DU51" s="13"/>
      <c r="DV51" s="16" t="s">
        <v>126</v>
      </c>
      <c r="DW51" s="16">
        <v>44705</v>
      </c>
      <c r="DX51" s="15">
        <v>9006239.7322441582</v>
      </c>
      <c r="DY51" s="14">
        <v>3000000</v>
      </c>
      <c r="EE51" s="12" t="str">
        <f t="shared" si="68"/>
        <v>Post GC</v>
      </c>
      <c r="EF51" s="12">
        <f t="shared" si="68"/>
        <v>44999</v>
      </c>
      <c r="EG51" s="11">
        <f t="shared" si="69"/>
        <v>9.0415546315546305</v>
      </c>
      <c r="EH51" s="11">
        <f t="shared" si="69"/>
        <v>3</v>
      </c>
      <c r="EJ51" s="13"/>
      <c r="EK51" s="13"/>
      <c r="EL51" s="16"/>
      <c r="EM51" s="16"/>
      <c r="EN51" s="15"/>
      <c r="EO51" s="14"/>
      <c r="FD51" s="13"/>
      <c r="FE51" s="13"/>
      <c r="IH51" s="16" t="s">
        <v>127</v>
      </c>
      <c r="II51" s="16">
        <v>44663</v>
      </c>
      <c r="IJ51" s="15">
        <v>11420142</v>
      </c>
      <c r="IK51" s="14">
        <v>5000000</v>
      </c>
      <c r="IP51" s="16"/>
      <c r="IQ51" s="16"/>
      <c r="IR51" s="15"/>
      <c r="IS51" s="14"/>
    </row>
    <row r="52" spans="2:253" x14ac:dyDescent="0.25">
      <c r="B52" s="16" t="s">
        <v>135</v>
      </c>
      <c r="C52" s="16">
        <v>45027</v>
      </c>
      <c r="D52" s="15">
        <v>24316174.405174401</v>
      </c>
      <c r="E52" s="14">
        <v>30000000</v>
      </c>
      <c r="M52" s="12" t="str">
        <f t="shared" si="54"/>
        <v>L12M</v>
      </c>
      <c r="N52" s="12">
        <f t="shared" si="55"/>
        <v>45321</v>
      </c>
      <c r="O52" s="11">
        <f t="shared" si="56"/>
        <v>9.3893035343035329</v>
      </c>
      <c r="P52" s="11">
        <f t="shared" si="57"/>
        <v>5</v>
      </c>
      <c r="Q52" s="13"/>
      <c r="R52" s="13"/>
      <c r="S52" s="13"/>
      <c r="T52" s="16" t="s">
        <v>33</v>
      </c>
      <c r="U52" s="16">
        <v>43627</v>
      </c>
      <c r="V52" s="15">
        <v>40267214.355948873</v>
      </c>
      <c r="W52" s="14">
        <v>50000000</v>
      </c>
      <c r="AB52" s="12" t="str">
        <f t="shared" si="58"/>
        <v>FY19</v>
      </c>
      <c r="AC52" s="12">
        <f t="shared" si="58"/>
        <v>43333</v>
      </c>
      <c r="AD52" s="11">
        <f t="shared" si="59"/>
        <v>12.572713987217307</v>
      </c>
      <c r="AE52" s="11">
        <f t="shared" si="59"/>
        <v>5</v>
      </c>
      <c r="AG52" s="13"/>
      <c r="AH52" s="13"/>
      <c r="AI52" s="16" t="s">
        <v>39</v>
      </c>
      <c r="AJ52" s="16">
        <v>43991</v>
      </c>
      <c r="AK52" s="15">
        <v>12050755.653883975</v>
      </c>
      <c r="AL52" s="14">
        <v>5000000</v>
      </c>
      <c r="AQ52" s="12" t="str">
        <f t="shared" si="60"/>
        <v>FY20</v>
      </c>
      <c r="AR52" s="12">
        <f t="shared" si="60"/>
        <v>43697</v>
      </c>
      <c r="AS52" s="11">
        <f t="shared" si="61"/>
        <v>10.238481071779745</v>
      </c>
      <c r="AT52" s="11">
        <f t="shared" si="61"/>
        <v>5</v>
      </c>
      <c r="AV52" s="13"/>
      <c r="AW52" s="13"/>
      <c r="AX52" s="16" t="s">
        <v>38</v>
      </c>
      <c r="AY52" s="16">
        <v>44033</v>
      </c>
      <c r="AZ52" s="15">
        <v>13272160.766961655</v>
      </c>
      <c r="BA52" s="14">
        <v>5000000</v>
      </c>
      <c r="BF52" s="12" t="str">
        <f t="shared" si="62"/>
        <v>FY21</v>
      </c>
      <c r="BG52" s="12">
        <f t="shared" si="62"/>
        <v>44327</v>
      </c>
      <c r="BH52" s="11">
        <f t="shared" si="63"/>
        <v>8.8425791543756169</v>
      </c>
      <c r="BI52" s="11">
        <f t="shared" si="63"/>
        <v>2</v>
      </c>
      <c r="BK52" s="13"/>
      <c r="BL52" s="13"/>
      <c r="BM52" s="16" t="s">
        <v>35</v>
      </c>
      <c r="BN52" s="16">
        <v>44726</v>
      </c>
      <c r="BO52" s="15">
        <v>9067532.9022010434</v>
      </c>
      <c r="BP52" s="14">
        <v>5000000</v>
      </c>
      <c r="BU52" s="12" t="str">
        <f t="shared" si="64"/>
        <v>FY22</v>
      </c>
      <c r="BV52" s="12">
        <f t="shared" si="64"/>
        <v>44432</v>
      </c>
      <c r="BW52" s="11">
        <f t="shared" si="65"/>
        <v>9.724531588003936</v>
      </c>
      <c r="BX52" s="11">
        <f t="shared" si="65"/>
        <v>2</v>
      </c>
      <c r="BZ52" s="13"/>
      <c r="CA52" s="13"/>
      <c r="CB52" s="16" t="s">
        <v>37</v>
      </c>
      <c r="CC52" s="16">
        <v>44761</v>
      </c>
      <c r="CD52" s="15">
        <v>15887167.007034266</v>
      </c>
      <c r="CE52" s="14">
        <v>5000000</v>
      </c>
      <c r="CJ52" s="40">
        <v>100</v>
      </c>
      <c r="CK52" s="39">
        <f t="shared" si="70"/>
        <v>216598300</v>
      </c>
      <c r="CL52" s="40">
        <v>250</v>
      </c>
      <c r="CM52" s="39">
        <f t="shared" si="70"/>
        <v>4528678300.000001</v>
      </c>
      <c r="CO52" s="13"/>
      <c r="CP52" s="13"/>
      <c r="CQ52" s="16" t="s">
        <v>115</v>
      </c>
      <c r="CR52" s="16">
        <v>45454</v>
      </c>
      <c r="CS52" s="15">
        <v>8491536.4980364982</v>
      </c>
      <c r="CT52" s="14">
        <v>3000000</v>
      </c>
      <c r="CY52" s="2" t="s">
        <v>41</v>
      </c>
      <c r="CZ52" s="2" t="s">
        <v>25</v>
      </c>
      <c r="DD52" s="13"/>
      <c r="DE52" s="13"/>
      <c r="DF52" s="16" t="s">
        <v>127</v>
      </c>
      <c r="DG52" s="16">
        <v>44348</v>
      </c>
      <c r="DH52" s="15">
        <v>12060125.245821046</v>
      </c>
      <c r="DI52" s="14">
        <v>5000000</v>
      </c>
      <c r="DO52" s="12" t="str">
        <f t="shared" si="66"/>
        <v>Pre GC</v>
      </c>
      <c r="DP52" s="12">
        <f t="shared" si="66"/>
        <v>44642</v>
      </c>
      <c r="DQ52" s="11">
        <f t="shared" si="67"/>
        <v>11.822875491642085</v>
      </c>
      <c r="DR52" s="11">
        <f t="shared" si="67"/>
        <v>5</v>
      </c>
      <c r="DT52" s="13"/>
      <c r="DU52" s="13"/>
      <c r="DV52" s="16" t="s">
        <v>126</v>
      </c>
      <c r="DW52" s="16">
        <v>44698</v>
      </c>
      <c r="DX52" s="15">
        <v>13527500.000000002</v>
      </c>
      <c r="DY52" s="14">
        <v>10000000</v>
      </c>
      <c r="EE52" s="12" t="str">
        <f t="shared" si="68"/>
        <v>Post GC</v>
      </c>
      <c r="EF52" s="12">
        <f t="shared" si="68"/>
        <v>44992</v>
      </c>
      <c r="EG52" s="11">
        <f t="shared" si="69"/>
        <v>21.058703164703164</v>
      </c>
      <c r="EH52" s="11">
        <f t="shared" si="69"/>
        <v>20</v>
      </c>
      <c r="EJ52" s="13"/>
      <c r="EK52" s="13"/>
      <c r="EL52" s="16"/>
      <c r="EM52" s="16"/>
      <c r="EN52" s="15"/>
      <c r="EO52" s="14"/>
      <c r="FD52" s="13"/>
      <c r="FE52" s="13"/>
      <c r="IH52" s="16" t="s">
        <v>127</v>
      </c>
      <c r="II52" s="16">
        <v>44670</v>
      </c>
      <c r="IJ52" s="15">
        <v>16537308</v>
      </c>
      <c r="IK52" s="14">
        <v>10000000</v>
      </c>
      <c r="IP52" s="16"/>
      <c r="IQ52" s="16"/>
      <c r="IR52" s="15"/>
      <c r="IS52" s="14"/>
    </row>
    <row r="53" spans="2:253" x14ac:dyDescent="0.25">
      <c r="B53" s="16" t="s">
        <v>135</v>
      </c>
      <c r="C53" s="16">
        <v>45020</v>
      </c>
      <c r="D53" s="15">
        <v>20387653.730653729</v>
      </c>
      <c r="E53" s="14">
        <v>20000000</v>
      </c>
      <c r="M53" s="12" t="str">
        <f t="shared" si="54"/>
        <v>L12M</v>
      </c>
      <c r="N53" s="12">
        <f t="shared" si="55"/>
        <v>45314</v>
      </c>
      <c r="O53" s="11">
        <f t="shared" si="56"/>
        <v>8.5277261492261491</v>
      </c>
      <c r="P53" s="11">
        <f t="shared" si="57"/>
        <v>3</v>
      </c>
      <c r="Q53" s="13"/>
      <c r="R53" s="13"/>
      <c r="S53" s="13"/>
      <c r="T53" s="16" t="s">
        <v>33</v>
      </c>
      <c r="U53" s="16">
        <v>43634</v>
      </c>
      <c r="V53" s="15">
        <v>61295996.435594909</v>
      </c>
      <c r="W53" s="14">
        <v>70000000</v>
      </c>
      <c r="AB53" s="12" t="str">
        <f t="shared" si="58"/>
        <v>FY19</v>
      </c>
      <c r="AC53" s="12">
        <f t="shared" si="58"/>
        <v>43340</v>
      </c>
      <c r="AD53" s="11">
        <f t="shared" si="59"/>
        <v>16.189873156342188</v>
      </c>
      <c r="AE53" s="11">
        <f t="shared" si="59"/>
        <v>10</v>
      </c>
      <c r="AG53" s="13"/>
      <c r="AH53" s="13"/>
      <c r="AI53" s="16" t="s">
        <v>39</v>
      </c>
      <c r="AJ53" s="16">
        <v>43998</v>
      </c>
      <c r="AK53" s="15">
        <v>17685267.944936089</v>
      </c>
      <c r="AL53" s="14">
        <v>10000000</v>
      </c>
      <c r="AQ53" s="12" t="str">
        <f t="shared" si="60"/>
        <v>FY20</v>
      </c>
      <c r="AR53" s="12">
        <f t="shared" si="60"/>
        <v>43704</v>
      </c>
      <c r="AS53" s="11">
        <f t="shared" si="61"/>
        <v>13.351775319567357</v>
      </c>
      <c r="AT53" s="11">
        <f t="shared" si="61"/>
        <v>10</v>
      </c>
      <c r="AV53" s="13"/>
      <c r="AW53" s="13"/>
      <c r="AX53" s="16" t="s">
        <v>38</v>
      </c>
      <c r="AY53" s="16">
        <v>44026</v>
      </c>
      <c r="AZ53" s="15">
        <v>10573301.62241888</v>
      </c>
      <c r="BA53" s="14">
        <v>2000000</v>
      </c>
      <c r="BF53" s="12" t="str">
        <f t="shared" si="62"/>
        <v>FY21</v>
      </c>
      <c r="BG53" s="12">
        <f t="shared" si="62"/>
        <v>44320</v>
      </c>
      <c r="BH53" s="11">
        <f t="shared" si="63"/>
        <v>18.651486111111115</v>
      </c>
      <c r="BI53" s="11">
        <f t="shared" si="63"/>
        <v>15</v>
      </c>
      <c r="BK53" s="13"/>
      <c r="BL53" s="13"/>
      <c r="BM53" s="16" t="s">
        <v>35</v>
      </c>
      <c r="BN53" s="16">
        <v>44733</v>
      </c>
      <c r="BO53" s="15">
        <v>12227484.570002271</v>
      </c>
      <c r="BP53" s="14">
        <v>10000000</v>
      </c>
      <c r="BU53" s="12" t="str">
        <f t="shared" si="64"/>
        <v>FY22</v>
      </c>
      <c r="BV53" s="12">
        <f t="shared" si="64"/>
        <v>44439</v>
      </c>
      <c r="BW53" s="11">
        <f t="shared" si="65"/>
        <v>11.312176007866276</v>
      </c>
      <c r="BX53" s="11">
        <f t="shared" si="65"/>
        <v>5</v>
      </c>
      <c r="BZ53" s="13"/>
      <c r="CA53" s="13"/>
      <c r="CB53" s="16" t="s">
        <v>37</v>
      </c>
      <c r="CC53" s="16">
        <v>44754</v>
      </c>
      <c r="CD53" s="15">
        <v>8988383.8211935572</v>
      </c>
      <c r="CE53" s="14">
        <v>3000000</v>
      </c>
      <c r="CJ53" s="40">
        <v>110</v>
      </c>
      <c r="CK53" s="39">
        <f t="shared" si="70"/>
        <v>293370300</v>
      </c>
      <c r="CL53" s="40">
        <v>260</v>
      </c>
      <c r="CM53" s="39">
        <f t="shared" si="70"/>
        <v>5152950300.000001</v>
      </c>
      <c r="CO53" s="13"/>
      <c r="CP53" s="13"/>
      <c r="CQ53" s="16" t="s">
        <v>115</v>
      </c>
      <c r="CR53" s="16">
        <v>45461</v>
      </c>
      <c r="CS53" s="15">
        <v>11390011.550011549</v>
      </c>
      <c r="CT53" s="14">
        <v>8000000</v>
      </c>
      <c r="CY53" s="40">
        <v>60</v>
      </c>
      <c r="CZ53" s="39">
        <f>($CK$25*CY53^2+$CL$25*CY53+$CM$25)*1000000</f>
        <v>41376299.999999993</v>
      </c>
      <c r="DA53" s="40">
        <v>210</v>
      </c>
      <c r="DB53" s="39">
        <f>($CK$25*DA53^2+$CL$25*DA53+$CM$25)*1000000</f>
        <v>-72353700.000000015</v>
      </c>
      <c r="DD53" s="13"/>
      <c r="DE53" s="13"/>
      <c r="DF53" s="16"/>
      <c r="DG53" s="16"/>
      <c r="DH53" s="15"/>
      <c r="DI53" s="14"/>
      <c r="DO53" s="12" t="str">
        <f t="shared" si="66"/>
        <v>Pre GC</v>
      </c>
      <c r="DP53" s="12">
        <f t="shared" si="66"/>
        <v>44635</v>
      </c>
      <c r="DQ53" s="11">
        <f t="shared" si="67"/>
        <v>8.6105315880039353</v>
      </c>
      <c r="DR53" s="11">
        <f t="shared" si="67"/>
        <v>2</v>
      </c>
      <c r="DT53" s="13"/>
      <c r="DU53" s="13"/>
      <c r="EE53" s="12" t="str">
        <f t="shared" si="68"/>
        <v>Post GC</v>
      </c>
      <c r="EF53" s="12">
        <f t="shared" si="68"/>
        <v>44985</v>
      </c>
      <c r="EG53" s="11">
        <f t="shared" si="69"/>
        <v>13.098005775005774</v>
      </c>
      <c r="EH53" s="11">
        <f t="shared" si="69"/>
        <v>10</v>
      </c>
      <c r="EJ53" s="13"/>
      <c r="EK53" s="13"/>
      <c r="EL53" s="16"/>
      <c r="EM53" s="16"/>
      <c r="EN53" s="15"/>
      <c r="EO53" s="14"/>
      <c r="FD53" s="13"/>
      <c r="FE53" s="13"/>
      <c r="IH53" s="16" t="s">
        <v>127</v>
      </c>
      <c r="II53" s="16">
        <v>44677</v>
      </c>
      <c r="IJ53" s="15">
        <v>20714265</v>
      </c>
      <c r="IK53" s="14">
        <v>20000000</v>
      </c>
      <c r="IP53" s="16"/>
      <c r="IQ53" s="16"/>
      <c r="IR53" s="15"/>
      <c r="IS53" s="14"/>
    </row>
    <row r="54" spans="2:253" x14ac:dyDescent="0.25">
      <c r="B54" s="16" t="s">
        <v>135</v>
      </c>
      <c r="C54" s="16">
        <v>45013</v>
      </c>
      <c r="D54" s="15">
        <v>14791094.479094479</v>
      </c>
      <c r="E54" s="14">
        <v>10000000</v>
      </c>
      <c r="M54" s="12" t="str">
        <f t="shared" si="54"/>
        <v>L12M</v>
      </c>
      <c r="N54" s="12">
        <f t="shared" si="55"/>
        <v>45307</v>
      </c>
      <c r="O54" s="11">
        <f t="shared" si="56"/>
        <v>14.163772002772003</v>
      </c>
      <c r="P54" s="11">
        <f t="shared" si="57"/>
        <v>10</v>
      </c>
      <c r="Q54" s="13"/>
      <c r="R54" s="13"/>
      <c r="S54" s="13"/>
      <c r="T54" s="16" t="s">
        <v>33</v>
      </c>
      <c r="U54" s="16">
        <v>43641</v>
      </c>
      <c r="V54" s="15">
        <v>80928666.175024584</v>
      </c>
      <c r="W54" s="14">
        <v>80000000</v>
      </c>
      <c r="AB54" s="12" t="str">
        <f t="shared" si="58"/>
        <v>FY19</v>
      </c>
      <c r="AC54" s="12">
        <f t="shared" si="58"/>
        <v>43347</v>
      </c>
      <c r="AD54" s="11">
        <f t="shared" si="59"/>
        <v>19.022890363815144</v>
      </c>
      <c r="AE54" s="11">
        <f t="shared" si="59"/>
        <v>15</v>
      </c>
      <c r="AG54" s="13"/>
      <c r="AH54" s="13"/>
      <c r="AI54" s="16" t="s">
        <v>39</v>
      </c>
      <c r="AJ54" s="16">
        <v>44005</v>
      </c>
      <c r="AK54" s="15">
        <v>24465498.525073752</v>
      </c>
      <c r="AL54" s="14">
        <v>20000000</v>
      </c>
      <c r="AQ54" s="12" t="str">
        <f t="shared" si="60"/>
        <v>FY20</v>
      </c>
      <c r="AR54" s="12">
        <f t="shared" si="60"/>
        <v>43711</v>
      </c>
      <c r="AS54" s="11">
        <f t="shared" si="61"/>
        <v>8.0384489921337288</v>
      </c>
      <c r="AT54" s="11">
        <f t="shared" si="61"/>
        <v>2</v>
      </c>
      <c r="AV54" s="13"/>
      <c r="AW54" s="13"/>
      <c r="AX54" s="16" t="s">
        <v>38</v>
      </c>
      <c r="AY54" s="16">
        <v>44019</v>
      </c>
      <c r="AZ54" s="15">
        <v>45746976.155358903</v>
      </c>
      <c r="BA54" s="14">
        <v>50000000</v>
      </c>
      <c r="BF54" s="12" t="str">
        <f t="shared" si="62"/>
        <v>FY21</v>
      </c>
      <c r="BG54" s="12">
        <f t="shared" si="62"/>
        <v>44313</v>
      </c>
      <c r="BH54" s="11">
        <f t="shared" si="63"/>
        <v>11.537908800393316</v>
      </c>
      <c r="BI54" s="11">
        <f t="shared" si="63"/>
        <v>5</v>
      </c>
      <c r="BK54" s="13"/>
      <c r="BL54" s="13"/>
      <c r="BM54" s="16" t="s">
        <v>35</v>
      </c>
      <c r="BN54" s="16">
        <v>44740</v>
      </c>
      <c r="BO54" s="15">
        <v>16459891.30928069</v>
      </c>
      <c r="BP54" s="14">
        <v>20000000</v>
      </c>
      <c r="BU54" s="12" t="str">
        <f t="shared" si="64"/>
        <v>FY22</v>
      </c>
      <c r="BV54" s="12">
        <f t="shared" si="64"/>
        <v>44446</v>
      </c>
      <c r="BW54" s="11">
        <f t="shared" si="65"/>
        <v>18.400582841691254</v>
      </c>
      <c r="BX54" s="11">
        <f t="shared" si="65"/>
        <v>10</v>
      </c>
      <c r="BZ54" s="13"/>
      <c r="CA54" s="13"/>
      <c r="CB54" s="16" t="s">
        <v>37</v>
      </c>
      <c r="CC54" s="16">
        <v>44747</v>
      </c>
      <c r="CD54" s="15">
        <v>26744814.045836173</v>
      </c>
      <c r="CE54" s="14">
        <v>30000000</v>
      </c>
      <c r="CJ54" s="40">
        <v>120</v>
      </c>
      <c r="CK54" s="39">
        <f t="shared" si="70"/>
        <v>389842300</v>
      </c>
      <c r="CL54" s="40">
        <v>270</v>
      </c>
      <c r="CM54" s="39">
        <f t="shared" si="70"/>
        <v>5832922300.000001</v>
      </c>
      <c r="CO54" s="13"/>
      <c r="CP54" s="13"/>
      <c r="CQ54" s="16" t="s">
        <v>115</v>
      </c>
      <c r="CR54" s="16">
        <v>45468</v>
      </c>
      <c r="CS54" s="15">
        <v>16251214.599214597</v>
      </c>
      <c r="CT54" s="14">
        <v>15000000</v>
      </c>
      <c r="CY54" s="40">
        <v>70</v>
      </c>
      <c r="CZ54" s="39">
        <f t="shared" ref="CZ54:CZ67" si="71">($CK$25*CY54^2+$CL$25*CY54+$CM$25)*1000000</f>
        <v>42754299.999999993</v>
      </c>
      <c r="DA54" s="40">
        <v>220</v>
      </c>
      <c r="DB54" s="39">
        <f t="shared" ref="DB54:DB67" si="72">($CK$25*DA54^2+$CL$25*DA54+$CM$25)*1000000</f>
        <v>-90175699.999999985</v>
      </c>
      <c r="DD54" s="13"/>
      <c r="DE54" s="13"/>
      <c r="DF54" s="16"/>
      <c r="DG54" s="16"/>
      <c r="DH54" s="15"/>
      <c r="DI54" s="14"/>
      <c r="DO54" s="12" t="str">
        <f t="shared" si="66"/>
        <v>Pre GC</v>
      </c>
      <c r="DP54" s="12">
        <f t="shared" si="66"/>
        <v>44628</v>
      </c>
      <c r="DQ54" s="11">
        <f t="shared" si="67"/>
        <v>18.445974557522124</v>
      </c>
      <c r="DR54" s="11">
        <f t="shared" si="67"/>
        <v>10</v>
      </c>
      <c r="DT54" s="13"/>
      <c r="DU54" s="13"/>
      <c r="EE54" s="12" t="str">
        <f t="shared" si="68"/>
        <v>Post GC</v>
      </c>
      <c r="EF54" s="12">
        <f t="shared" si="68"/>
        <v>44978</v>
      </c>
      <c r="EG54" s="11">
        <f t="shared" si="69"/>
        <v>9.7208880803880806</v>
      </c>
      <c r="EH54" s="11">
        <f t="shared" si="69"/>
        <v>5</v>
      </c>
      <c r="EJ54" s="13"/>
      <c r="EK54" s="13"/>
      <c r="EL54" s="16"/>
      <c r="EM54" s="16"/>
      <c r="EN54" s="15"/>
      <c r="EO54" s="14"/>
      <c r="FD54" s="13"/>
      <c r="FE54" s="13"/>
      <c r="IH54" s="16" t="s">
        <v>127</v>
      </c>
      <c r="II54" s="16">
        <v>44684</v>
      </c>
      <c r="IJ54" s="15">
        <v>7781019</v>
      </c>
      <c r="IK54" s="14">
        <v>2000000</v>
      </c>
      <c r="IP54" s="16"/>
      <c r="IQ54" s="16"/>
      <c r="IR54" s="15"/>
      <c r="IS54" s="14"/>
    </row>
    <row r="55" spans="2:253" x14ac:dyDescent="0.25">
      <c r="B55" s="16" t="s">
        <v>135</v>
      </c>
      <c r="C55" s="16">
        <v>45006</v>
      </c>
      <c r="D55" s="15">
        <v>10052417.532917533</v>
      </c>
      <c r="E55" s="14">
        <v>5000000</v>
      </c>
      <c r="M55" s="12" t="str">
        <f t="shared" si="54"/>
        <v>L12M</v>
      </c>
      <c r="N55" s="12">
        <f t="shared" si="55"/>
        <v>45300</v>
      </c>
      <c r="O55" s="11">
        <f t="shared" si="56"/>
        <v>10.258208362208363</v>
      </c>
      <c r="P55" s="11">
        <f t="shared" si="57"/>
        <v>5</v>
      </c>
      <c r="Q55" s="13"/>
      <c r="R55" s="13"/>
      <c r="S55" s="13"/>
      <c r="AB55" s="12" t="str">
        <f t="shared" si="58"/>
        <v>FY19</v>
      </c>
      <c r="AC55" s="12">
        <f t="shared" si="58"/>
        <v>43354</v>
      </c>
      <c r="AD55" s="11">
        <f t="shared" si="59"/>
        <v>27.769140117994109</v>
      </c>
      <c r="AE55" s="11">
        <f t="shared" si="59"/>
        <v>30</v>
      </c>
      <c r="AG55" s="13"/>
      <c r="AH55" s="13"/>
      <c r="AI55" s="16" t="s">
        <v>39</v>
      </c>
      <c r="AJ55" s="16">
        <v>44012</v>
      </c>
      <c r="AK55" s="15">
        <v>31333097.83677483</v>
      </c>
      <c r="AL55" s="14">
        <v>30000000</v>
      </c>
      <c r="AQ55" s="12" t="str">
        <f t="shared" si="60"/>
        <v>FY20</v>
      </c>
      <c r="AR55" s="12">
        <f t="shared" si="60"/>
        <v>43718</v>
      </c>
      <c r="AS55" s="11">
        <f t="shared" si="61"/>
        <v>9.5330479351032462</v>
      </c>
      <c r="AT55" s="11">
        <f t="shared" si="61"/>
        <v>5</v>
      </c>
      <c r="AV55" s="13"/>
      <c r="AW55" s="13"/>
      <c r="BF55" s="12" t="str">
        <f t="shared" si="62"/>
        <v>FY21</v>
      </c>
      <c r="BG55" s="12">
        <f t="shared" si="62"/>
        <v>44306</v>
      </c>
      <c r="BH55" s="11">
        <f t="shared" si="63"/>
        <v>8.6265827187807282</v>
      </c>
      <c r="BI55" s="11">
        <f t="shared" si="63"/>
        <v>2</v>
      </c>
      <c r="BK55" s="13"/>
      <c r="BL55" s="13"/>
      <c r="BU55" s="12" t="str">
        <f t="shared" si="64"/>
        <v>FY22</v>
      </c>
      <c r="BV55" s="12">
        <f t="shared" si="64"/>
        <v>44453</v>
      </c>
      <c r="BW55" s="11">
        <f t="shared" si="65"/>
        <v>26.493046091445436</v>
      </c>
      <c r="BX55" s="11">
        <f t="shared" si="65"/>
        <v>20</v>
      </c>
      <c r="BZ55" s="13"/>
      <c r="CA55" s="13"/>
      <c r="CB55" s="16"/>
      <c r="CC55" s="16"/>
      <c r="CD55" s="15"/>
      <c r="CE55" s="14"/>
      <c r="CJ55" s="40">
        <v>130</v>
      </c>
      <c r="CK55" s="39">
        <f t="shared" si="70"/>
        <v>508414300.00000006</v>
      </c>
      <c r="CL55" s="40">
        <v>280</v>
      </c>
      <c r="CM55" s="39">
        <f t="shared" si="70"/>
        <v>6570994300.0000019</v>
      </c>
      <c r="CO55" s="13"/>
      <c r="CP55" s="13"/>
      <c r="CQ55" s="16"/>
      <c r="CR55" s="16"/>
      <c r="CS55" s="15"/>
      <c r="CT55" s="14"/>
      <c r="CY55" s="40">
        <v>80</v>
      </c>
      <c r="CZ55" s="39">
        <f t="shared" si="71"/>
        <v>42852300</v>
      </c>
      <c r="DA55" s="40">
        <v>230</v>
      </c>
      <c r="DB55" s="39">
        <f t="shared" si="72"/>
        <v>-109277700</v>
      </c>
      <c r="DD55" s="13"/>
      <c r="DE55" s="13"/>
      <c r="DF55" s="16"/>
      <c r="DG55" s="16"/>
      <c r="DH55" s="15"/>
      <c r="DI55" s="14"/>
      <c r="DO55" s="12" t="str">
        <f t="shared" si="66"/>
        <v>Pre GC</v>
      </c>
      <c r="DP55" s="12">
        <f t="shared" si="66"/>
        <v>44621</v>
      </c>
      <c r="DQ55" s="11">
        <f t="shared" si="67"/>
        <v>12.89311369223206</v>
      </c>
      <c r="DR55" s="11">
        <f t="shared" si="67"/>
        <v>5</v>
      </c>
      <c r="DT55" s="13"/>
      <c r="DU55" s="13"/>
      <c r="EE55" s="12" t="str">
        <f t="shared" si="68"/>
        <v>Post GC</v>
      </c>
      <c r="EF55" s="12">
        <f t="shared" si="68"/>
        <v>44971</v>
      </c>
      <c r="EG55" s="11">
        <f t="shared" si="69"/>
        <v>9.2727051282051285</v>
      </c>
      <c r="EH55" s="11">
        <f t="shared" si="69"/>
        <v>3</v>
      </c>
      <c r="EJ55" s="13"/>
      <c r="EK55" s="13"/>
      <c r="EL55" s="16"/>
      <c r="EM55" s="16"/>
      <c r="EN55" s="15"/>
      <c r="EO55" s="14"/>
      <c r="FD55" s="13"/>
      <c r="FE55" s="13"/>
      <c r="IH55" s="16" t="s">
        <v>127</v>
      </c>
      <c r="II55" s="16">
        <v>44691</v>
      </c>
      <c r="IJ55" s="15">
        <v>10780866</v>
      </c>
      <c r="IK55" s="14">
        <v>5000000</v>
      </c>
      <c r="IP55" s="16"/>
      <c r="IQ55" s="16"/>
      <c r="IR55" s="15"/>
      <c r="IS55" s="14"/>
    </row>
    <row r="56" spans="2:253" x14ac:dyDescent="0.25">
      <c r="B56" s="16" t="s">
        <v>135</v>
      </c>
      <c r="C56" s="16">
        <v>44999</v>
      </c>
      <c r="D56" s="15">
        <v>9041554.6315546297</v>
      </c>
      <c r="E56" s="14">
        <v>3000000</v>
      </c>
      <c r="M56" s="12" t="str">
        <f t="shared" si="54"/>
        <v>L12M</v>
      </c>
      <c r="N56" s="12">
        <f t="shared" si="55"/>
        <v>45293</v>
      </c>
      <c r="O56" s="11">
        <f t="shared" si="56"/>
        <v>9.2092929082929071</v>
      </c>
      <c r="P56" s="11">
        <f t="shared" si="57"/>
        <v>3</v>
      </c>
      <c r="Q56" s="13"/>
      <c r="R56" s="13"/>
      <c r="S56" s="13"/>
      <c r="AB56" s="12" t="str">
        <f t="shared" si="58"/>
        <v>FY19</v>
      </c>
      <c r="AC56" s="12">
        <f t="shared" si="58"/>
        <v>43361</v>
      </c>
      <c r="AD56" s="11">
        <f t="shared" si="59"/>
        <v>8.1365242133726667</v>
      </c>
      <c r="AE56" s="11">
        <f t="shared" si="59"/>
        <v>2</v>
      </c>
      <c r="AG56" s="13"/>
      <c r="AH56" s="13"/>
      <c r="AQ56" s="12" t="str">
        <f t="shared" si="60"/>
        <v>FY20</v>
      </c>
      <c r="AR56" s="12">
        <f t="shared" si="60"/>
        <v>43725</v>
      </c>
      <c r="AS56" s="11">
        <f t="shared" si="61"/>
        <v>13.198568706981318</v>
      </c>
      <c r="AT56" s="11">
        <f t="shared" si="61"/>
        <v>10</v>
      </c>
      <c r="AV56" s="13"/>
      <c r="AW56" s="13"/>
      <c r="BF56" s="12" t="str">
        <f t="shared" si="62"/>
        <v>FY21</v>
      </c>
      <c r="BG56" s="12">
        <f t="shared" si="62"/>
        <v>44299</v>
      </c>
      <c r="BH56" s="11">
        <f t="shared" si="63"/>
        <v>28.355120329400204</v>
      </c>
      <c r="BI56" s="11">
        <f t="shared" si="63"/>
        <v>35</v>
      </c>
      <c r="BK56" s="13"/>
      <c r="BL56" s="13"/>
      <c r="BU56" s="12" t="str">
        <f t="shared" si="64"/>
        <v>FY22</v>
      </c>
      <c r="BV56" s="12">
        <f t="shared" si="64"/>
        <v>44460</v>
      </c>
      <c r="BW56" s="11">
        <f t="shared" si="65"/>
        <v>37.092954400196668</v>
      </c>
      <c r="BX56" s="11">
        <f t="shared" si="65"/>
        <v>30</v>
      </c>
      <c r="BZ56" s="13"/>
      <c r="CA56" s="13"/>
      <c r="CJ56" s="40">
        <v>140</v>
      </c>
      <c r="CK56" s="39">
        <f t="shared" si="70"/>
        <v>651486300.00000012</v>
      </c>
      <c r="CL56" s="40">
        <v>290</v>
      </c>
      <c r="CM56" s="39">
        <f t="shared" si="70"/>
        <v>7369566300</v>
      </c>
      <c r="CO56" s="13"/>
      <c r="CP56" s="13"/>
      <c r="CY56" s="40">
        <v>90</v>
      </c>
      <c r="CZ56" s="39">
        <f t="shared" si="71"/>
        <v>41670299.999999993</v>
      </c>
      <c r="DA56" s="40">
        <v>240</v>
      </c>
      <c r="DB56" s="39">
        <f t="shared" si="72"/>
        <v>-129659700.00000004</v>
      </c>
      <c r="DD56" s="13"/>
      <c r="DE56" s="13"/>
      <c r="DF56" s="16"/>
      <c r="DG56" s="16"/>
      <c r="DH56" s="15"/>
      <c r="DI56" s="14"/>
      <c r="DO56" s="12" t="str">
        <f t="shared" si="66"/>
        <v>Pre GC</v>
      </c>
      <c r="DP56" s="12">
        <f t="shared" si="66"/>
        <v>44614</v>
      </c>
      <c r="DQ56" s="11">
        <f t="shared" si="67"/>
        <v>9.4699219518190798</v>
      </c>
      <c r="DR56" s="11">
        <f t="shared" si="67"/>
        <v>2</v>
      </c>
      <c r="DT56" s="13"/>
      <c r="DU56" s="13"/>
      <c r="EE56" s="12" t="str">
        <f t="shared" si="68"/>
        <v>Post GC</v>
      </c>
      <c r="EF56" s="12">
        <f t="shared" si="68"/>
        <v>44964</v>
      </c>
      <c r="EG56" s="11">
        <f t="shared" si="69"/>
        <v>20.268493416493417</v>
      </c>
      <c r="EH56" s="11">
        <f t="shared" si="69"/>
        <v>20</v>
      </c>
      <c r="EJ56" s="13"/>
      <c r="EK56" s="13"/>
      <c r="EL56" s="16"/>
      <c r="EM56" s="16"/>
      <c r="EN56" s="15"/>
      <c r="EO56" s="14"/>
      <c r="FD56" s="13"/>
      <c r="FE56" s="13"/>
    </row>
    <row r="57" spans="2:253" x14ac:dyDescent="0.25">
      <c r="B57" s="16" t="s">
        <v>135</v>
      </c>
      <c r="C57" s="16">
        <v>44992</v>
      </c>
      <c r="D57" s="15">
        <v>21058703.164703164</v>
      </c>
      <c r="E57" s="14">
        <v>20000000</v>
      </c>
      <c r="M57" s="12"/>
      <c r="N57" s="12"/>
      <c r="O57" s="11"/>
      <c r="P57" s="11"/>
      <c r="Q57" s="13"/>
      <c r="R57" s="13"/>
      <c r="S57" s="13"/>
      <c r="AB57" s="12" t="str">
        <f t="shared" si="58"/>
        <v>FY19</v>
      </c>
      <c r="AC57" s="12">
        <f t="shared" si="58"/>
        <v>43368</v>
      </c>
      <c r="AD57" s="11">
        <f t="shared" si="59"/>
        <v>11.159904744346118</v>
      </c>
      <c r="AE57" s="11">
        <f t="shared" si="59"/>
        <v>5</v>
      </c>
      <c r="AG57" s="13"/>
      <c r="AH57" s="13"/>
      <c r="AQ57" s="12" t="str">
        <f t="shared" si="60"/>
        <v>FY20</v>
      </c>
      <c r="AR57" s="12">
        <f t="shared" si="60"/>
        <v>43732</v>
      </c>
      <c r="AS57" s="11">
        <f t="shared" si="61"/>
        <v>22.871940511307773</v>
      </c>
      <c r="AT57" s="11">
        <f t="shared" si="61"/>
        <v>15</v>
      </c>
      <c r="AV57" s="13"/>
      <c r="AW57" s="13"/>
      <c r="BF57" s="12" t="str">
        <f t="shared" si="62"/>
        <v>FY21</v>
      </c>
      <c r="BG57" s="12">
        <f t="shared" si="62"/>
        <v>44292</v>
      </c>
      <c r="BH57" s="11">
        <f t="shared" si="63"/>
        <v>22.806144665683387</v>
      </c>
      <c r="BI57" s="11">
        <f t="shared" si="63"/>
        <v>25</v>
      </c>
      <c r="BK57" s="13"/>
      <c r="BL57" s="13"/>
      <c r="BN57" s="16">
        <v>44383</v>
      </c>
      <c r="BO57" s="15">
        <v>25373026.302851532</v>
      </c>
      <c r="BP57" s="14">
        <v>20000000</v>
      </c>
      <c r="BU57" s="12" t="str">
        <f t="shared" si="64"/>
        <v>FY22</v>
      </c>
      <c r="BV57" s="12">
        <f t="shared" si="64"/>
        <v>44467</v>
      </c>
      <c r="BW57" s="11">
        <f t="shared" si="65"/>
        <v>9.8191762536873188</v>
      </c>
      <c r="BX57" s="11">
        <f t="shared" si="65"/>
        <v>2</v>
      </c>
      <c r="BZ57" s="13"/>
      <c r="CA57" s="13"/>
      <c r="CJ57" s="40">
        <v>150</v>
      </c>
      <c r="CK57" s="39">
        <f t="shared" si="70"/>
        <v>821458299.99999988</v>
      </c>
      <c r="CL57" s="40">
        <v>300</v>
      </c>
      <c r="CM57" s="39">
        <f t="shared" si="70"/>
        <v>8231038300</v>
      </c>
      <c r="CO57" s="13"/>
      <c r="CP57" s="13"/>
      <c r="CY57" s="40">
        <v>100</v>
      </c>
      <c r="CZ57" s="39">
        <f t="shared" si="71"/>
        <v>39208300</v>
      </c>
      <c r="DA57" s="40">
        <v>250</v>
      </c>
      <c r="DB57" s="39">
        <f t="shared" si="72"/>
        <v>-151321700.00000003</v>
      </c>
      <c r="DD57" s="13"/>
      <c r="DE57" s="13"/>
      <c r="DF57" s="16"/>
      <c r="DG57" s="16"/>
      <c r="DH57" s="15"/>
      <c r="DI57" s="14"/>
      <c r="DO57" s="12" t="str">
        <f t="shared" si="66"/>
        <v>Pre GC</v>
      </c>
      <c r="DP57" s="12">
        <f t="shared" si="66"/>
        <v>44607</v>
      </c>
      <c r="DQ57" s="11">
        <f t="shared" si="67"/>
        <v>15.07466470009833</v>
      </c>
      <c r="DR57" s="11">
        <f t="shared" si="67"/>
        <v>10</v>
      </c>
      <c r="DT57" s="13"/>
      <c r="DU57" s="13"/>
      <c r="EE57" s="12" t="str">
        <f t="shared" si="68"/>
        <v>Post GC</v>
      </c>
      <c r="EF57" s="12">
        <f t="shared" si="68"/>
        <v>44957</v>
      </c>
      <c r="EG57" s="11">
        <f t="shared" si="69"/>
        <v>12.834873873873875</v>
      </c>
      <c r="EH57" s="11">
        <f t="shared" si="69"/>
        <v>10</v>
      </c>
      <c r="EJ57" s="13"/>
      <c r="EK57" s="13"/>
      <c r="EL57" s="16"/>
      <c r="EM57" s="16"/>
      <c r="EN57" s="15"/>
      <c r="EO57" s="14"/>
      <c r="FD57" s="13"/>
      <c r="FE57" s="13"/>
    </row>
    <row r="58" spans="2:253" x14ac:dyDescent="0.25">
      <c r="C58" s="16"/>
      <c r="D58" s="15"/>
      <c r="E58" s="14"/>
      <c r="M58" s="12"/>
      <c r="N58" s="12"/>
      <c r="O58" s="11"/>
      <c r="P58" s="11"/>
      <c r="Q58" s="13"/>
      <c r="R58" s="13"/>
      <c r="S58" s="13"/>
      <c r="AB58" s="12" t="str">
        <f t="shared" si="58"/>
        <v>FY19</v>
      </c>
      <c r="AC58" s="12">
        <f t="shared" si="58"/>
        <v>43375</v>
      </c>
      <c r="AD58" s="11">
        <f t="shared" si="59"/>
        <v>15.740513520157329</v>
      </c>
      <c r="AE58" s="11">
        <f t="shared" si="59"/>
        <v>10</v>
      </c>
      <c r="AG58" s="13"/>
      <c r="AH58" s="13"/>
      <c r="AQ58" s="12" t="str">
        <f t="shared" si="60"/>
        <v>FY20</v>
      </c>
      <c r="AR58" s="12">
        <f t="shared" si="60"/>
        <v>43739</v>
      </c>
      <c r="AS58" s="11">
        <f t="shared" si="61"/>
        <v>27.879556170108167</v>
      </c>
      <c r="AT58" s="11">
        <f t="shared" si="61"/>
        <v>25</v>
      </c>
      <c r="AV58" s="13"/>
      <c r="AW58" s="13"/>
      <c r="BF58" s="12" t="str">
        <f t="shared" si="62"/>
        <v>FY21</v>
      </c>
      <c r="BG58" s="12">
        <f t="shared" si="62"/>
        <v>44285</v>
      </c>
      <c r="BH58" s="11">
        <f t="shared" si="63"/>
        <v>19.457857669616523</v>
      </c>
      <c r="BI58" s="11">
        <f t="shared" si="63"/>
        <v>15</v>
      </c>
      <c r="BK58" s="13"/>
      <c r="BL58" s="13"/>
      <c r="BN58" s="16">
        <v>44390</v>
      </c>
      <c r="BO58" s="15">
        <v>9220282.9400196653</v>
      </c>
      <c r="BP58" s="14">
        <v>2000000</v>
      </c>
      <c r="BU58" s="12" t="str">
        <f t="shared" si="64"/>
        <v>FY22</v>
      </c>
      <c r="BV58" s="12">
        <f t="shared" si="64"/>
        <v>44474</v>
      </c>
      <c r="BW58" s="11">
        <f t="shared" si="65"/>
        <v>12.042942232055069</v>
      </c>
      <c r="BX58" s="11">
        <f t="shared" si="65"/>
        <v>5</v>
      </c>
      <c r="BZ58" s="13"/>
      <c r="CA58" s="13"/>
      <c r="CC58" s="16">
        <v>45104</v>
      </c>
      <c r="CD58" s="15">
        <v>10458440.863940863</v>
      </c>
      <c r="CE58" s="14">
        <v>5000000</v>
      </c>
      <c r="CJ58" s="40">
        <v>160</v>
      </c>
      <c r="CK58" s="39">
        <f t="shared" si="70"/>
        <v>1020730300</v>
      </c>
      <c r="CL58" s="40">
        <v>310</v>
      </c>
      <c r="CM58" s="39">
        <f t="shared" si="70"/>
        <v>9157810300.0000019</v>
      </c>
      <c r="CO58" s="13"/>
      <c r="CP58" s="13"/>
      <c r="CR58" s="16"/>
      <c r="CS58" s="15"/>
      <c r="CT58" s="14"/>
      <c r="CY58" s="40">
        <v>110</v>
      </c>
      <c r="CZ58" s="39">
        <f t="shared" si="71"/>
        <v>35466300</v>
      </c>
      <c r="DA58" s="40">
        <v>260</v>
      </c>
      <c r="DB58" s="39">
        <f t="shared" si="72"/>
        <v>-174263700.00000006</v>
      </c>
      <c r="DD58" s="13"/>
      <c r="DE58" s="13"/>
      <c r="DF58" s="16"/>
      <c r="DG58" s="16"/>
      <c r="DH58" s="15"/>
      <c r="DI58" s="14"/>
      <c r="DO58" s="12" t="str">
        <f t="shared" si="66"/>
        <v>Pre GC</v>
      </c>
      <c r="DP58" s="12">
        <f t="shared" si="66"/>
        <v>44600</v>
      </c>
      <c r="DQ58" s="11">
        <f t="shared" si="67"/>
        <v>10.997342920353985</v>
      </c>
      <c r="DR58" s="11">
        <f t="shared" si="67"/>
        <v>5</v>
      </c>
      <c r="DT58" s="13"/>
      <c r="DU58" s="13"/>
      <c r="EE58" s="12" t="str">
        <f t="shared" si="68"/>
        <v>Post GC</v>
      </c>
      <c r="EF58" s="12">
        <f t="shared" si="68"/>
        <v>44950</v>
      </c>
      <c r="EG58" s="11">
        <f t="shared" si="69"/>
        <v>9.8822077847077843</v>
      </c>
      <c r="EH58" s="11">
        <f t="shared" si="69"/>
        <v>5</v>
      </c>
      <c r="EJ58" s="13"/>
      <c r="EK58" s="13"/>
      <c r="EL58" s="16"/>
      <c r="EM58" s="16"/>
      <c r="EN58" s="15"/>
      <c r="EO58" s="14"/>
      <c r="FD58" s="13"/>
      <c r="FE58" s="13"/>
    </row>
    <row r="59" spans="2:253" x14ac:dyDescent="0.25">
      <c r="D59" s="15">
        <v>101791079.34857933</v>
      </c>
      <c r="E59" s="14">
        <v>90000000</v>
      </c>
      <c r="M59" s="12" t="str">
        <f t="shared" si="54"/>
        <v>L12M</v>
      </c>
      <c r="N59" s="12">
        <f t="shared" si="55"/>
        <v>45272</v>
      </c>
      <c r="O59" s="11">
        <f t="shared" si="56"/>
        <v>40.500575652575648</v>
      </c>
      <c r="P59" s="11">
        <f t="shared" si="57"/>
        <v>50</v>
      </c>
      <c r="Q59" s="13"/>
      <c r="R59" s="13"/>
      <c r="S59" s="13"/>
      <c r="AB59" s="12" t="str">
        <f t="shared" si="58"/>
        <v>FY19</v>
      </c>
      <c r="AC59" s="12">
        <f t="shared" si="58"/>
        <v>43382</v>
      </c>
      <c r="AD59" s="11">
        <f t="shared" si="59"/>
        <v>7.8857375860373651</v>
      </c>
      <c r="AE59" s="11">
        <f t="shared" si="59"/>
        <v>2</v>
      </c>
      <c r="AG59" s="13"/>
      <c r="AH59" s="13"/>
      <c r="AQ59" s="12" t="str">
        <f t="shared" si="60"/>
        <v>FY20</v>
      </c>
      <c r="AR59" s="12">
        <f t="shared" si="60"/>
        <v>43746</v>
      </c>
      <c r="AS59" s="11">
        <f t="shared" si="61"/>
        <v>33.615880530973456</v>
      </c>
      <c r="AT59" s="11">
        <f t="shared" si="61"/>
        <v>40</v>
      </c>
      <c r="AV59" s="13"/>
      <c r="AW59" s="13"/>
      <c r="BF59" s="12" t="str">
        <f t="shared" si="62"/>
        <v>FY21</v>
      </c>
      <c r="BG59" s="12">
        <f t="shared" si="62"/>
        <v>44278</v>
      </c>
      <c r="BH59" s="11">
        <f t="shared" si="63"/>
        <v>11.687564282202558</v>
      </c>
      <c r="BI59" s="11">
        <f t="shared" si="63"/>
        <v>5</v>
      </c>
      <c r="BK59" s="13"/>
      <c r="BL59" s="13"/>
      <c r="BN59" s="16">
        <v>44397</v>
      </c>
      <c r="BO59" s="15">
        <v>11303058.628318587</v>
      </c>
      <c r="BP59" s="14">
        <v>5000000</v>
      </c>
      <c r="BU59" s="12" t="str">
        <f t="shared" si="64"/>
        <v>FY22</v>
      </c>
      <c r="BV59" s="12">
        <f t="shared" si="64"/>
        <v>44481</v>
      </c>
      <c r="BW59" s="11">
        <f t="shared" si="65"/>
        <v>16.350092305801379</v>
      </c>
      <c r="BX59" s="11">
        <f t="shared" si="65"/>
        <v>10</v>
      </c>
      <c r="BZ59" s="13"/>
      <c r="CA59" s="13"/>
      <c r="CC59" s="16">
        <v>45097</v>
      </c>
      <c r="CD59" s="15">
        <v>7897734.6962346965</v>
      </c>
      <c r="CE59" s="14">
        <v>3000000</v>
      </c>
      <c r="CJ59" s="40">
        <v>170</v>
      </c>
      <c r="CK59" s="39">
        <f t="shared" si="70"/>
        <v>1251702300.0000002</v>
      </c>
      <c r="CL59" s="40">
        <v>320</v>
      </c>
      <c r="CM59" s="39">
        <f t="shared" si="70"/>
        <v>10152282300</v>
      </c>
      <c r="CO59" s="13"/>
      <c r="CP59" s="13"/>
      <c r="CR59" s="16"/>
      <c r="CS59" s="15"/>
      <c r="CT59" s="14"/>
      <c r="CY59" s="40">
        <v>120</v>
      </c>
      <c r="CZ59" s="39">
        <f t="shared" si="71"/>
        <v>30444299.999999996</v>
      </c>
      <c r="DA59" s="40">
        <v>270</v>
      </c>
      <c r="DB59" s="39">
        <f t="shared" si="72"/>
        <v>-198485700</v>
      </c>
      <c r="DD59" s="13"/>
      <c r="DE59" s="13"/>
      <c r="DF59" s="16"/>
      <c r="DG59" s="16"/>
      <c r="DH59" s="15"/>
      <c r="DI59" s="14"/>
      <c r="DO59" s="12" t="str">
        <f t="shared" si="66"/>
        <v>Pre GC</v>
      </c>
      <c r="DP59" s="12">
        <f t="shared" si="66"/>
        <v>44593</v>
      </c>
      <c r="DQ59" s="11">
        <f t="shared" si="67"/>
        <v>9.5681393805309742</v>
      </c>
      <c r="DR59" s="11">
        <f t="shared" si="67"/>
        <v>2</v>
      </c>
      <c r="DT59" s="13"/>
      <c r="DU59" s="13"/>
      <c r="EE59" s="12" t="str">
        <f t="shared" si="68"/>
        <v>Post GC</v>
      </c>
      <c r="EF59" s="12">
        <f t="shared" si="68"/>
        <v>44943</v>
      </c>
      <c r="EG59" s="11">
        <f t="shared" si="69"/>
        <v>8.8343585123585111</v>
      </c>
      <c r="EH59" s="11">
        <f t="shared" si="69"/>
        <v>3</v>
      </c>
      <c r="EJ59" s="13"/>
      <c r="EK59" s="13"/>
      <c r="EL59" s="16"/>
      <c r="EM59" s="16"/>
      <c r="EN59" s="15"/>
      <c r="EO59" s="14"/>
      <c r="FD59" s="13"/>
      <c r="FE59" s="13"/>
    </row>
    <row r="60" spans="2:253" x14ac:dyDescent="0.25">
      <c r="D60" s="15">
        <v>68443644.721644714</v>
      </c>
      <c r="E60" s="14">
        <v>70000000</v>
      </c>
      <c r="M60" s="12" t="str">
        <f t="shared" si="54"/>
        <v>L12M</v>
      </c>
      <c r="N60" s="12">
        <f t="shared" si="55"/>
        <v>45265</v>
      </c>
      <c r="O60" s="11">
        <f t="shared" si="56"/>
        <v>32.184130399630398</v>
      </c>
      <c r="P60" s="11">
        <f t="shared" si="57"/>
        <v>40</v>
      </c>
      <c r="Q60" s="13"/>
      <c r="R60" s="13"/>
      <c r="S60" s="13"/>
      <c r="AB60" s="12" t="str">
        <f t="shared" si="58"/>
        <v>FY19</v>
      </c>
      <c r="AC60" s="12">
        <f t="shared" si="58"/>
        <v>43389</v>
      </c>
      <c r="AD60" s="11">
        <f t="shared" si="59"/>
        <v>9.8228212881022632</v>
      </c>
      <c r="AE60" s="11">
        <f t="shared" si="59"/>
        <v>5</v>
      </c>
      <c r="AG60" s="13"/>
      <c r="AH60" s="13"/>
      <c r="AQ60" s="12" t="str">
        <f t="shared" si="60"/>
        <v>FY20</v>
      </c>
      <c r="AR60" s="12">
        <f t="shared" si="60"/>
        <v>43753</v>
      </c>
      <c r="AS60" s="11">
        <f t="shared" si="61"/>
        <v>43.907561578171098</v>
      </c>
      <c r="AT60" s="11">
        <f t="shared" si="61"/>
        <v>50</v>
      </c>
      <c r="AV60" s="13"/>
      <c r="AW60" s="13"/>
      <c r="BF60" s="12" t="str">
        <f t="shared" si="62"/>
        <v>FY21</v>
      </c>
      <c r="BG60" s="12">
        <f t="shared" si="62"/>
        <v>44271</v>
      </c>
      <c r="BH60" s="11">
        <f t="shared" si="63"/>
        <v>8.7704263765978379</v>
      </c>
      <c r="BI60" s="11">
        <f t="shared" si="63"/>
        <v>2</v>
      </c>
      <c r="BK60" s="13"/>
      <c r="BL60" s="13"/>
      <c r="BN60" s="16">
        <v>44404</v>
      </c>
      <c r="BO60" s="15">
        <v>15715806.907571292</v>
      </c>
      <c r="BP60" s="14">
        <v>10000000</v>
      </c>
      <c r="BU60" s="12" t="str">
        <f t="shared" si="64"/>
        <v>FY22</v>
      </c>
      <c r="BV60" s="12">
        <f t="shared" si="64"/>
        <v>44488</v>
      </c>
      <c r="BW60" s="11">
        <f t="shared" si="65"/>
        <v>21.203085422812197</v>
      </c>
      <c r="BX60" s="11">
        <f t="shared" si="65"/>
        <v>20</v>
      </c>
      <c r="BZ60" s="13"/>
      <c r="CA60" s="13"/>
      <c r="CC60" s="16">
        <v>45090</v>
      </c>
      <c r="CD60" s="15">
        <v>17313915.453915451</v>
      </c>
      <c r="CE60" s="14">
        <v>20000000</v>
      </c>
      <c r="CJ60" s="40">
        <v>180</v>
      </c>
      <c r="CK60" s="39">
        <f t="shared" si="70"/>
        <v>1516774300.0000002</v>
      </c>
      <c r="CL60" s="40">
        <v>330</v>
      </c>
      <c r="CM60" s="39">
        <f t="shared" si="70"/>
        <v>11216854300</v>
      </c>
      <c r="CO60" s="13"/>
      <c r="CP60" s="13"/>
      <c r="CR60" s="16"/>
      <c r="CS60" s="15"/>
      <c r="CT60" s="14"/>
      <c r="CY60" s="40">
        <v>130</v>
      </c>
      <c r="CZ60" s="39">
        <f t="shared" si="71"/>
        <v>24142299.999999989</v>
      </c>
      <c r="DA60" s="40">
        <v>280</v>
      </c>
      <c r="DB60" s="39">
        <f t="shared" si="72"/>
        <v>-223987700.00000009</v>
      </c>
      <c r="DD60" s="13"/>
      <c r="DE60" s="13"/>
      <c r="DF60" s="16"/>
      <c r="DG60" s="16"/>
      <c r="DH60" s="15"/>
      <c r="DI60" s="14"/>
      <c r="DO60" s="12" t="str">
        <f t="shared" si="66"/>
        <v>Pre GC</v>
      </c>
      <c r="DP60" s="12">
        <f t="shared" si="66"/>
        <v>44586</v>
      </c>
      <c r="DQ60" s="11">
        <f t="shared" si="67"/>
        <v>46.351200835791552</v>
      </c>
      <c r="DR60" s="11">
        <f t="shared" si="67"/>
        <v>50</v>
      </c>
      <c r="DT60" s="13"/>
      <c r="DU60" s="13"/>
      <c r="EE60" s="12" t="str">
        <f t="shared" si="68"/>
        <v>Post GC</v>
      </c>
      <c r="EF60" s="12">
        <f t="shared" si="68"/>
        <v>44936</v>
      </c>
      <c r="EG60" s="11">
        <f t="shared" si="69"/>
        <v>9.2527970662970649</v>
      </c>
      <c r="EH60" s="11">
        <f t="shared" si="69"/>
        <v>3</v>
      </c>
      <c r="EJ60" s="13"/>
      <c r="EK60" s="13"/>
      <c r="EL60" s="16"/>
      <c r="EM60" s="16"/>
      <c r="EN60" s="15"/>
      <c r="EO60" s="14"/>
      <c r="FD60" s="13"/>
      <c r="FE60" s="13"/>
    </row>
    <row r="61" spans="2:253" x14ac:dyDescent="0.25">
      <c r="M61" s="12" t="str">
        <f t="shared" si="54"/>
        <v>L12M</v>
      </c>
      <c r="N61" s="12">
        <f t="shared" si="55"/>
        <v>45258</v>
      </c>
      <c r="O61" s="11">
        <f t="shared" si="56"/>
        <v>26.490850080850084</v>
      </c>
      <c r="P61" s="11">
        <f t="shared" si="57"/>
        <v>30</v>
      </c>
      <c r="Q61" s="13"/>
      <c r="R61" s="13"/>
      <c r="S61" s="13"/>
      <c r="AB61" s="12" t="str">
        <f t="shared" si="58"/>
        <v>FY19</v>
      </c>
      <c r="AC61" s="12">
        <f t="shared" si="58"/>
        <v>43396</v>
      </c>
      <c r="AD61" s="11">
        <f t="shared" ref="AD61:AE62" si="73">V19/1000000</f>
        <v>13.01887917895772</v>
      </c>
      <c r="AE61" s="11">
        <f t="shared" si="73"/>
        <v>10</v>
      </c>
      <c r="AG61" s="13"/>
      <c r="AH61" s="13"/>
      <c r="AQ61" s="12" t="str">
        <f t="shared" si="60"/>
        <v>FY20</v>
      </c>
      <c r="AR61" s="12">
        <f t="shared" si="60"/>
        <v>43760</v>
      </c>
      <c r="AS61" s="11">
        <f t="shared" ref="AS61:AT62" si="74">AK19/1000000</f>
        <v>8.8786785889872188</v>
      </c>
      <c r="AT61" s="11">
        <f t="shared" si="74"/>
        <v>2</v>
      </c>
      <c r="AV61" s="13"/>
      <c r="AW61" s="13"/>
      <c r="BF61" s="12" t="str">
        <f t="shared" si="62"/>
        <v>FY21</v>
      </c>
      <c r="BG61" s="12">
        <f t="shared" si="62"/>
        <v>44264</v>
      </c>
      <c r="BH61" s="11">
        <f t="shared" ref="BH61:BI62" si="75">AZ19/1000000</f>
        <v>30.61772541789578</v>
      </c>
      <c r="BI61" s="11">
        <f t="shared" si="75"/>
        <v>30</v>
      </c>
      <c r="BK61" s="13"/>
      <c r="BL61" s="13"/>
      <c r="BN61" s="16">
        <v>44411</v>
      </c>
      <c r="BO61" s="15">
        <v>8737466.5683382507</v>
      </c>
      <c r="BP61" s="14">
        <v>2000000</v>
      </c>
      <c r="BU61" s="12" t="str">
        <f t="shared" si="64"/>
        <v>FY22</v>
      </c>
      <c r="BV61" s="12">
        <f t="shared" si="64"/>
        <v>44495</v>
      </c>
      <c r="BW61" s="11">
        <f t="shared" ref="BW61:BX62" si="76">BO19/1000000</f>
        <v>33.086930063913478</v>
      </c>
      <c r="BX61" s="11">
        <f t="shared" si="76"/>
        <v>30</v>
      </c>
      <c r="BZ61" s="13"/>
      <c r="CA61" s="13"/>
      <c r="CC61" s="16">
        <v>45083</v>
      </c>
      <c r="CD61" s="15">
        <v>13397146.454146456</v>
      </c>
      <c r="CE61" s="14">
        <v>10000000</v>
      </c>
      <c r="CJ61" s="40">
        <v>190</v>
      </c>
      <c r="CK61" s="39">
        <f t="shared" si="70"/>
        <v>1818346300</v>
      </c>
      <c r="CL61" s="40">
        <v>340</v>
      </c>
      <c r="CM61" s="39">
        <f t="shared" si="70"/>
        <v>12353926300.000002</v>
      </c>
      <c r="CO61" s="13"/>
      <c r="CP61" s="13"/>
      <c r="CR61" s="16"/>
      <c r="CS61" s="15"/>
      <c r="CT61" s="14"/>
      <c r="CY61" s="40">
        <v>140</v>
      </c>
      <c r="CZ61" s="39">
        <f t="shared" si="71"/>
        <v>16560299.99999998</v>
      </c>
      <c r="DA61" s="40">
        <v>290</v>
      </c>
      <c r="DB61" s="39">
        <f t="shared" si="72"/>
        <v>-250769700</v>
      </c>
      <c r="DD61" s="13"/>
      <c r="DE61" s="13"/>
      <c r="DF61" s="16"/>
      <c r="DG61" s="16"/>
      <c r="DH61" s="15"/>
      <c r="DI61" s="14"/>
      <c r="DO61" s="12" t="str">
        <f t="shared" ref="DO61:DP62" si="77">DF19</f>
        <v>Pre GC</v>
      </c>
      <c r="DP61" s="12">
        <f t="shared" si="77"/>
        <v>44579</v>
      </c>
      <c r="DQ61" s="11">
        <f t="shared" ref="DQ61:DR62" si="78">DH19/1000000</f>
        <v>32.041685594886928</v>
      </c>
      <c r="DR61" s="11">
        <f t="shared" si="78"/>
        <v>30</v>
      </c>
      <c r="DT61" s="13"/>
      <c r="DU61" s="13"/>
      <c r="EE61" s="12" t="str">
        <f t="shared" ref="EE61:EF62" si="79">DV19</f>
        <v>Post GC</v>
      </c>
      <c r="EF61" s="12">
        <f t="shared" si="79"/>
        <v>44929</v>
      </c>
      <c r="EG61" s="11">
        <f t="shared" ref="EG61:EH62" si="80">DX19/1000000</f>
        <v>20.78927465927466</v>
      </c>
      <c r="EH61" s="11">
        <f t="shared" si="80"/>
        <v>20</v>
      </c>
      <c r="EJ61" s="13"/>
      <c r="EK61" s="13"/>
      <c r="EL61" s="16"/>
      <c r="EM61" s="16"/>
      <c r="EN61" s="15"/>
      <c r="EO61" s="14"/>
      <c r="FD61" s="13"/>
      <c r="FE61" s="13"/>
    </row>
    <row r="62" spans="2:253" x14ac:dyDescent="0.25">
      <c r="M62" s="12" t="str">
        <f t="shared" si="54"/>
        <v>L12M</v>
      </c>
      <c r="N62" s="12">
        <f t="shared" si="55"/>
        <v>45251</v>
      </c>
      <c r="O62" s="11">
        <f t="shared" si="56"/>
        <v>19.880151651651651</v>
      </c>
      <c r="P62" s="11">
        <f t="shared" si="57"/>
        <v>20</v>
      </c>
      <c r="Q62" s="13"/>
      <c r="R62" s="13"/>
      <c r="S62" s="13"/>
      <c r="AB62" s="12" t="str">
        <f t="shared" si="58"/>
        <v>FY19</v>
      </c>
      <c r="AC62" s="12">
        <f t="shared" si="58"/>
        <v>43403</v>
      </c>
      <c r="AD62" s="11">
        <f t="shared" si="73"/>
        <v>15.058996435594889</v>
      </c>
      <c r="AE62" s="11">
        <f t="shared" si="73"/>
        <v>15</v>
      </c>
      <c r="AG62" s="13"/>
      <c r="AH62" s="13"/>
      <c r="AQ62" s="12" t="str">
        <f t="shared" si="60"/>
        <v>FY20</v>
      </c>
      <c r="AR62" s="12">
        <f t="shared" si="60"/>
        <v>43767</v>
      </c>
      <c r="AS62" s="11">
        <f t="shared" si="74"/>
        <v>10.45412782694199</v>
      </c>
      <c r="AT62" s="11">
        <f t="shared" si="74"/>
        <v>5</v>
      </c>
      <c r="AV62" s="13"/>
      <c r="AW62" s="13"/>
      <c r="BF62" s="12" t="str">
        <f t="shared" si="62"/>
        <v>FY21</v>
      </c>
      <c r="BG62" s="12">
        <f t="shared" si="62"/>
        <v>44257</v>
      </c>
      <c r="BH62" s="11">
        <f t="shared" si="75"/>
        <v>25.277055678466084</v>
      </c>
      <c r="BI62" s="11">
        <f t="shared" si="75"/>
        <v>20</v>
      </c>
      <c r="BK62" s="13"/>
      <c r="BL62" s="13"/>
      <c r="BN62" s="16">
        <v>44418</v>
      </c>
      <c r="BO62" s="15">
        <v>10800299.778761065</v>
      </c>
      <c r="BP62" s="14">
        <v>5000000</v>
      </c>
      <c r="BU62" s="12" t="str">
        <f t="shared" si="64"/>
        <v>FY22</v>
      </c>
      <c r="BV62" s="12">
        <f t="shared" si="64"/>
        <v>44502</v>
      </c>
      <c r="BW62" s="11">
        <f t="shared" si="76"/>
        <v>50.284365290068827</v>
      </c>
      <c r="BX62" s="11">
        <f t="shared" si="76"/>
        <v>50</v>
      </c>
      <c r="BZ62" s="13"/>
      <c r="CA62" s="13"/>
      <c r="CC62" s="16">
        <v>45076</v>
      </c>
      <c r="CD62" s="15">
        <v>9865218.9882189874</v>
      </c>
      <c r="CE62" s="14">
        <v>5000000</v>
      </c>
      <c r="CJ62" s="40">
        <v>200</v>
      </c>
      <c r="CK62" s="39">
        <f t="shared" si="70"/>
        <v>2158818300</v>
      </c>
      <c r="CL62" s="40">
        <v>350</v>
      </c>
      <c r="CM62" s="39">
        <f t="shared" si="70"/>
        <v>13565898300</v>
      </c>
      <c r="CO62" s="13"/>
      <c r="CP62" s="13"/>
      <c r="CR62" s="16"/>
      <c r="CS62" s="15"/>
      <c r="CT62" s="14"/>
      <c r="CY62" s="40">
        <v>150</v>
      </c>
      <c r="CZ62" s="39">
        <f t="shared" si="71"/>
        <v>7698299.9999999991</v>
      </c>
      <c r="DA62" s="40">
        <v>300</v>
      </c>
      <c r="DB62" s="39">
        <f t="shared" si="72"/>
        <v>-278831700</v>
      </c>
      <c r="DD62" s="13"/>
      <c r="DE62" s="13"/>
      <c r="DF62" s="16"/>
      <c r="DG62" s="16"/>
      <c r="DH62" s="15"/>
      <c r="DI62" s="14"/>
      <c r="DO62" s="12" t="str">
        <f t="shared" si="77"/>
        <v>Pre GC</v>
      </c>
      <c r="DP62" s="12">
        <f t="shared" si="77"/>
        <v>44572</v>
      </c>
      <c r="DQ62" s="11">
        <f t="shared" si="78"/>
        <v>24.718907694198627</v>
      </c>
      <c r="DR62" s="11">
        <f t="shared" si="78"/>
        <v>20</v>
      </c>
      <c r="DT62" s="13"/>
      <c r="DU62" s="13"/>
      <c r="EE62" s="12" t="str">
        <f t="shared" si="79"/>
        <v>Post GC</v>
      </c>
      <c r="EF62" s="12">
        <f t="shared" si="79"/>
        <v>44922</v>
      </c>
      <c r="EG62" s="11">
        <f t="shared" si="80"/>
        <v>11.083673814386204</v>
      </c>
      <c r="EH62" s="11">
        <f t="shared" si="80"/>
        <v>10</v>
      </c>
      <c r="EJ62" s="13"/>
      <c r="EK62" s="13"/>
      <c r="EL62" s="16"/>
      <c r="EM62" s="16"/>
      <c r="EN62" s="15"/>
      <c r="EO62" s="14"/>
      <c r="FD62" s="13"/>
      <c r="FE62" s="13"/>
    </row>
    <row r="63" spans="2:253" x14ac:dyDescent="0.25">
      <c r="M63" s="12" t="str">
        <f t="shared" ref="M63:M76" si="81">B21</f>
        <v>L12M</v>
      </c>
      <c r="N63" s="12">
        <f t="shared" ref="N63:N76" si="82">C21</f>
        <v>45244</v>
      </c>
      <c r="O63" s="11">
        <f t="shared" ref="O63:O76" si="83">D21/1000000</f>
        <v>17.853845345345345</v>
      </c>
      <c r="P63" s="11">
        <f t="shared" ref="P63:P76" si="84">E21/1000000</f>
        <v>15</v>
      </c>
      <c r="Q63" s="13"/>
      <c r="R63" s="13"/>
      <c r="S63" s="13"/>
      <c r="AB63" s="12" t="str">
        <f t="shared" ref="AB63:AB96" si="85">T21</f>
        <v>FY19</v>
      </c>
      <c r="AC63" s="12">
        <f t="shared" ref="AC63:AC96" si="86">U21</f>
        <v>43410</v>
      </c>
      <c r="AD63" s="11">
        <f t="shared" ref="AD63:AD96" si="87">V21/1000000</f>
        <v>7.1545302359882017</v>
      </c>
      <c r="AE63" s="11">
        <f t="shared" ref="AE63:AE96" si="88">W21/1000000</f>
        <v>2</v>
      </c>
      <c r="AG63" s="13"/>
      <c r="AH63" s="13"/>
      <c r="AQ63" s="12" t="str">
        <f t="shared" ref="AQ63:AQ97" si="89">AI21</f>
        <v>FY20</v>
      </c>
      <c r="AR63" s="12">
        <f t="shared" ref="AR63:AR97" si="90">AJ21</f>
        <v>43774</v>
      </c>
      <c r="AS63" s="11">
        <f t="shared" ref="AS63:AS97" si="91">AK21/1000000</f>
        <v>13.989049901671585</v>
      </c>
      <c r="AT63" s="11">
        <f t="shared" ref="AT63:AT97" si="92">AL21/1000000</f>
        <v>10</v>
      </c>
      <c r="AV63" s="13"/>
      <c r="AW63" s="13"/>
      <c r="BF63" s="12" t="str">
        <f t="shared" ref="BF63:BF96" si="93">AX21</f>
        <v>FY21</v>
      </c>
      <c r="BG63" s="12">
        <f t="shared" ref="BG63:BG96" si="94">AY21</f>
        <v>44250</v>
      </c>
      <c r="BH63" s="11">
        <f t="shared" ref="BH63:BH96" si="95">AZ21/1000000</f>
        <v>19.346708579154384</v>
      </c>
      <c r="BI63" s="11">
        <f t="shared" ref="BI63:BI96" si="96">BA21/1000000</f>
        <v>10</v>
      </c>
      <c r="BK63" s="13"/>
      <c r="BL63" s="13"/>
      <c r="BN63" s="16">
        <v>44425</v>
      </c>
      <c r="BO63" s="15">
        <v>21044769.665683389</v>
      </c>
      <c r="BP63" s="14">
        <v>10000000</v>
      </c>
      <c r="BU63" s="12" t="str">
        <f t="shared" ref="BU63:BU89" si="97">BM21</f>
        <v>FY22</v>
      </c>
      <c r="BV63" s="12">
        <f t="shared" ref="BV63:BV89" si="98">BN21</f>
        <v>44509</v>
      </c>
      <c r="BW63" s="11">
        <f t="shared" ref="BW63:BW89" si="99">BO21/1000000</f>
        <v>9.6240651425762085</v>
      </c>
      <c r="BX63" s="11">
        <f t="shared" ref="BX63:BX89" si="100">BP21/1000000</f>
        <v>2</v>
      </c>
      <c r="BZ63" s="13"/>
      <c r="CA63" s="13"/>
      <c r="CC63" s="16">
        <v>45069</v>
      </c>
      <c r="CD63" s="15">
        <v>8703118.3876183871</v>
      </c>
      <c r="CE63" s="14">
        <v>3000000</v>
      </c>
      <c r="CJ63" s="40"/>
      <c r="CK63" s="39"/>
      <c r="CL63" s="40"/>
      <c r="CM63" s="39"/>
      <c r="CO63" s="13"/>
      <c r="CP63" s="13"/>
      <c r="CR63" s="16"/>
      <c r="CS63" s="15"/>
      <c r="CT63" s="14"/>
      <c r="CY63" s="40">
        <v>160</v>
      </c>
      <c r="CZ63" s="39">
        <f t="shared" si="71"/>
        <v>-2443699.9999999972</v>
      </c>
      <c r="DA63" s="40">
        <v>310</v>
      </c>
      <c r="DB63" s="39">
        <f t="shared" si="72"/>
        <v>-308173700.00000012</v>
      </c>
      <c r="DD63" s="13"/>
      <c r="DE63" s="13"/>
      <c r="DF63" s="16"/>
      <c r="DG63" s="16"/>
      <c r="DH63" s="15"/>
      <c r="DI63" s="14"/>
      <c r="DO63" s="12" t="str">
        <f t="shared" ref="DO63:DO76" si="101">DF21</f>
        <v>Pre GC</v>
      </c>
      <c r="DP63" s="12">
        <f t="shared" ref="DP63:DP76" si="102">DG21</f>
        <v>44565</v>
      </c>
      <c r="DQ63" s="11">
        <f t="shared" ref="DQ63:DQ76" si="103">DH21/1000000</f>
        <v>14.668907325467062</v>
      </c>
      <c r="DR63" s="11">
        <f t="shared" ref="DR63:DR76" si="104">DI21/1000000</f>
        <v>10</v>
      </c>
      <c r="DT63" s="13"/>
      <c r="DU63" s="13"/>
      <c r="EE63" s="12" t="str">
        <f t="shared" ref="EE63:EE81" si="105">DV21</f>
        <v>Post GC</v>
      </c>
      <c r="EF63" s="12">
        <f t="shared" ref="EF63:EF81" si="106">DW21</f>
        <v>44915</v>
      </c>
      <c r="EG63" s="11">
        <f t="shared" ref="EG63:EG81" si="107">DX21/1000000</f>
        <v>9.1880974585886097</v>
      </c>
      <c r="EH63" s="11">
        <f t="shared" ref="EH63:EH81" si="108">DY21/1000000</f>
        <v>5</v>
      </c>
      <c r="EJ63" s="13"/>
      <c r="EK63" s="13"/>
      <c r="EL63" s="16"/>
      <c r="EM63" s="16"/>
      <c r="EN63" s="15"/>
      <c r="EO63" s="14"/>
      <c r="FD63" s="13"/>
      <c r="FE63" s="13"/>
    </row>
    <row r="64" spans="2:253" x14ac:dyDescent="0.25">
      <c r="M64" s="12" t="str">
        <f t="shared" si="81"/>
        <v>L12M</v>
      </c>
      <c r="N64" s="12">
        <f t="shared" si="82"/>
        <v>45237</v>
      </c>
      <c r="O64" s="11">
        <f t="shared" si="83"/>
        <v>14.501044583044585</v>
      </c>
      <c r="P64" s="11">
        <f t="shared" si="84"/>
        <v>10</v>
      </c>
      <c r="Q64" s="13"/>
      <c r="R64" s="13"/>
      <c r="S64" s="13"/>
      <c r="AB64" s="12" t="str">
        <f t="shared" si="85"/>
        <v>FY19</v>
      </c>
      <c r="AC64" s="12">
        <f t="shared" si="86"/>
        <v>43417</v>
      </c>
      <c r="AD64" s="11">
        <f t="shared" si="87"/>
        <v>10.972583579154378</v>
      </c>
      <c r="AE64" s="11">
        <f t="shared" si="88"/>
        <v>5</v>
      </c>
      <c r="AG64" s="13"/>
      <c r="AH64" s="13"/>
      <c r="AQ64" s="12" t="str">
        <f t="shared" si="89"/>
        <v>FY20</v>
      </c>
      <c r="AR64" s="12">
        <f t="shared" si="90"/>
        <v>43781</v>
      </c>
      <c r="AS64" s="11">
        <f t="shared" si="91"/>
        <v>7.9368591445427752</v>
      </c>
      <c r="AT64" s="11">
        <f t="shared" si="92"/>
        <v>2</v>
      </c>
      <c r="AV64" s="13"/>
      <c r="AW64" s="13"/>
      <c r="BF64" s="12" t="str">
        <f t="shared" si="93"/>
        <v>FY21</v>
      </c>
      <c r="BG64" s="12">
        <f t="shared" si="94"/>
        <v>44243</v>
      </c>
      <c r="BH64" s="11">
        <f t="shared" si="95"/>
        <v>10.839589724680433</v>
      </c>
      <c r="BI64" s="11">
        <f t="shared" si="96"/>
        <v>5</v>
      </c>
      <c r="BK64" s="13"/>
      <c r="BL64" s="13"/>
      <c r="BN64" s="16">
        <v>44432</v>
      </c>
      <c r="BO64" s="15">
        <v>9724531.5880039353</v>
      </c>
      <c r="BP64" s="14">
        <v>2000000</v>
      </c>
      <c r="BU64" s="12" t="str">
        <f t="shared" si="97"/>
        <v>FY22</v>
      </c>
      <c r="BV64" s="12">
        <f t="shared" si="98"/>
        <v>44516</v>
      </c>
      <c r="BW64" s="11">
        <f t="shared" si="99"/>
        <v>11.567999016715834</v>
      </c>
      <c r="BX64" s="11">
        <f t="shared" si="100"/>
        <v>5</v>
      </c>
      <c r="BZ64" s="13"/>
      <c r="CA64" s="13"/>
      <c r="CC64" s="16">
        <v>45062</v>
      </c>
      <c r="CD64" s="15">
        <v>29237498.960498959</v>
      </c>
      <c r="CE64" s="14">
        <v>30000000</v>
      </c>
      <c r="CJ64" s="38" t="s">
        <v>27</v>
      </c>
      <c r="CK64" s="38" t="s">
        <v>26</v>
      </c>
      <c r="CL64" s="38" t="s">
        <v>25</v>
      </c>
      <c r="CM64" s="38" t="s">
        <v>24</v>
      </c>
      <c r="CO64" s="13"/>
      <c r="CP64" s="13"/>
      <c r="CR64" s="16"/>
      <c r="CS64" s="15"/>
      <c r="CT64" s="14"/>
      <c r="CY64" s="40">
        <v>170</v>
      </c>
      <c r="CZ64" s="39">
        <f t="shared" si="71"/>
        <v>-13865700.000000022</v>
      </c>
      <c r="DA64" s="40">
        <v>320</v>
      </c>
      <c r="DB64" s="39">
        <f t="shared" si="72"/>
        <v>-338795700</v>
      </c>
      <c r="DD64" s="13"/>
      <c r="DE64" s="13"/>
      <c r="DF64" s="16"/>
      <c r="DG64" s="16"/>
      <c r="DH64" s="15"/>
      <c r="DI64" s="14"/>
      <c r="DO64" s="12" t="str">
        <f t="shared" si="101"/>
        <v>Pre GC</v>
      </c>
      <c r="DP64" s="12">
        <f t="shared" si="102"/>
        <v>44558</v>
      </c>
      <c r="DQ64" s="11">
        <f t="shared" si="103"/>
        <v>9.6615446165191727</v>
      </c>
      <c r="DR64" s="11">
        <f t="shared" si="104"/>
        <v>5</v>
      </c>
      <c r="DT64" s="13"/>
      <c r="DU64" s="13"/>
      <c r="EE64" s="12" t="str">
        <f t="shared" si="105"/>
        <v>Post GC</v>
      </c>
      <c r="EF64" s="12">
        <f t="shared" si="106"/>
        <v>44908</v>
      </c>
      <c r="EG64" s="11">
        <f t="shared" si="107"/>
        <v>8.3759739051508983</v>
      </c>
      <c r="EH64" s="11">
        <f t="shared" si="108"/>
        <v>3</v>
      </c>
      <c r="EJ64" s="13"/>
      <c r="EK64" s="13"/>
      <c r="EL64" s="16"/>
      <c r="EM64" s="16"/>
      <c r="EN64" s="15"/>
      <c r="EO64" s="14"/>
      <c r="FD64" s="13"/>
      <c r="FE64" s="13"/>
    </row>
    <row r="65" spans="13:161" x14ac:dyDescent="0.25">
      <c r="M65" s="12" t="str">
        <f t="shared" si="81"/>
        <v>L12M</v>
      </c>
      <c r="N65" s="12">
        <f t="shared" si="82"/>
        <v>45230</v>
      </c>
      <c r="O65" s="11">
        <f t="shared" si="83"/>
        <v>9.2870157080157067</v>
      </c>
      <c r="P65" s="11">
        <f t="shared" si="84"/>
        <v>5</v>
      </c>
      <c r="Q65" s="13"/>
      <c r="R65" s="13"/>
      <c r="S65" s="13"/>
      <c r="AB65" s="12" t="str">
        <f t="shared" si="85"/>
        <v>FY19</v>
      </c>
      <c r="AC65" s="12">
        <f t="shared" si="86"/>
        <v>43424</v>
      </c>
      <c r="AD65" s="11">
        <f t="shared" si="87"/>
        <v>16.422454768928223</v>
      </c>
      <c r="AE65" s="11">
        <f t="shared" si="88"/>
        <v>10</v>
      </c>
      <c r="AG65" s="13"/>
      <c r="AH65" s="13"/>
      <c r="AQ65" s="12" t="str">
        <f t="shared" si="89"/>
        <v>FY20</v>
      </c>
      <c r="AR65" s="12">
        <f t="shared" si="90"/>
        <v>43788</v>
      </c>
      <c r="AS65" s="11">
        <f t="shared" si="91"/>
        <v>9.9437225909537883</v>
      </c>
      <c r="AT65" s="11">
        <f t="shared" si="92"/>
        <v>5</v>
      </c>
      <c r="AV65" s="13"/>
      <c r="AW65" s="13"/>
      <c r="BF65" s="12" t="str">
        <f t="shared" si="93"/>
        <v>FY21</v>
      </c>
      <c r="BG65" s="12">
        <f t="shared" si="94"/>
        <v>44236</v>
      </c>
      <c r="BH65" s="11">
        <f t="shared" si="95"/>
        <v>8.8678317354965603</v>
      </c>
      <c r="BI65" s="11">
        <f t="shared" si="96"/>
        <v>2</v>
      </c>
      <c r="BK65" s="13"/>
      <c r="BL65" s="13"/>
      <c r="BN65" s="16">
        <v>44439</v>
      </c>
      <c r="BO65" s="15">
        <v>11312176.007866276</v>
      </c>
      <c r="BP65" s="14">
        <v>5000000</v>
      </c>
      <c r="BU65" s="12" t="str">
        <f t="shared" si="97"/>
        <v>FY22</v>
      </c>
      <c r="BV65" s="12">
        <f t="shared" si="98"/>
        <v>44523</v>
      </c>
      <c r="BW65" s="11">
        <f t="shared" si="99"/>
        <v>16.019015363815146</v>
      </c>
      <c r="BX65" s="11">
        <f t="shared" si="100"/>
        <v>10</v>
      </c>
      <c r="BZ65" s="13"/>
      <c r="CA65" s="13"/>
      <c r="CC65" s="16">
        <v>45055</v>
      </c>
      <c r="CD65" s="15">
        <v>21594296.604296606</v>
      </c>
      <c r="CE65" s="14">
        <v>20000000</v>
      </c>
      <c r="CJ65" s="12" t="str">
        <f t="shared" ref="CJ65:CK80" si="109">CB3</f>
        <v>FY23</v>
      </c>
      <c r="CK65" s="12">
        <f t="shared" si="109"/>
        <v>45104</v>
      </c>
      <c r="CL65" s="11">
        <f t="shared" ref="CL65:CM80" si="110">CD3/1000000</f>
        <v>10.458440863940863</v>
      </c>
      <c r="CM65" s="11">
        <f t="shared" si="110"/>
        <v>5</v>
      </c>
      <c r="CO65" s="13"/>
      <c r="CP65" s="13"/>
      <c r="CR65" s="16"/>
      <c r="CS65" s="15"/>
      <c r="CT65" s="14"/>
      <c r="CY65" s="40">
        <v>180</v>
      </c>
      <c r="CZ65" s="39">
        <f t="shared" si="71"/>
        <v>-26567700.000000019</v>
      </c>
      <c r="DA65" s="40">
        <v>330</v>
      </c>
      <c r="DB65" s="39">
        <f t="shared" si="72"/>
        <v>-370697700.00000006</v>
      </c>
      <c r="DD65" s="13"/>
      <c r="DE65" s="13"/>
      <c r="DF65" s="16"/>
      <c r="DG65" s="16"/>
      <c r="DH65" s="15"/>
      <c r="DI65" s="14"/>
      <c r="DO65" s="12" t="str">
        <f t="shared" si="101"/>
        <v>Pre GC</v>
      </c>
      <c r="DP65" s="12">
        <f t="shared" si="102"/>
        <v>44551</v>
      </c>
      <c r="DQ65" s="11">
        <f t="shared" si="103"/>
        <v>8.9958099803343181</v>
      </c>
      <c r="DR65" s="11">
        <f t="shared" si="104"/>
        <v>2</v>
      </c>
      <c r="DT65" s="13"/>
      <c r="DU65" s="13"/>
      <c r="EE65" s="12" t="str">
        <f t="shared" si="105"/>
        <v>Post GC</v>
      </c>
      <c r="EF65" s="12">
        <f t="shared" si="106"/>
        <v>44901</v>
      </c>
      <c r="EG65" s="11">
        <f t="shared" si="107"/>
        <v>24.007308373042882</v>
      </c>
      <c r="EH65" s="11">
        <f t="shared" si="108"/>
        <v>30</v>
      </c>
      <c r="EJ65" s="13"/>
      <c r="EK65" s="13"/>
      <c r="EL65" s="16"/>
      <c r="EM65" s="16"/>
      <c r="EN65" s="15"/>
      <c r="EO65" s="14"/>
      <c r="FD65" s="13"/>
      <c r="FE65" s="13"/>
    </row>
    <row r="66" spans="13:161" x14ac:dyDescent="0.25">
      <c r="M66" s="12" t="str">
        <f t="shared" si="81"/>
        <v>L12M</v>
      </c>
      <c r="N66" s="12">
        <f t="shared" si="82"/>
        <v>45223</v>
      </c>
      <c r="O66" s="11">
        <f t="shared" si="83"/>
        <v>8.4330546315546311</v>
      </c>
      <c r="P66" s="11">
        <f t="shared" si="84"/>
        <v>3</v>
      </c>
      <c r="Q66" s="13"/>
      <c r="R66" s="13"/>
      <c r="S66" s="13"/>
      <c r="AB66" s="12" t="str">
        <f t="shared" si="85"/>
        <v>FY19</v>
      </c>
      <c r="AC66" s="12">
        <f t="shared" si="86"/>
        <v>43431</v>
      </c>
      <c r="AD66" s="11">
        <f t="shared" si="87"/>
        <v>7.8442410275319583</v>
      </c>
      <c r="AE66" s="11">
        <f t="shared" si="88"/>
        <v>2</v>
      </c>
      <c r="AG66" s="13"/>
      <c r="AH66" s="13"/>
      <c r="AQ66" s="12" t="str">
        <f t="shared" si="89"/>
        <v>FY20</v>
      </c>
      <c r="AR66" s="12">
        <f t="shared" si="90"/>
        <v>43795</v>
      </c>
      <c r="AS66" s="11">
        <f t="shared" si="91"/>
        <v>8.4610106932153428</v>
      </c>
      <c r="AT66" s="11">
        <f t="shared" si="92"/>
        <v>2</v>
      </c>
      <c r="AV66" s="13"/>
      <c r="AW66" s="13"/>
      <c r="BF66" s="12" t="str">
        <f t="shared" si="93"/>
        <v>FY21</v>
      </c>
      <c r="BG66" s="12">
        <f t="shared" si="94"/>
        <v>44229</v>
      </c>
      <c r="BH66" s="11">
        <f t="shared" si="95"/>
        <v>34.741267207472966</v>
      </c>
      <c r="BI66" s="11">
        <f t="shared" si="96"/>
        <v>30</v>
      </c>
      <c r="BK66" s="13"/>
      <c r="BL66" s="13"/>
      <c r="BN66" s="16">
        <v>44446</v>
      </c>
      <c r="BO66" s="15">
        <v>18400582.841691252</v>
      </c>
      <c r="BP66" s="14">
        <v>10000000</v>
      </c>
      <c r="BU66" s="12" t="str">
        <f t="shared" si="97"/>
        <v>FY22</v>
      </c>
      <c r="BV66" s="12">
        <f t="shared" si="98"/>
        <v>44530</v>
      </c>
      <c r="BW66" s="11">
        <f t="shared" si="99"/>
        <v>20.637660152409055</v>
      </c>
      <c r="BX66" s="11">
        <f t="shared" si="100"/>
        <v>20</v>
      </c>
      <c r="BZ66" s="13"/>
      <c r="CA66" s="13"/>
      <c r="CC66" s="16">
        <v>45048</v>
      </c>
      <c r="CD66" s="15">
        <v>14635402.517902518</v>
      </c>
      <c r="CE66" s="14">
        <v>10000000</v>
      </c>
      <c r="CJ66" s="12" t="str">
        <f t="shared" si="109"/>
        <v>FY23</v>
      </c>
      <c r="CK66" s="12">
        <f t="shared" si="109"/>
        <v>45097</v>
      </c>
      <c r="CL66" s="11">
        <f t="shared" si="110"/>
        <v>7.8977346962346964</v>
      </c>
      <c r="CM66" s="11">
        <f t="shared" si="110"/>
        <v>3</v>
      </c>
      <c r="CO66" s="13"/>
      <c r="CP66" s="13"/>
      <c r="CR66" s="16"/>
      <c r="CS66" s="15"/>
      <c r="CT66" s="14"/>
      <c r="CY66" s="40">
        <v>190</v>
      </c>
      <c r="CZ66" s="39">
        <f t="shared" si="71"/>
        <v>-40549700.000000022</v>
      </c>
      <c r="DA66" s="40">
        <v>340</v>
      </c>
      <c r="DB66" s="39">
        <f t="shared" si="72"/>
        <v>-403879700.00000006</v>
      </c>
      <c r="DD66" s="13"/>
      <c r="DE66" s="13"/>
      <c r="DF66" s="16"/>
      <c r="DG66" s="16"/>
      <c r="DH66" s="15"/>
      <c r="DI66" s="14"/>
      <c r="DO66" s="12" t="str">
        <f t="shared" si="101"/>
        <v>Pre GC</v>
      </c>
      <c r="DP66" s="12">
        <f t="shared" si="102"/>
        <v>44544</v>
      </c>
      <c r="DQ66" s="11">
        <f t="shared" si="103"/>
        <v>9.652936455260571</v>
      </c>
      <c r="DR66" s="11">
        <f t="shared" si="104"/>
        <v>2</v>
      </c>
      <c r="DT66" s="13"/>
      <c r="DU66" s="13"/>
      <c r="EE66" s="12" t="str">
        <f t="shared" si="105"/>
        <v>Post GC</v>
      </c>
      <c r="EF66" s="12">
        <f t="shared" si="106"/>
        <v>44894</v>
      </c>
      <c r="EG66" s="11">
        <f t="shared" si="107"/>
        <v>19.316402995234853</v>
      </c>
      <c r="EH66" s="11">
        <f t="shared" si="108"/>
        <v>20</v>
      </c>
      <c r="EJ66" s="13"/>
      <c r="EK66" s="13"/>
      <c r="EL66" s="16"/>
      <c r="EM66" s="16"/>
      <c r="EN66" s="15"/>
      <c r="EO66" s="14"/>
      <c r="FD66" s="13"/>
      <c r="FE66" s="13"/>
    </row>
    <row r="67" spans="13:161" x14ac:dyDescent="0.25">
      <c r="M67" s="12" t="str">
        <f t="shared" si="81"/>
        <v>L12M</v>
      </c>
      <c r="N67" s="12">
        <f t="shared" si="82"/>
        <v>45216</v>
      </c>
      <c r="O67" s="11">
        <f t="shared" si="83"/>
        <v>26.420194848694845</v>
      </c>
      <c r="P67" s="11">
        <f t="shared" si="84"/>
        <v>30</v>
      </c>
      <c r="Q67" s="13"/>
      <c r="R67" s="13"/>
      <c r="S67" s="13"/>
      <c r="AB67" s="12" t="str">
        <f t="shared" si="85"/>
        <v>FY19</v>
      </c>
      <c r="AC67" s="12">
        <f t="shared" si="86"/>
        <v>43438</v>
      </c>
      <c r="AD67" s="11">
        <f t="shared" si="87"/>
        <v>7.4707037856440515</v>
      </c>
      <c r="AE67" s="11">
        <f t="shared" si="88"/>
        <v>2</v>
      </c>
      <c r="AG67" s="13"/>
      <c r="AH67" s="13"/>
      <c r="AQ67" s="12" t="str">
        <f t="shared" si="89"/>
        <v>FY20</v>
      </c>
      <c r="AR67" s="12">
        <f t="shared" si="90"/>
        <v>43802</v>
      </c>
      <c r="AS67" s="11">
        <f t="shared" si="91"/>
        <v>10.858241887905608</v>
      </c>
      <c r="AT67" s="11">
        <f t="shared" si="92"/>
        <v>5</v>
      </c>
      <c r="AV67" s="13"/>
      <c r="AW67" s="13"/>
      <c r="BF67" s="12" t="str">
        <f t="shared" si="93"/>
        <v>FY21</v>
      </c>
      <c r="BG67" s="12">
        <f t="shared" si="94"/>
        <v>44222</v>
      </c>
      <c r="BH67" s="11">
        <f t="shared" si="95"/>
        <v>25.500232177974436</v>
      </c>
      <c r="BI67" s="11">
        <f t="shared" si="96"/>
        <v>20</v>
      </c>
      <c r="BK67" s="13"/>
      <c r="BL67" s="13"/>
      <c r="BN67" s="16">
        <v>44453</v>
      </c>
      <c r="BO67" s="15">
        <v>26493046.091445435</v>
      </c>
      <c r="BP67" s="14">
        <v>20000000</v>
      </c>
      <c r="BU67" s="12" t="str">
        <f t="shared" si="97"/>
        <v>FY22</v>
      </c>
      <c r="BV67" s="12">
        <f t="shared" si="98"/>
        <v>44537</v>
      </c>
      <c r="BW67" s="11">
        <f t="shared" si="99"/>
        <v>32.741460176991154</v>
      </c>
      <c r="BX67" s="11">
        <f t="shared" si="100"/>
        <v>30</v>
      </c>
      <c r="BZ67" s="13"/>
      <c r="CA67" s="13"/>
      <c r="CC67" s="16">
        <v>45041</v>
      </c>
      <c r="CD67" s="15">
        <v>9725124.2781242765</v>
      </c>
      <c r="CE67" s="14">
        <v>5000000</v>
      </c>
      <c r="CJ67" s="12" t="str">
        <f t="shared" si="109"/>
        <v>FY23</v>
      </c>
      <c r="CK67" s="12">
        <f t="shared" si="109"/>
        <v>45090</v>
      </c>
      <c r="CL67" s="11">
        <f t="shared" si="110"/>
        <v>17.313915453915449</v>
      </c>
      <c r="CM67" s="11">
        <f t="shared" si="110"/>
        <v>20</v>
      </c>
      <c r="CO67" s="13"/>
      <c r="CP67" s="13"/>
      <c r="CR67" s="16"/>
      <c r="CS67" s="15"/>
      <c r="CT67" s="14"/>
      <c r="CY67" s="40">
        <v>200</v>
      </c>
      <c r="CZ67" s="39">
        <f t="shared" si="71"/>
        <v>-55811699.999999993</v>
      </c>
      <c r="DA67" s="40">
        <v>350</v>
      </c>
      <c r="DB67" s="39">
        <f t="shared" si="72"/>
        <v>-438341700</v>
      </c>
      <c r="DD67" s="13"/>
      <c r="DE67" s="13"/>
      <c r="DF67" s="16"/>
      <c r="DG67" s="16"/>
      <c r="DH67" s="15"/>
      <c r="DI67" s="14"/>
      <c r="DO67" s="12" t="str">
        <f t="shared" si="101"/>
        <v>Pre GC</v>
      </c>
      <c r="DP67" s="12">
        <f t="shared" si="102"/>
        <v>44537</v>
      </c>
      <c r="DQ67" s="11">
        <f t="shared" si="103"/>
        <v>32.741460176991154</v>
      </c>
      <c r="DR67" s="11">
        <f t="shared" si="104"/>
        <v>30</v>
      </c>
      <c r="DT67" s="13"/>
      <c r="DU67" s="13"/>
      <c r="EE67" s="12" t="str">
        <f t="shared" si="105"/>
        <v>Post GC</v>
      </c>
      <c r="EF67" s="12">
        <f t="shared" si="106"/>
        <v>44887</v>
      </c>
      <c r="EG67" s="11">
        <f t="shared" si="107"/>
        <v>12.652465963240299</v>
      </c>
      <c r="EH67" s="11">
        <f t="shared" si="108"/>
        <v>10</v>
      </c>
      <c r="EJ67" s="13"/>
      <c r="EK67" s="13"/>
      <c r="EL67" s="16"/>
      <c r="EM67" s="16"/>
      <c r="EN67" s="15"/>
      <c r="EO67" s="14"/>
      <c r="FD67" s="13"/>
      <c r="FE67" s="13"/>
    </row>
    <row r="68" spans="13:161" x14ac:dyDescent="0.25">
      <c r="M68" s="12" t="str">
        <f t="shared" si="81"/>
        <v>L12M</v>
      </c>
      <c r="N68" s="12">
        <f t="shared" si="82"/>
        <v>45209</v>
      </c>
      <c r="O68" s="11">
        <f t="shared" si="83"/>
        <v>21.005378840378839</v>
      </c>
      <c r="P68" s="11">
        <f t="shared" si="84"/>
        <v>20</v>
      </c>
      <c r="Q68" s="13"/>
      <c r="R68" s="13"/>
      <c r="S68" s="13"/>
      <c r="AB68" s="12" t="str">
        <f t="shared" si="85"/>
        <v>FY19</v>
      </c>
      <c r="AC68" s="12">
        <f t="shared" si="86"/>
        <v>43445</v>
      </c>
      <c r="AD68" s="11">
        <f t="shared" si="87"/>
        <v>7.1719990167158327</v>
      </c>
      <c r="AE68" s="11">
        <f t="shared" si="88"/>
        <v>2</v>
      </c>
      <c r="AG68" s="13"/>
      <c r="AH68" s="13"/>
      <c r="AQ68" s="12" t="str">
        <f t="shared" si="89"/>
        <v>FY20</v>
      </c>
      <c r="AR68" s="12">
        <f t="shared" si="90"/>
        <v>43809</v>
      </c>
      <c r="AS68" s="11">
        <f t="shared" si="91"/>
        <v>14.885551007866272</v>
      </c>
      <c r="AT68" s="11">
        <f t="shared" si="92"/>
        <v>10</v>
      </c>
      <c r="AV68" s="13"/>
      <c r="AW68" s="13"/>
      <c r="BF68" s="12" t="str">
        <f t="shared" si="93"/>
        <v>FY21</v>
      </c>
      <c r="BG68" s="12">
        <f t="shared" si="94"/>
        <v>44215</v>
      </c>
      <c r="BH68" s="11">
        <f t="shared" si="95"/>
        <v>17.438672812192728</v>
      </c>
      <c r="BI68" s="11">
        <f t="shared" si="96"/>
        <v>10</v>
      </c>
      <c r="BK68" s="13"/>
      <c r="BL68" s="13"/>
      <c r="BN68" s="16">
        <v>44460</v>
      </c>
      <c r="BO68" s="15">
        <v>37092954.400196664</v>
      </c>
      <c r="BP68" s="14">
        <v>30000000</v>
      </c>
      <c r="BU68" s="12" t="str">
        <f t="shared" si="97"/>
        <v>FY22</v>
      </c>
      <c r="BV68" s="12">
        <f t="shared" si="98"/>
        <v>44544</v>
      </c>
      <c r="BW68" s="11">
        <f t="shared" si="99"/>
        <v>9.652936455260571</v>
      </c>
      <c r="BX68" s="11">
        <f t="shared" si="100"/>
        <v>2</v>
      </c>
      <c r="BZ68" s="13"/>
      <c r="CA68" s="13"/>
      <c r="CC68" s="16">
        <v>45034</v>
      </c>
      <c r="CD68" s="15">
        <v>9270009.4710094687</v>
      </c>
      <c r="CE68" s="14">
        <v>3000000</v>
      </c>
      <c r="CJ68" s="12" t="str">
        <f t="shared" si="109"/>
        <v>FY23</v>
      </c>
      <c r="CK68" s="12">
        <f t="shared" si="109"/>
        <v>45083</v>
      </c>
      <c r="CL68" s="11">
        <f t="shared" si="110"/>
        <v>13.397146454146457</v>
      </c>
      <c r="CM68" s="11">
        <f t="shared" si="110"/>
        <v>10</v>
      </c>
      <c r="CO68" s="13"/>
      <c r="CP68" s="13"/>
      <c r="CR68" s="16"/>
      <c r="CS68" s="15"/>
      <c r="CT68" s="14"/>
      <c r="CY68" s="40"/>
      <c r="CZ68" s="39"/>
      <c r="DA68" s="40"/>
      <c r="DB68" s="39"/>
      <c r="DD68" s="13"/>
      <c r="DE68" s="13"/>
      <c r="DF68" s="16"/>
      <c r="DG68" s="16"/>
      <c r="DH68" s="15"/>
      <c r="DI68" s="14"/>
      <c r="DO68" s="12" t="str">
        <f t="shared" si="101"/>
        <v>Pre GC</v>
      </c>
      <c r="DP68" s="12">
        <f t="shared" si="102"/>
        <v>44530</v>
      </c>
      <c r="DQ68" s="11">
        <f t="shared" si="103"/>
        <v>20.637660152409055</v>
      </c>
      <c r="DR68" s="11">
        <f t="shared" si="104"/>
        <v>20</v>
      </c>
      <c r="DT68" s="13"/>
      <c r="DU68" s="13"/>
      <c r="EE68" s="12" t="str">
        <f t="shared" si="105"/>
        <v>Post GC</v>
      </c>
      <c r="EF68" s="12">
        <f t="shared" si="106"/>
        <v>44880</v>
      </c>
      <c r="EG68" s="11">
        <f t="shared" si="107"/>
        <v>14.048715452688906</v>
      </c>
      <c r="EH68" s="11">
        <f t="shared" si="108"/>
        <v>5</v>
      </c>
      <c r="EJ68" s="13"/>
      <c r="EK68" s="13"/>
      <c r="EL68" s="16"/>
      <c r="EM68" s="16"/>
      <c r="EN68" s="15"/>
      <c r="EO68" s="14"/>
      <c r="FD68" s="13"/>
      <c r="FE68" s="13"/>
    </row>
    <row r="69" spans="13:161" x14ac:dyDescent="0.25">
      <c r="M69" s="12" t="str">
        <f t="shared" si="81"/>
        <v>L12M</v>
      </c>
      <c r="N69" s="12">
        <f t="shared" si="82"/>
        <v>45202</v>
      </c>
      <c r="O69" s="11">
        <f t="shared" si="83"/>
        <v>14.203781011781011</v>
      </c>
      <c r="P69" s="11">
        <f t="shared" si="84"/>
        <v>15</v>
      </c>
      <c r="Q69" s="13"/>
      <c r="R69" s="13"/>
      <c r="S69" s="13"/>
      <c r="AB69" s="12" t="str">
        <f t="shared" si="85"/>
        <v>FY19</v>
      </c>
      <c r="AC69" s="12">
        <f t="shared" si="86"/>
        <v>43452</v>
      </c>
      <c r="AD69" s="11">
        <f t="shared" si="87"/>
        <v>8.9102823254670618</v>
      </c>
      <c r="AE69" s="11">
        <f t="shared" si="88"/>
        <v>5</v>
      </c>
      <c r="AG69" s="13"/>
      <c r="AH69" s="13"/>
      <c r="AQ69" s="12" t="str">
        <f t="shared" si="89"/>
        <v>FY20</v>
      </c>
      <c r="AR69" s="12">
        <f t="shared" si="90"/>
        <v>43816</v>
      </c>
      <c r="AS69" s="11">
        <f t="shared" si="91"/>
        <v>17.512230211406102</v>
      </c>
      <c r="AT69" s="11">
        <f t="shared" si="92"/>
        <v>15</v>
      </c>
      <c r="AV69" s="13"/>
      <c r="AW69" s="13"/>
      <c r="BF69" s="12" t="str">
        <f t="shared" si="93"/>
        <v>FY21</v>
      </c>
      <c r="BG69" s="12">
        <f t="shared" si="94"/>
        <v>44208</v>
      </c>
      <c r="BH69" s="11">
        <f t="shared" si="95"/>
        <v>12.002894051130779</v>
      </c>
      <c r="BI69" s="11">
        <f t="shared" si="96"/>
        <v>5</v>
      </c>
      <c r="BK69" s="13"/>
      <c r="BL69" s="13"/>
      <c r="BN69" s="16">
        <v>44467</v>
      </c>
      <c r="BO69" s="15">
        <v>9819176.2536873184</v>
      </c>
      <c r="BP69" s="14">
        <v>2000000</v>
      </c>
      <c r="BU69" s="12" t="str">
        <f t="shared" si="97"/>
        <v>FY22</v>
      </c>
      <c r="BV69" s="12">
        <f t="shared" si="98"/>
        <v>44551</v>
      </c>
      <c r="BW69" s="11">
        <f t="shared" si="99"/>
        <v>8.9958099803343181</v>
      </c>
      <c r="BX69" s="11">
        <f t="shared" si="100"/>
        <v>2</v>
      </c>
      <c r="BZ69" s="13"/>
      <c r="CA69" s="13"/>
      <c r="CC69" s="16">
        <v>45027</v>
      </c>
      <c r="CD69" s="15">
        <v>24316174.405174401</v>
      </c>
      <c r="CE69" s="14">
        <v>30000000</v>
      </c>
      <c r="CJ69" s="12" t="str">
        <f t="shared" si="109"/>
        <v>FY23</v>
      </c>
      <c r="CK69" s="12">
        <f t="shared" si="109"/>
        <v>45076</v>
      </c>
      <c r="CL69" s="11">
        <f t="shared" si="110"/>
        <v>9.865218988218988</v>
      </c>
      <c r="CM69" s="11">
        <f t="shared" si="110"/>
        <v>5</v>
      </c>
      <c r="CO69" s="13"/>
      <c r="CP69" s="13"/>
      <c r="CR69" s="16"/>
      <c r="CS69" s="15"/>
      <c r="CT69" s="14"/>
      <c r="CY69" s="60" t="s">
        <v>51</v>
      </c>
      <c r="CZ69" s="39"/>
      <c r="DA69" s="40"/>
      <c r="DB69" s="39"/>
      <c r="DD69" s="13"/>
      <c r="DE69" s="13"/>
      <c r="DF69" s="16"/>
      <c r="DG69" s="16"/>
      <c r="DH69" s="15"/>
      <c r="DI69" s="14"/>
      <c r="DO69" s="12" t="str">
        <f t="shared" si="101"/>
        <v>Pre GC</v>
      </c>
      <c r="DP69" s="12">
        <f t="shared" si="102"/>
        <v>44523</v>
      </c>
      <c r="DQ69" s="11">
        <f t="shared" si="103"/>
        <v>16.019015363815146</v>
      </c>
      <c r="DR69" s="11">
        <f t="shared" si="104"/>
        <v>10</v>
      </c>
      <c r="DT69" s="13"/>
      <c r="DU69" s="13"/>
      <c r="EE69" s="12" t="str">
        <f t="shared" si="105"/>
        <v>Post GC</v>
      </c>
      <c r="EF69" s="12">
        <f t="shared" si="106"/>
        <v>44873</v>
      </c>
      <c r="EG69" s="11">
        <f t="shared" si="107"/>
        <v>8.8209846834581356</v>
      </c>
      <c r="EH69" s="11">
        <f t="shared" si="108"/>
        <v>3</v>
      </c>
      <c r="EJ69" s="13"/>
      <c r="EK69" s="13"/>
      <c r="EL69" s="16"/>
      <c r="EM69" s="16"/>
      <c r="EN69" s="15"/>
      <c r="EO69" s="14"/>
      <c r="FD69" s="13"/>
      <c r="FE69" s="13"/>
    </row>
    <row r="70" spans="13:161" x14ac:dyDescent="0.25">
      <c r="M70" s="12" t="str">
        <f t="shared" si="81"/>
        <v>L12M</v>
      </c>
      <c r="N70" s="12">
        <f t="shared" si="82"/>
        <v>45195</v>
      </c>
      <c r="O70" s="11">
        <f t="shared" si="83"/>
        <v>12.154527258027258</v>
      </c>
      <c r="P70" s="11">
        <f t="shared" si="84"/>
        <v>10</v>
      </c>
      <c r="Q70" s="13"/>
      <c r="R70" s="13"/>
      <c r="S70" s="13"/>
      <c r="AB70" s="12" t="str">
        <f t="shared" si="85"/>
        <v>FY19</v>
      </c>
      <c r="AC70" s="12">
        <f t="shared" si="86"/>
        <v>43459</v>
      </c>
      <c r="AD70" s="11">
        <f t="shared" si="87"/>
        <v>11.618528392330388</v>
      </c>
      <c r="AE70" s="11">
        <f t="shared" si="88"/>
        <v>10</v>
      </c>
      <c r="AG70" s="13"/>
      <c r="AH70" s="13"/>
      <c r="AQ70" s="12" t="str">
        <f t="shared" si="89"/>
        <v>FY20</v>
      </c>
      <c r="AR70" s="12">
        <f t="shared" si="90"/>
        <v>43823</v>
      </c>
      <c r="AS70" s="11">
        <f t="shared" si="91"/>
        <v>21.870114798426748</v>
      </c>
      <c r="AT70" s="11">
        <f t="shared" si="92"/>
        <v>20</v>
      </c>
      <c r="AV70" s="13"/>
      <c r="AW70" s="13"/>
      <c r="BF70" s="12" t="str">
        <f t="shared" si="93"/>
        <v>FY21</v>
      </c>
      <c r="BG70" s="12">
        <f t="shared" si="94"/>
        <v>44201</v>
      </c>
      <c r="BH70" s="11">
        <f t="shared" si="95"/>
        <v>9.4192496312684373</v>
      </c>
      <c r="BI70" s="11">
        <f t="shared" si="96"/>
        <v>2</v>
      </c>
      <c r="BK70" s="13"/>
      <c r="BL70" s="13"/>
      <c r="BN70" s="16">
        <v>44474</v>
      </c>
      <c r="BO70" s="15">
        <v>12042942.232055068</v>
      </c>
      <c r="BP70" s="14">
        <v>5000000</v>
      </c>
      <c r="BU70" s="12" t="str">
        <f t="shared" si="97"/>
        <v>FY22</v>
      </c>
      <c r="BV70" s="12">
        <f t="shared" si="98"/>
        <v>44558</v>
      </c>
      <c r="BW70" s="11">
        <f t="shared" si="99"/>
        <v>9.6615446165191727</v>
      </c>
      <c r="BX70" s="11">
        <f t="shared" si="100"/>
        <v>5</v>
      </c>
      <c r="BZ70" s="13"/>
      <c r="CA70" s="13"/>
      <c r="CC70" s="16">
        <v>45020</v>
      </c>
      <c r="CD70" s="15">
        <v>20387653.730653729</v>
      </c>
      <c r="CE70" s="14">
        <v>20000000</v>
      </c>
      <c r="CJ70" s="12" t="str">
        <f t="shared" si="109"/>
        <v>FY23</v>
      </c>
      <c r="CK70" s="12">
        <f t="shared" si="109"/>
        <v>45069</v>
      </c>
      <c r="CL70" s="11">
        <f t="shared" si="110"/>
        <v>8.7031183876183871</v>
      </c>
      <c r="CM70" s="11">
        <f t="shared" si="110"/>
        <v>3</v>
      </c>
      <c r="CO70" s="13"/>
      <c r="CP70" s="13"/>
      <c r="CR70" s="16"/>
      <c r="CS70" s="15"/>
      <c r="CT70" s="14"/>
      <c r="CY70" s="59">
        <v>4.0000000000000002E-4</v>
      </c>
      <c r="CZ70" s="59">
        <v>-3.3500000000000002E-2</v>
      </c>
      <c r="DA70" s="59">
        <v>1.4722</v>
      </c>
      <c r="DB70" s="59">
        <v>4.3783000000000003</v>
      </c>
      <c r="DD70" s="13"/>
      <c r="DE70" s="13"/>
      <c r="DO70" s="12" t="str">
        <f t="shared" si="101"/>
        <v>Pre GC</v>
      </c>
      <c r="DP70" s="12">
        <f t="shared" si="102"/>
        <v>44516</v>
      </c>
      <c r="DQ70" s="11">
        <f t="shared" si="103"/>
        <v>11.567999016715834</v>
      </c>
      <c r="DR70" s="11">
        <f t="shared" si="104"/>
        <v>5</v>
      </c>
      <c r="DT70" s="13"/>
      <c r="DU70" s="13"/>
      <c r="EE70" s="12" t="str">
        <f t="shared" si="105"/>
        <v>Post GC</v>
      </c>
      <c r="EF70" s="12">
        <f t="shared" si="106"/>
        <v>44866</v>
      </c>
      <c r="EG70" s="11">
        <f t="shared" si="107"/>
        <v>24.033234286362607</v>
      </c>
      <c r="EH70" s="11">
        <f t="shared" si="108"/>
        <v>20</v>
      </c>
      <c r="EJ70" s="13"/>
      <c r="EK70" s="13"/>
      <c r="FD70" s="13"/>
      <c r="FE70" s="13"/>
    </row>
    <row r="71" spans="13:161" x14ac:dyDescent="0.25">
      <c r="M71" s="12" t="str">
        <f t="shared" si="81"/>
        <v>L12M</v>
      </c>
      <c r="N71" s="12">
        <f t="shared" si="82"/>
        <v>45188</v>
      </c>
      <c r="O71" s="11">
        <f t="shared" si="83"/>
        <v>9.2081954261954255</v>
      </c>
      <c r="P71" s="11">
        <f t="shared" si="84"/>
        <v>5</v>
      </c>
      <c r="Q71" s="13"/>
      <c r="R71" s="13"/>
      <c r="S71" s="13"/>
      <c r="AB71" s="12" t="str">
        <f t="shared" si="85"/>
        <v>FY19</v>
      </c>
      <c r="AC71" s="12">
        <f t="shared" si="86"/>
        <v>43466</v>
      </c>
      <c r="AD71" s="11">
        <f t="shared" si="87"/>
        <v>6.3681119714847609</v>
      </c>
      <c r="AE71" s="11">
        <f t="shared" si="88"/>
        <v>2</v>
      </c>
      <c r="AG71" s="13"/>
      <c r="AH71" s="13"/>
      <c r="AQ71" s="12" t="str">
        <f t="shared" si="89"/>
        <v>FY20</v>
      </c>
      <c r="AR71" s="12">
        <f t="shared" si="90"/>
        <v>43830</v>
      </c>
      <c r="AS71" s="11">
        <f t="shared" si="91"/>
        <v>10.706460545722717</v>
      </c>
      <c r="AT71" s="11">
        <f t="shared" si="92"/>
        <v>2</v>
      </c>
      <c r="AV71" s="13"/>
      <c r="AW71" s="13"/>
      <c r="BF71" s="12" t="str">
        <f t="shared" si="93"/>
        <v>FY21</v>
      </c>
      <c r="BG71" s="12">
        <f t="shared" si="94"/>
        <v>44194</v>
      </c>
      <c r="BH71" s="11">
        <f t="shared" si="95"/>
        <v>17.519683136676502</v>
      </c>
      <c r="BI71" s="11">
        <f t="shared" si="96"/>
        <v>10</v>
      </c>
      <c r="BK71" s="13"/>
      <c r="BL71" s="13"/>
      <c r="BN71" s="16">
        <v>44481</v>
      </c>
      <c r="BO71" s="15">
        <v>16350092.305801379</v>
      </c>
      <c r="BP71" s="14">
        <v>10000000</v>
      </c>
      <c r="BU71" s="12" t="str">
        <f t="shared" si="97"/>
        <v>FY22</v>
      </c>
      <c r="BV71" s="12">
        <f t="shared" si="98"/>
        <v>44565</v>
      </c>
      <c r="BW71" s="11">
        <f t="shared" si="99"/>
        <v>14.668907325467062</v>
      </c>
      <c r="BX71" s="11">
        <f t="shared" si="100"/>
        <v>10</v>
      </c>
      <c r="BZ71" s="13"/>
      <c r="CA71" s="13"/>
      <c r="CC71" s="16">
        <v>45013</v>
      </c>
      <c r="CD71" s="15">
        <v>14791094.479094479</v>
      </c>
      <c r="CE71" s="14">
        <v>10000000</v>
      </c>
      <c r="CJ71" s="12" t="str">
        <f t="shared" si="109"/>
        <v>FY23</v>
      </c>
      <c r="CK71" s="12">
        <f t="shared" si="109"/>
        <v>45062</v>
      </c>
      <c r="CL71" s="11">
        <f t="shared" si="110"/>
        <v>29.237498960498957</v>
      </c>
      <c r="CM71" s="11">
        <f t="shared" si="110"/>
        <v>30</v>
      </c>
      <c r="CO71" s="13"/>
      <c r="CP71" s="13"/>
      <c r="CR71" s="16"/>
      <c r="CS71" s="15"/>
      <c r="CT71" s="14"/>
      <c r="DD71" s="13"/>
      <c r="DE71" s="13"/>
      <c r="DO71" s="12" t="str">
        <f t="shared" si="101"/>
        <v>Pre GC</v>
      </c>
      <c r="DP71" s="12">
        <f t="shared" si="102"/>
        <v>44509</v>
      </c>
      <c r="DQ71" s="11">
        <f t="shared" si="103"/>
        <v>9.6240651425762085</v>
      </c>
      <c r="DR71" s="11">
        <f t="shared" si="104"/>
        <v>2</v>
      </c>
      <c r="DT71" s="13"/>
      <c r="DU71" s="13"/>
      <c r="EE71" s="12" t="str">
        <f t="shared" si="105"/>
        <v>Post GC</v>
      </c>
      <c r="EF71" s="12">
        <f t="shared" si="106"/>
        <v>44859</v>
      </c>
      <c r="EG71" s="11">
        <f t="shared" si="107"/>
        <v>12.969386884501931</v>
      </c>
      <c r="EH71" s="11">
        <f t="shared" si="108"/>
        <v>10</v>
      </c>
      <c r="EJ71" s="13"/>
      <c r="EK71" s="13"/>
      <c r="FD71" s="13"/>
      <c r="FE71" s="13"/>
    </row>
    <row r="72" spans="13:161" x14ac:dyDescent="0.25">
      <c r="M72" s="12" t="str">
        <f t="shared" si="81"/>
        <v>L12M</v>
      </c>
      <c r="N72" s="12">
        <f t="shared" si="82"/>
        <v>45181</v>
      </c>
      <c r="O72" s="11">
        <f t="shared" si="83"/>
        <v>8.3208568953568953</v>
      </c>
      <c r="P72" s="11">
        <f t="shared" si="84"/>
        <v>3</v>
      </c>
      <c r="Q72" s="13"/>
      <c r="R72" s="13"/>
      <c r="S72" s="13"/>
      <c r="AB72" s="12" t="str">
        <f t="shared" si="85"/>
        <v>FY19</v>
      </c>
      <c r="AC72" s="12">
        <f t="shared" si="86"/>
        <v>43473</v>
      </c>
      <c r="AD72" s="11">
        <f t="shared" si="87"/>
        <v>8.7692042772861374</v>
      </c>
      <c r="AE72" s="11">
        <f t="shared" si="88"/>
        <v>5</v>
      </c>
      <c r="AG72" s="13"/>
      <c r="AH72" s="13"/>
      <c r="AQ72" s="12" t="str">
        <f t="shared" si="89"/>
        <v>FY20</v>
      </c>
      <c r="AR72" s="12">
        <f t="shared" si="90"/>
        <v>43837</v>
      </c>
      <c r="AS72" s="11">
        <f t="shared" si="91"/>
        <v>11.340723574237956</v>
      </c>
      <c r="AT72" s="11">
        <f t="shared" si="92"/>
        <v>5</v>
      </c>
      <c r="AV72" s="13"/>
      <c r="AW72" s="13"/>
      <c r="BF72" s="12" t="str">
        <f t="shared" si="93"/>
        <v>FY21</v>
      </c>
      <c r="BG72" s="12">
        <f t="shared" si="94"/>
        <v>44187</v>
      </c>
      <c r="BH72" s="11">
        <f t="shared" si="95"/>
        <v>12.438482669616521</v>
      </c>
      <c r="BI72" s="11">
        <f t="shared" si="96"/>
        <v>5</v>
      </c>
      <c r="BK72" s="13"/>
      <c r="BL72" s="13"/>
      <c r="BN72" s="16">
        <v>44488</v>
      </c>
      <c r="BO72" s="15">
        <v>21203085.422812197</v>
      </c>
      <c r="BP72" s="14">
        <v>20000000</v>
      </c>
      <c r="BU72" s="12" t="str">
        <f t="shared" si="97"/>
        <v>FY22</v>
      </c>
      <c r="BV72" s="12">
        <f t="shared" si="98"/>
        <v>44572</v>
      </c>
      <c r="BW72" s="11">
        <f t="shared" si="99"/>
        <v>24.718907694198627</v>
      </c>
      <c r="BX72" s="11">
        <f t="shared" si="100"/>
        <v>20</v>
      </c>
      <c r="BZ72" s="13"/>
      <c r="CA72" s="13"/>
      <c r="CC72" s="16">
        <v>45006</v>
      </c>
      <c r="CD72" s="15">
        <v>10052417.532917533</v>
      </c>
      <c r="CE72" s="14">
        <v>5000000</v>
      </c>
      <c r="CJ72" s="12" t="str">
        <f t="shared" si="109"/>
        <v>FY23</v>
      </c>
      <c r="CK72" s="12">
        <f t="shared" si="109"/>
        <v>45055</v>
      </c>
      <c r="CL72" s="11">
        <f t="shared" si="110"/>
        <v>21.594296604296606</v>
      </c>
      <c r="CM72" s="11">
        <f t="shared" si="110"/>
        <v>20</v>
      </c>
      <c r="CO72" s="13"/>
      <c r="CP72" s="13"/>
      <c r="CR72" s="16"/>
      <c r="CS72" s="15"/>
      <c r="CT72" s="14"/>
      <c r="CY72" s="2" t="s">
        <v>41</v>
      </c>
      <c r="CZ72" s="2" t="s">
        <v>25</v>
      </c>
      <c r="DD72" s="13"/>
      <c r="DE72" s="13"/>
      <c r="DO72" s="12" t="str">
        <f t="shared" si="101"/>
        <v>Pre GC</v>
      </c>
      <c r="DP72" s="12">
        <f t="shared" si="102"/>
        <v>44502</v>
      </c>
      <c r="DQ72" s="11">
        <f t="shared" si="103"/>
        <v>50.284365290068827</v>
      </c>
      <c r="DR72" s="11">
        <f t="shared" si="104"/>
        <v>50</v>
      </c>
      <c r="DT72" s="13"/>
      <c r="DU72" s="13"/>
      <c r="EE72" s="12" t="str">
        <f t="shared" si="105"/>
        <v>Post GC</v>
      </c>
      <c r="EF72" s="12">
        <f t="shared" si="106"/>
        <v>44852</v>
      </c>
      <c r="EG72" s="11">
        <f t="shared" si="107"/>
        <v>9.1472853415021582</v>
      </c>
      <c r="EH72" s="11">
        <f t="shared" si="108"/>
        <v>5</v>
      </c>
      <c r="EJ72" s="13"/>
      <c r="EK72" s="13"/>
      <c r="FD72" s="13"/>
      <c r="FE72" s="13"/>
    </row>
    <row r="73" spans="13:161" x14ac:dyDescent="0.25">
      <c r="M73" s="12" t="str">
        <f t="shared" si="81"/>
        <v>L12M</v>
      </c>
      <c r="N73" s="12">
        <f t="shared" si="82"/>
        <v>45174</v>
      </c>
      <c r="O73" s="11">
        <f t="shared" si="83"/>
        <v>14.653323169323169</v>
      </c>
      <c r="P73" s="11">
        <f t="shared" si="84"/>
        <v>10</v>
      </c>
      <c r="Q73" s="13"/>
      <c r="R73" s="13"/>
      <c r="S73" s="13"/>
      <c r="AB73" s="12" t="str">
        <f t="shared" si="85"/>
        <v>FY19</v>
      </c>
      <c r="AC73" s="12">
        <f t="shared" si="86"/>
        <v>43480</v>
      </c>
      <c r="AD73" s="11">
        <f t="shared" si="87"/>
        <v>12.843387659783678</v>
      </c>
      <c r="AE73" s="11">
        <f t="shared" si="88"/>
        <v>10</v>
      </c>
      <c r="AG73" s="13"/>
      <c r="AH73" s="13"/>
      <c r="AQ73" s="12" t="str">
        <f t="shared" si="89"/>
        <v>FY20</v>
      </c>
      <c r="AR73" s="12">
        <f t="shared" si="90"/>
        <v>43844</v>
      </c>
      <c r="AS73" s="11">
        <f t="shared" si="91"/>
        <v>16.341286873156346</v>
      </c>
      <c r="AT73" s="11">
        <f t="shared" si="92"/>
        <v>10</v>
      </c>
      <c r="AV73" s="13"/>
      <c r="AW73" s="13"/>
      <c r="BF73" s="12" t="str">
        <f t="shared" si="93"/>
        <v>FY21</v>
      </c>
      <c r="BG73" s="12">
        <f t="shared" si="94"/>
        <v>44180</v>
      </c>
      <c r="BH73" s="11">
        <f t="shared" si="95"/>
        <v>8.8995133972468068</v>
      </c>
      <c r="BI73" s="11">
        <f t="shared" si="96"/>
        <v>2</v>
      </c>
      <c r="BK73" s="13"/>
      <c r="BL73" s="13"/>
      <c r="BN73" s="16">
        <v>44495</v>
      </c>
      <c r="BO73" s="15">
        <v>33086930.063913479</v>
      </c>
      <c r="BP73" s="14">
        <v>30000000</v>
      </c>
      <c r="BU73" s="12" t="str">
        <f t="shared" si="97"/>
        <v>FY22</v>
      </c>
      <c r="BV73" s="12">
        <f t="shared" si="98"/>
        <v>44579</v>
      </c>
      <c r="BW73" s="11">
        <f t="shared" si="99"/>
        <v>32.041685594886928</v>
      </c>
      <c r="BX73" s="11">
        <f t="shared" si="100"/>
        <v>30</v>
      </c>
      <c r="BZ73" s="13"/>
      <c r="CA73" s="13"/>
      <c r="CC73" s="16">
        <v>44999</v>
      </c>
      <c r="CD73" s="15">
        <v>9041554.6315546297</v>
      </c>
      <c r="CE73" s="14">
        <v>3000000</v>
      </c>
      <c r="CJ73" s="12" t="str">
        <f t="shared" si="109"/>
        <v>FY23</v>
      </c>
      <c r="CK73" s="12">
        <f t="shared" si="109"/>
        <v>45048</v>
      </c>
      <c r="CL73" s="11">
        <f t="shared" si="110"/>
        <v>14.635402517902518</v>
      </c>
      <c r="CM73" s="11">
        <f t="shared" si="110"/>
        <v>10</v>
      </c>
      <c r="CO73" s="13"/>
      <c r="CP73" s="13"/>
      <c r="CR73" s="16"/>
      <c r="CS73" s="15"/>
      <c r="CT73" s="14"/>
      <c r="CY73" s="40">
        <v>60</v>
      </c>
      <c r="CZ73" s="39">
        <f>($CJ$45*CY73^3+$CK$45*CY73^2+$CL$45*CY73+$CM$45)*1000000</f>
        <v>58510299.999999993</v>
      </c>
      <c r="DA73" s="40">
        <v>210</v>
      </c>
      <c r="DB73" s="39">
        <f>($CJ$45*DA73^3+$CK$45*DA73^2+$CL$45*DA73+$CM$45)*1000000</f>
        <v>2540590300</v>
      </c>
      <c r="DD73" s="13"/>
      <c r="DE73" s="13"/>
      <c r="DO73" s="12" t="str">
        <f t="shared" si="101"/>
        <v>Pre GC</v>
      </c>
      <c r="DP73" s="12">
        <f t="shared" si="102"/>
        <v>44495</v>
      </c>
      <c r="DQ73" s="11">
        <f t="shared" si="103"/>
        <v>33.086930063913478</v>
      </c>
      <c r="DR73" s="11">
        <f t="shared" si="104"/>
        <v>30</v>
      </c>
      <c r="DT73" s="13"/>
      <c r="DU73" s="13"/>
      <c r="EE73" s="12" t="str">
        <f t="shared" si="105"/>
        <v>Post GC</v>
      </c>
      <c r="EF73" s="12">
        <f t="shared" si="106"/>
        <v>44845</v>
      </c>
      <c r="EG73" s="11">
        <f t="shared" si="107"/>
        <v>8.5423063308373059</v>
      </c>
      <c r="EH73" s="11">
        <f t="shared" si="108"/>
        <v>3</v>
      </c>
      <c r="EJ73" s="13"/>
      <c r="EK73" s="13"/>
      <c r="FD73" s="13"/>
      <c r="FE73" s="13"/>
    </row>
    <row r="74" spans="13:161" x14ac:dyDescent="0.25">
      <c r="M74" s="12" t="str">
        <f t="shared" si="81"/>
        <v>L12M</v>
      </c>
      <c r="N74" s="12">
        <f t="shared" si="82"/>
        <v>45167</v>
      </c>
      <c r="O74" s="11">
        <f t="shared" si="83"/>
        <v>9.2930704550704544</v>
      </c>
      <c r="P74" s="11">
        <f t="shared" si="84"/>
        <v>5</v>
      </c>
      <c r="Q74" s="13"/>
      <c r="R74" s="13"/>
      <c r="S74" s="13"/>
      <c r="AB74" s="12" t="str">
        <f t="shared" si="85"/>
        <v>FY19</v>
      </c>
      <c r="AC74" s="12">
        <f t="shared" si="86"/>
        <v>43487</v>
      </c>
      <c r="AD74" s="11">
        <f t="shared" si="87"/>
        <v>21.724946165191749</v>
      </c>
      <c r="AE74" s="11">
        <f t="shared" si="88"/>
        <v>15</v>
      </c>
      <c r="AG74" s="13"/>
      <c r="AH74" s="13"/>
      <c r="AQ74" s="12" t="str">
        <f t="shared" si="89"/>
        <v>FY20</v>
      </c>
      <c r="AR74" s="12">
        <f t="shared" si="90"/>
        <v>43851</v>
      </c>
      <c r="AS74" s="11">
        <f t="shared" si="91"/>
        <v>7.9494464110127838</v>
      </c>
      <c r="AT74" s="11">
        <f t="shared" si="92"/>
        <v>2</v>
      </c>
      <c r="AV74" s="13"/>
      <c r="AW74" s="13"/>
      <c r="BF74" s="12" t="str">
        <f t="shared" si="93"/>
        <v>FY21</v>
      </c>
      <c r="BG74" s="12">
        <f t="shared" si="94"/>
        <v>44173</v>
      </c>
      <c r="BH74" s="11">
        <f t="shared" si="95"/>
        <v>12.264618362831861</v>
      </c>
      <c r="BI74" s="11">
        <f t="shared" si="96"/>
        <v>5</v>
      </c>
      <c r="BK74" s="13"/>
      <c r="BL74" s="13"/>
      <c r="BN74" s="16">
        <v>44502</v>
      </c>
      <c r="BO74" s="15">
        <v>50284365.290068828</v>
      </c>
      <c r="BP74" s="14">
        <v>50000000</v>
      </c>
      <c r="BU74" s="12" t="str">
        <f t="shared" si="97"/>
        <v>FY22</v>
      </c>
      <c r="BV74" s="12">
        <f t="shared" si="98"/>
        <v>44586</v>
      </c>
      <c r="BW74" s="11">
        <f t="shared" si="99"/>
        <v>46.351200835791552</v>
      </c>
      <c r="BX74" s="11">
        <f t="shared" si="100"/>
        <v>50</v>
      </c>
      <c r="BZ74" s="13"/>
      <c r="CA74" s="13"/>
      <c r="CC74" s="16">
        <v>44992</v>
      </c>
      <c r="CD74" s="15">
        <v>21058703.164703164</v>
      </c>
      <c r="CE74" s="14">
        <v>20000000</v>
      </c>
      <c r="CJ74" s="12" t="str">
        <f t="shared" si="109"/>
        <v>FY23</v>
      </c>
      <c r="CK74" s="12">
        <f t="shared" si="109"/>
        <v>45041</v>
      </c>
      <c r="CL74" s="11">
        <f t="shared" si="110"/>
        <v>9.7251242781242766</v>
      </c>
      <c r="CM74" s="11">
        <f t="shared" si="110"/>
        <v>5</v>
      </c>
      <c r="CO74" s="13"/>
      <c r="CP74" s="13"/>
      <c r="CR74" s="16"/>
      <c r="CS74" s="15"/>
      <c r="CT74" s="14"/>
      <c r="CY74" s="40">
        <v>70</v>
      </c>
      <c r="CZ74" s="39">
        <f t="shared" ref="CZ74:CZ87" si="111">($CJ$45*CY74^3+$CK$45*CY74^2+$CL$45*CY74+$CM$45)*1000000</f>
        <v>80482300.000000015</v>
      </c>
      <c r="DA74" s="40">
        <v>220</v>
      </c>
      <c r="DB74" s="39">
        <f t="shared" ref="DB74:DB87" si="112">($CJ$45*DA74^3+$CK$45*DA74^2+$CL$45*DA74+$CM$45)*1000000</f>
        <v>2966062299.9999995</v>
      </c>
      <c r="DD74" s="13"/>
      <c r="DE74" s="13"/>
      <c r="DO74" s="12" t="str">
        <f t="shared" si="101"/>
        <v>Pre GC</v>
      </c>
      <c r="DP74" s="12">
        <f t="shared" si="102"/>
        <v>44488</v>
      </c>
      <c r="DQ74" s="11">
        <f t="shared" si="103"/>
        <v>21.203085422812197</v>
      </c>
      <c r="DR74" s="11">
        <f t="shared" si="104"/>
        <v>20</v>
      </c>
      <c r="DT74" s="13"/>
      <c r="DU74" s="13"/>
      <c r="EE74" s="12" t="str">
        <f t="shared" si="105"/>
        <v>Post GC</v>
      </c>
      <c r="EF74" s="12">
        <f t="shared" si="106"/>
        <v>44838</v>
      </c>
      <c r="EG74" s="11">
        <f t="shared" si="107"/>
        <v>41.464495575221243</v>
      </c>
      <c r="EH74" s="11">
        <f t="shared" si="108"/>
        <v>50</v>
      </c>
      <c r="EJ74" s="13"/>
      <c r="EK74" s="13"/>
      <c r="FD74" s="13"/>
      <c r="FE74" s="13"/>
    </row>
    <row r="75" spans="13:161" x14ac:dyDescent="0.25">
      <c r="M75" s="12" t="str">
        <f t="shared" si="81"/>
        <v>L12M</v>
      </c>
      <c r="N75" s="12">
        <f t="shared" si="82"/>
        <v>45160</v>
      </c>
      <c r="O75" s="11">
        <f t="shared" si="83"/>
        <v>8.6803522753522753</v>
      </c>
      <c r="P75" s="11">
        <f t="shared" si="84"/>
        <v>3</v>
      </c>
      <c r="Q75" s="13"/>
      <c r="R75" s="13"/>
      <c r="S75" s="13"/>
      <c r="AB75" s="12" t="str">
        <f t="shared" si="85"/>
        <v>FY19</v>
      </c>
      <c r="AC75" s="12">
        <f t="shared" si="86"/>
        <v>43494</v>
      </c>
      <c r="AD75" s="11">
        <f t="shared" si="87"/>
        <v>23.609991027531958</v>
      </c>
      <c r="AE75" s="11">
        <f t="shared" si="88"/>
        <v>20</v>
      </c>
      <c r="AG75" s="13"/>
      <c r="AH75" s="13"/>
      <c r="AQ75" s="12" t="str">
        <f t="shared" si="89"/>
        <v>FY20</v>
      </c>
      <c r="AR75" s="12">
        <f t="shared" si="90"/>
        <v>43858</v>
      </c>
      <c r="AS75" s="11">
        <f t="shared" si="91"/>
        <v>9.4532450835791568</v>
      </c>
      <c r="AT75" s="11">
        <f t="shared" si="92"/>
        <v>5</v>
      </c>
      <c r="AV75" s="13"/>
      <c r="AW75" s="13"/>
      <c r="BF75" s="12" t="str">
        <f t="shared" si="93"/>
        <v>FY21</v>
      </c>
      <c r="BG75" s="12">
        <f t="shared" si="94"/>
        <v>44166</v>
      </c>
      <c r="BH75" s="11">
        <f t="shared" si="95"/>
        <v>9.5082856440511332</v>
      </c>
      <c r="BI75" s="11">
        <f t="shared" si="96"/>
        <v>2</v>
      </c>
      <c r="BK75" s="13"/>
      <c r="BL75" s="13"/>
      <c r="BN75" s="16">
        <v>44509</v>
      </c>
      <c r="BO75" s="15">
        <v>9624065.1425762083</v>
      </c>
      <c r="BP75" s="14">
        <v>2000000</v>
      </c>
      <c r="BU75" s="12" t="str">
        <f t="shared" si="97"/>
        <v>FY22</v>
      </c>
      <c r="BV75" s="12">
        <f t="shared" si="98"/>
        <v>44593</v>
      </c>
      <c r="BW75" s="11">
        <f t="shared" si="99"/>
        <v>9.5681393805309742</v>
      </c>
      <c r="BX75" s="11">
        <f t="shared" si="100"/>
        <v>2</v>
      </c>
      <c r="BZ75" s="13"/>
      <c r="CA75" s="13"/>
      <c r="CC75" s="16">
        <v>44985</v>
      </c>
      <c r="CD75" s="15">
        <v>13098005.775005775</v>
      </c>
      <c r="CE75" s="14">
        <v>10000000</v>
      </c>
      <c r="CJ75" s="12" t="str">
        <f t="shared" si="109"/>
        <v>FY23</v>
      </c>
      <c r="CK75" s="12">
        <f t="shared" si="109"/>
        <v>45034</v>
      </c>
      <c r="CL75" s="11">
        <f t="shared" si="110"/>
        <v>9.2700094710094678</v>
      </c>
      <c r="CM75" s="11">
        <f t="shared" si="110"/>
        <v>3</v>
      </c>
      <c r="CO75" s="13"/>
      <c r="CP75" s="13"/>
      <c r="CR75" s="16"/>
      <c r="CS75" s="15"/>
      <c r="CT75" s="14"/>
      <c r="CY75" s="40">
        <v>80</v>
      </c>
      <c r="CZ75" s="39">
        <f t="shared" si="111"/>
        <v>112554300</v>
      </c>
      <c r="DA75" s="40">
        <v>230</v>
      </c>
      <c r="DB75" s="39">
        <f t="shared" si="112"/>
        <v>3437634300</v>
      </c>
      <c r="DD75" s="13"/>
      <c r="DE75" s="13"/>
      <c r="DO75" s="12" t="str">
        <f t="shared" si="101"/>
        <v>Pre GC</v>
      </c>
      <c r="DP75" s="12">
        <f t="shared" si="102"/>
        <v>44481</v>
      </c>
      <c r="DQ75" s="11">
        <f t="shared" si="103"/>
        <v>16.350092305801379</v>
      </c>
      <c r="DR75" s="11">
        <f t="shared" si="104"/>
        <v>10</v>
      </c>
      <c r="DT75" s="13"/>
      <c r="DU75" s="13"/>
      <c r="EE75" s="12" t="str">
        <f t="shared" si="105"/>
        <v>Post GC</v>
      </c>
      <c r="EF75" s="12">
        <f t="shared" si="106"/>
        <v>44831</v>
      </c>
      <c r="EG75" s="11">
        <f t="shared" si="107"/>
        <v>26.481381098252786</v>
      </c>
      <c r="EH75" s="11">
        <f t="shared" si="108"/>
        <v>30</v>
      </c>
      <c r="EJ75" s="13"/>
      <c r="EK75" s="13"/>
      <c r="FD75" s="13"/>
      <c r="FE75" s="13"/>
    </row>
    <row r="76" spans="13:161" x14ac:dyDescent="0.25">
      <c r="M76" s="12" t="str">
        <f t="shared" si="81"/>
        <v>L12M</v>
      </c>
      <c r="N76" s="12">
        <f t="shared" si="82"/>
        <v>45153</v>
      </c>
      <c r="O76" s="11">
        <f t="shared" si="83"/>
        <v>29.189057750057742</v>
      </c>
      <c r="P76" s="11">
        <f t="shared" si="84"/>
        <v>30</v>
      </c>
      <c r="Q76" s="13"/>
      <c r="R76" s="13"/>
      <c r="S76" s="13"/>
      <c r="AB76" s="12" t="str">
        <f t="shared" si="85"/>
        <v>FY19</v>
      </c>
      <c r="AC76" s="12">
        <f t="shared" si="86"/>
        <v>43501</v>
      </c>
      <c r="AD76" s="11">
        <f t="shared" si="87"/>
        <v>8.0528570550639156</v>
      </c>
      <c r="AE76" s="11">
        <f t="shared" si="88"/>
        <v>2</v>
      </c>
      <c r="AG76" s="13"/>
      <c r="AH76" s="13"/>
      <c r="AQ76" s="12" t="str">
        <f t="shared" si="89"/>
        <v>FY20</v>
      </c>
      <c r="AR76" s="12">
        <f t="shared" si="90"/>
        <v>43865</v>
      </c>
      <c r="AS76" s="11">
        <f t="shared" si="91"/>
        <v>13.66649668141593</v>
      </c>
      <c r="AT76" s="11">
        <f t="shared" si="92"/>
        <v>10</v>
      </c>
      <c r="AV76" s="13"/>
      <c r="AW76" s="13"/>
      <c r="BF76" s="12" t="str">
        <f t="shared" si="93"/>
        <v>FY21</v>
      </c>
      <c r="BG76" s="12">
        <f t="shared" si="94"/>
        <v>44159</v>
      </c>
      <c r="BH76" s="11">
        <f t="shared" si="95"/>
        <v>9.2193061701081618</v>
      </c>
      <c r="BI76" s="11">
        <f t="shared" si="96"/>
        <v>2</v>
      </c>
      <c r="BK76" s="13"/>
      <c r="BL76" s="13"/>
      <c r="BN76" s="16">
        <v>44516</v>
      </c>
      <c r="BO76" s="15">
        <v>11567999.016715834</v>
      </c>
      <c r="BP76" s="14">
        <v>5000000</v>
      </c>
      <c r="BU76" s="12" t="str">
        <f t="shared" si="97"/>
        <v>FY22</v>
      </c>
      <c r="BV76" s="12">
        <f t="shared" si="98"/>
        <v>44600</v>
      </c>
      <c r="BW76" s="11">
        <f t="shared" si="99"/>
        <v>10.997342920353985</v>
      </c>
      <c r="BX76" s="11">
        <f t="shared" si="100"/>
        <v>5</v>
      </c>
      <c r="BZ76" s="13"/>
      <c r="CA76" s="13"/>
      <c r="CC76" s="16">
        <v>44978</v>
      </c>
      <c r="CD76" s="15">
        <v>9720888.0803880803</v>
      </c>
      <c r="CE76" s="14">
        <v>5000000</v>
      </c>
      <c r="CJ76" s="12" t="str">
        <f t="shared" si="109"/>
        <v>FY23</v>
      </c>
      <c r="CK76" s="12">
        <f t="shared" si="109"/>
        <v>45027</v>
      </c>
      <c r="CL76" s="11">
        <f t="shared" si="110"/>
        <v>24.316174405174401</v>
      </c>
      <c r="CM76" s="11">
        <f t="shared" si="110"/>
        <v>30</v>
      </c>
      <c r="CO76" s="13"/>
      <c r="CP76" s="13"/>
      <c r="CR76" s="16"/>
      <c r="CS76" s="15"/>
      <c r="CT76" s="14"/>
      <c r="CY76" s="40">
        <v>90</v>
      </c>
      <c r="CZ76" s="39">
        <f t="shared" si="111"/>
        <v>157126300</v>
      </c>
      <c r="DA76" s="40">
        <v>240</v>
      </c>
      <c r="DB76" s="39">
        <f t="shared" si="112"/>
        <v>3957706300</v>
      </c>
      <c r="DD76" s="13"/>
      <c r="DE76" s="13"/>
      <c r="DO76" s="12" t="str">
        <f t="shared" si="101"/>
        <v>Pre GC</v>
      </c>
      <c r="DP76" s="12">
        <f t="shared" si="102"/>
        <v>44474</v>
      </c>
      <c r="DQ76" s="11">
        <f t="shared" si="103"/>
        <v>12.042942232055069</v>
      </c>
      <c r="DR76" s="11">
        <f t="shared" si="104"/>
        <v>5</v>
      </c>
      <c r="DT76" s="13"/>
      <c r="DU76" s="13"/>
      <c r="EE76" s="12" t="str">
        <f t="shared" si="105"/>
        <v>Post GC</v>
      </c>
      <c r="EF76" s="12">
        <f t="shared" si="106"/>
        <v>44824</v>
      </c>
      <c r="EG76" s="11">
        <f t="shared" si="107"/>
        <v>21.774610959836625</v>
      </c>
      <c r="EH76" s="11">
        <f t="shared" si="108"/>
        <v>20</v>
      </c>
      <c r="EJ76" s="13"/>
      <c r="EK76" s="13"/>
      <c r="FD76" s="13"/>
      <c r="FE76" s="13"/>
    </row>
    <row r="77" spans="13:161" x14ac:dyDescent="0.25">
      <c r="M77" s="12" t="str">
        <f t="shared" ref="M77:M96" si="113">B35</f>
        <v>L12M</v>
      </c>
      <c r="N77" s="12">
        <f t="shared" ref="N77:N96" si="114">C35</f>
        <v>45146</v>
      </c>
      <c r="O77" s="11">
        <f t="shared" ref="O77:O96" si="115">D35/1000000</f>
        <v>22.289923538923535</v>
      </c>
      <c r="P77" s="11">
        <f t="shared" ref="P77:P96" si="116">E35/1000000</f>
        <v>20</v>
      </c>
      <c r="Q77" s="13"/>
      <c r="R77" s="13"/>
      <c r="S77" s="13"/>
      <c r="AB77" s="12" t="str">
        <f t="shared" si="85"/>
        <v>FY19</v>
      </c>
      <c r="AC77" s="12">
        <f t="shared" si="86"/>
        <v>43508</v>
      </c>
      <c r="AD77" s="11">
        <f t="shared" si="87"/>
        <v>9.0047595870206507</v>
      </c>
      <c r="AE77" s="11">
        <f t="shared" si="88"/>
        <v>5</v>
      </c>
      <c r="AG77" s="13"/>
      <c r="AH77" s="13"/>
      <c r="AQ77" s="12" t="str">
        <f t="shared" si="89"/>
        <v>FY20</v>
      </c>
      <c r="AR77" s="12">
        <f t="shared" si="90"/>
        <v>43872</v>
      </c>
      <c r="AS77" s="11">
        <f t="shared" si="91"/>
        <v>7.9981910029498531</v>
      </c>
      <c r="AT77" s="11">
        <f t="shared" si="92"/>
        <v>2</v>
      </c>
      <c r="AV77" s="13"/>
      <c r="AW77" s="13"/>
      <c r="BF77" s="12" t="str">
        <f t="shared" si="93"/>
        <v>FY21</v>
      </c>
      <c r="BG77" s="12">
        <f t="shared" si="94"/>
        <v>44152</v>
      </c>
      <c r="BH77" s="11">
        <f t="shared" si="95"/>
        <v>35.676691863323512</v>
      </c>
      <c r="BI77" s="11">
        <f t="shared" si="96"/>
        <v>30</v>
      </c>
      <c r="BK77" s="13"/>
      <c r="BL77" s="13"/>
      <c r="BN77" s="16">
        <v>44523</v>
      </c>
      <c r="BO77" s="15">
        <v>16019015.363815146</v>
      </c>
      <c r="BP77" s="14">
        <v>10000000</v>
      </c>
      <c r="BU77" s="12" t="str">
        <f t="shared" si="97"/>
        <v>FY22</v>
      </c>
      <c r="BV77" s="12">
        <f t="shared" si="98"/>
        <v>44607</v>
      </c>
      <c r="BW77" s="11">
        <f t="shared" si="99"/>
        <v>15.07466470009833</v>
      </c>
      <c r="BX77" s="11">
        <f t="shared" si="100"/>
        <v>10</v>
      </c>
      <c r="BZ77" s="13"/>
      <c r="CA77" s="13"/>
      <c r="CC77" s="16">
        <v>44971</v>
      </c>
      <c r="CD77" s="15">
        <v>9272705.128205128</v>
      </c>
      <c r="CE77" s="14">
        <v>3000000</v>
      </c>
      <c r="CJ77" s="12" t="str">
        <f t="shared" si="109"/>
        <v>FY23</v>
      </c>
      <c r="CK77" s="12">
        <f t="shared" si="109"/>
        <v>45020</v>
      </c>
      <c r="CL77" s="11">
        <f t="shared" si="110"/>
        <v>20.387653730653728</v>
      </c>
      <c r="CM77" s="11">
        <f t="shared" si="110"/>
        <v>20</v>
      </c>
      <c r="CO77" s="13"/>
      <c r="CP77" s="13"/>
      <c r="CR77" s="16"/>
      <c r="CS77" s="15"/>
      <c r="CT77" s="14"/>
      <c r="CY77" s="40">
        <v>100</v>
      </c>
      <c r="CZ77" s="39">
        <f t="shared" si="111"/>
        <v>216598300</v>
      </c>
      <c r="DA77" s="40">
        <v>250</v>
      </c>
      <c r="DB77" s="39">
        <f t="shared" si="112"/>
        <v>4528678300.000001</v>
      </c>
      <c r="DD77" s="13"/>
      <c r="DE77" s="13"/>
      <c r="DO77" s="12" t="str">
        <f t="shared" ref="DO77:DP101" si="117">DF35</f>
        <v>Pre GC</v>
      </c>
      <c r="DP77" s="12">
        <f t="shared" si="117"/>
        <v>44467</v>
      </c>
      <c r="DQ77" s="11">
        <f t="shared" ref="DQ77:DR101" si="118">DH35/1000000</f>
        <v>9.8191762536873188</v>
      </c>
      <c r="DR77" s="11">
        <f t="shared" si="118"/>
        <v>2</v>
      </c>
      <c r="DT77" s="13"/>
      <c r="DU77" s="13"/>
      <c r="EE77" s="12" t="str">
        <f t="shared" si="105"/>
        <v>Post GC</v>
      </c>
      <c r="EF77" s="12">
        <f t="shared" si="106"/>
        <v>44817</v>
      </c>
      <c r="EG77" s="11">
        <f t="shared" si="107"/>
        <v>14.935118901747222</v>
      </c>
      <c r="EH77" s="11">
        <f t="shared" si="108"/>
        <v>10</v>
      </c>
      <c r="EJ77" s="13"/>
      <c r="EK77" s="13"/>
      <c r="FD77" s="13"/>
      <c r="FE77" s="13"/>
    </row>
    <row r="78" spans="13:161" x14ac:dyDescent="0.25">
      <c r="M78" s="12" t="str">
        <f t="shared" si="113"/>
        <v>L12M</v>
      </c>
      <c r="N78" s="12">
        <f t="shared" si="114"/>
        <v>45139</v>
      </c>
      <c r="O78" s="11">
        <f t="shared" si="115"/>
        <v>12.713646107646106</v>
      </c>
      <c r="P78" s="11">
        <f t="shared" si="116"/>
        <v>10</v>
      </c>
      <c r="Q78" s="13"/>
      <c r="R78" s="13"/>
      <c r="S78" s="13"/>
      <c r="AB78" s="12" t="str">
        <f t="shared" si="85"/>
        <v>FY19</v>
      </c>
      <c r="AC78" s="12">
        <f t="shared" si="86"/>
        <v>43515</v>
      </c>
      <c r="AD78" s="11">
        <f t="shared" si="87"/>
        <v>12.443073623402164</v>
      </c>
      <c r="AE78" s="11">
        <f t="shared" si="88"/>
        <v>10</v>
      </c>
      <c r="AG78" s="13"/>
      <c r="AH78" s="13"/>
      <c r="AQ78" s="12" t="str">
        <f t="shared" si="89"/>
        <v>FY20</v>
      </c>
      <c r="AR78" s="12">
        <f t="shared" si="90"/>
        <v>43879</v>
      </c>
      <c r="AS78" s="11">
        <f t="shared" si="91"/>
        <v>10.4772715093412</v>
      </c>
      <c r="AT78" s="11">
        <f t="shared" si="92"/>
        <v>5</v>
      </c>
      <c r="AV78" s="13"/>
      <c r="AW78" s="13"/>
      <c r="BF78" s="12" t="str">
        <f t="shared" si="93"/>
        <v>FY21</v>
      </c>
      <c r="BG78" s="12">
        <f t="shared" si="94"/>
        <v>44145</v>
      </c>
      <c r="BH78" s="11">
        <f t="shared" si="95"/>
        <v>26.046122418879062</v>
      </c>
      <c r="BI78" s="11">
        <f t="shared" si="96"/>
        <v>20</v>
      </c>
      <c r="BK78" s="13"/>
      <c r="BL78" s="13"/>
      <c r="BN78" s="16">
        <v>44530</v>
      </c>
      <c r="BO78" s="15">
        <v>20637660.152409054</v>
      </c>
      <c r="BP78" s="14">
        <v>20000000</v>
      </c>
      <c r="BU78" s="12" t="str">
        <f t="shared" si="97"/>
        <v>FY22</v>
      </c>
      <c r="BV78" s="12">
        <f t="shared" si="98"/>
        <v>44614</v>
      </c>
      <c r="BW78" s="11">
        <f t="shared" si="99"/>
        <v>9.4699219518190798</v>
      </c>
      <c r="BX78" s="11">
        <f t="shared" si="100"/>
        <v>2</v>
      </c>
      <c r="BZ78" s="13"/>
      <c r="CA78" s="13"/>
      <c r="CC78" s="16">
        <v>44964</v>
      </c>
      <c r="CD78" s="15">
        <v>20268493.416493416</v>
      </c>
      <c r="CE78" s="14">
        <v>20000000</v>
      </c>
      <c r="CJ78" s="12" t="str">
        <f t="shared" si="109"/>
        <v>FY23</v>
      </c>
      <c r="CK78" s="12">
        <f t="shared" si="109"/>
        <v>45013</v>
      </c>
      <c r="CL78" s="11">
        <f t="shared" si="110"/>
        <v>14.791094479094479</v>
      </c>
      <c r="CM78" s="11">
        <f t="shared" si="110"/>
        <v>10</v>
      </c>
      <c r="CO78" s="13"/>
      <c r="CP78" s="13"/>
      <c r="CR78" s="16"/>
      <c r="CS78" s="15"/>
      <c r="CT78" s="14"/>
      <c r="CY78" s="40">
        <v>110</v>
      </c>
      <c r="CZ78" s="39">
        <f t="shared" si="111"/>
        <v>293370300</v>
      </c>
      <c r="DA78" s="40">
        <v>260</v>
      </c>
      <c r="DB78" s="39">
        <f t="shared" si="112"/>
        <v>5152950300.000001</v>
      </c>
      <c r="DD78" s="13"/>
      <c r="DE78" s="13"/>
      <c r="DO78" s="12" t="str">
        <f t="shared" si="117"/>
        <v>Pre GC</v>
      </c>
      <c r="DP78" s="12">
        <f t="shared" si="117"/>
        <v>44460</v>
      </c>
      <c r="DQ78" s="11">
        <f t="shared" si="118"/>
        <v>37.092954400196668</v>
      </c>
      <c r="DR78" s="11">
        <f t="shared" si="118"/>
        <v>30</v>
      </c>
      <c r="DT78" s="13"/>
      <c r="DU78" s="13"/>
      <c r="EE78" s="12" t="str">
        <f t="shared" si="105"/>
        <v>Post GC</v>
      </c>
      <c r="EF78" s="12">
        <f t="shared" si="106"/>
        <v>44810</v>
      </c>
      <c r="EG78" s="11">
        <f t="shared" si="107"/>
        <v>9.3231639437258913</v>
      </c>
      <c r="EH78" s="11">
        <f t="shared" si="108"/>
        <v>5</v>
      </c>
      <c r="EJ78" s="13"/>
      <c r="EK78" s="13"/>
      <c r="FD78" s="13"/>
      <c r="FE78" s="13"/>
    </row>
    <row r="79" spans="13:161" x14ac:dyDescent="0.25">
      <c r="M79" s="12" t="str">
        <f t="shared" si="113"/>
        <v>L12M</v>
      </c>
      <c r="N79" s="12">
        <f t="shared" si="114"/>
        <v>45132</v>
      </c>
      <c r="O79" s="11">
        <f t="shared" si="115"/>
        <v>9.3036103026103003</v>
      </c>
      <c r="P79" s="11">
        <f t="shared" si="116"/>
        <v>5</v>
      </c>
      <c r="Q79" s="13"/>
      <c r="R79" s="13"/>
      <c r="S79" s="13"/>
      <c r="AB79" s="12" t="str">
        <f t="shared" si="85"/>
        <v>FY19</v>
      </c>
      <c r="AC79" s="12">
        <f t="shared" si="86"/>
        <v>43522</v>
      </c>
      <c r="AD79" s="11">
        <f t="shared" si="87"/>
        <v>14.410134709931175</v>
      </c>
      <c r="AE79" s="11">
        <f t="shared" si="88"/>
        <v>15</v>
      </c>
      <c r="AG79" s="13"/>
      <c r="AH79" s="13"/>
      <c r="AQ79" s="12" t="str">
        <f t="shared" si="89"/>
        <v>FY20</v>
      </c>
      <c r="AR79" s="12">
        <f t="shared" si="90"/>
        <v>43886</v>
      </c>
      <c r="AS79" s="11">
        <f t="shared" si="91"/>
        <v>7.8843302605703052</v>
      </c>
      <c r="AT79" s="11">
        <f t="shared" si="92"/>
        <v>2</v>
      </c>
      <c r="AV79" s="13"/>
      <c r="AW79" s="13"/>
      <c r="BF79" s="12" t="str">
        <f t="shared" si="93"/>
        <v>FY21</v>
      </c>
      <c r="BG79" s="12">
        <f t="shared" si="94"/>
        <v>44138</v>
      </c>
      <c r="BH79" s="11">
        <f t="shared" si="95"/>
        <v>16.37474410029499</v>
      </c>
      <c r="BI79" s="11">
        <f t="shared" si="96"/>
        <v>10</v>
      </c>
      <c r="BK79" s="13"/>
      <c r="BL79" s="13"/>
      <c r="BN79" s="16">
        <v>44537</v>
      </c>
      <c r="BO79" s="15">
        <v>32741460.176991157</v>
      </c>
      <c r="BP79" s="14">
        <v>30000000</v>
      </c>
      <c r="BU79" s="12" t="str">
        <f t="shared" si="97"/>
        <v>FY22</v>
      </c>
      <c r="BV79" s="12">
        <f t="shared" si="98"/>
        <v>44621</v>
      </c>
      <c r="BW79" s="11">
        <f t="shared" si="99"/>
        <v>12.89311369223206</v>
      </c>
      <c r="BX79" s="11">
        <f t="shared" si="100"/>
        <v>5</v>
      </c>
      <c r="BZ79" s="13"/>
      <c r="CA79" s="13"/>
      <c r="CC79" s="16">
        <v>44957</v>
      </c>
      <c r="CD79" s="15">
        <v>12834873.873873875</v>
      </c>
      <c r="CE79" s="14">
        <v>10000000</v>
      </c>
      <c r="CJ79" s="12" t="str">
        <f t="shared" si="109"/>
        <v>FY23</v>
      </c>
      <c r="CK79" s="12">
        <f t="shared" si="109"/>
        <v>45006</v>
      </c>
      <c r="CL79" s="11">
        <f t="shared" si="110"/>
        <v>10.052417532917532</v>
      </c>
      <c r="CM79" s="11">
        <f t="shared" si="110"/>
        <v>5</v>
      </c>
      <c r="CO79" s="13"/>
      <c r="CP79" s="13"/>
      <c r="CR79" s="16"/>
      <c r="CS79" s="15"/>
      <c r="CT79" s="14"/>
      <c r="CY79" s="40">
        <v>120</v>
      </c>
      <c r="CZ79" s="39">
        <f t="shared" si="111"/>
        <v>389842300</v>
      </c>
      <c r="DA79" s="40">
        <v>270</v>
      </c>
      <c r="DB79" s="39">
        <f t="shared" si="112"/>
        <v>5832922300.000001</v>
      </c>
      <c r="DD79" s="13"/>
      <c r="DE79" s="13"/>
      <c r="DO79" s="12" t="str">
        <f t="shared" si="117"/>
        <v>Pre GC</v>
      </c>
      <c r="DP79" s="12">
        <f t="shared" si="117"/>
        <v>44453</v>
      </c>
      <c r="DQ79" s="11">
        <f t="shared" si="118"/>
        <v>26.493046091445436</v>
      </c>
      <c r="DR79" s="11">
        <f t="shared" si="118"/>
        <v>20</v>
      </c>
      <c r="DT79" s="13"/>
      <c r="DU79" s="13"/>
      <c r="EE79" s="12" t="str">
        <f t="shared" si="105"/>
        <v>Post GC</v>
      </c>
      <c r="EF79" s="12">
        <f t="shared" si="106"/>
        <v>44803</v>
      </c>
      <c r="EG79" s="11">
        <f t="shared" si="107"/>
        <v>8.1147970274563193</v>
      </c>
      <c r="EH79" s="11">
        <f t="shared" si="108"/>
        <v>3</v>
      </c>
      <c r="EJ79" s="13"/>
      <c r="EK79" s="13"/>
      <c r="FD79" s="13"/>
      <c r="FE79" s="13"/>
    </row>
    <row r="80" spans="13:161" x14ac:dyDescent="0.25">
      <c r="M80" s="12" t="str">
        <f t="shared" si="113"/>
        <v>L12M</v>
      </c>
      <c r="N80" s="12">
        <f t="shared" si="114"/>
        <v>45125</v>
      </c>
      <c r="O80" s="11">
        <f t="shared" si="115"/>
        <v>8.3911663201663202</v>
      </c>
      <c r="P80" s="11">
        <f t="shared" si="116"/>
        <v>3</v>
      </c>
      <c r="Q80" s="13"/>
      <c r="R80" s="13"/>
      <c r="S80" s="13"/>
      <c r="AB80" s="12" t="str">
        <f t="shared" si="85"/>
        <v>FY19</v>
      </c>
      <c r="AC80" s="12">
        <f t="shared" si="86"/>
        <v>43529</v>
      </c>
      <c r="AD80" s="11">
        <f t="shared" si="87"/>
        <v>24.266503441494596</v>
      </c>
      <c r="AE80" s="11">
        <f t="shared" si="88"/>
        <v>30</v>
      </c>
      <c r="AG80" s="13"/>
      <c r="AH80" s="13"/>
      <c r="AQ80" s="12" t="str">
        <f t="shared" si="89"/>
        <v>FY20</v>
      </c>
      <c r="AR80" s="12">
        <f t="shared" si="90"/>
        <v>43893</v>
      </c>
      <c r="AS80" s="11">
        <f t="shared" si="91"/>
        <v>9.7937862586037383</v>
      </c>
      <c r="AT80" s="11">
        <f t="shared" si="92"/>
        <v>5</v>
      </c>
      <c r="AV80" s="13"/>
      <c r="AW80" s="13"/>
      <c r="BF80" s="12" t="str">
        <f t="shared" si="93"/>
        <v>FY21</v>
      </c>
      <c r="BG80" s="12">
        <f t="shared" si="94"/>
        <v>44131</v>
      </c>
      <c r="BH80" s="11">
        <f t="shared" si="95"/>
        <v>11.575730580137661</v>
      </c>
      <c r="BI80" s="11">
        <f t="shared" si="96"/>
        <v>5</v>
      </c>
      <c r="BK80" s="13"/>
      <c r="BL80" s="13"/>
      <c r="BN80" s="16">
        <v>44544</v>
      </c>
      <c r="BO80" s="15">
        <v>9652936.4552605711</v>
      </c>
      <c r="BP80" s="14">
        <v>2000000</v>
      </c>
      <c r="BU80" s="12" t="str">
        <f t="shared" si="97"/>
        <v>FY22</v>
      </c>
      <c r="BV80" s="12">
        <f t="shared" si="98"/>
        <v>44628</v>
      </c>
      <c r="BW80" s="11">
        <f t="shared" si="99"/>
        <v>18.445974557522124</v>
      </c>
      <c r="BX80" s="11">
        <f t="shared" si="100"/>
        <v>10</v>
      </c>
      <c r="BZ80" s="13"/>
      <c r="CA80" s="13"/>
      <c r="CC80" s="16">
        <v>44950</v>
      </c>
      <c r="CD80" s="15">
        <v>9882207.7847077847</v>
      </c>
      <c r="CE80" s="14">
        <v>5000000</v>
      </c>
      <c r="CJ80" s="12" t="str">
        <f t="shared" si="109"/>
        <v>FY23</v>
      </c>
      <c r="CK80" s="12">
        <f t="shared" si="109"/>
        <v>44999</v>
      </c>
      <c r="CL80" s="11">
        <f t="shared" si="110"/>
        <v>9.0415546315546305</v>
      </c>
      <c r="CM80" s="11">
        <f t="shared" si="110"/>
        <v>3</v>
      </c>
      <c r="CO80" s="13"/>
      <c r="CP80" s="13"/>
      <c r="CR80" s="16"/>
      <c r="CS80" s="15"/>
      <c r="CT80" s="14"/>
      <c r="CY80" s="40">
        <v>130</v>
      </c>
      <c r="CZ80" s="39">
        <f t="shared" si="111"/>
        <v>508414300.00000006</v>
      </c>
      <c r="DA80" s="40">
        <v>280</v>
      </c>
      <c r="DB80" s="39">
        <f t="shared" si="112"/>
        <v>6570994300.0000019</v>
      </c>
      <c r="DD80" s="13"/>
      <c r="DE80" s="13"/>
      <c r="DO80" s="12" t="str">
        <f t="shared" si="117"/>
        <v>Pre GC</v>
      </c>
      <c r="DP80" s="12">
        <f t="shared" si="117"/>
        <v>44446</v>
      </c>
      <c r="DQ80" s="11">
        <f t="shared" si="118"/>
        <v>18.400582841691254</v>
      </c>
      <c r="DR80" s="11">
        <f t="shared" si="118"/>
        <v>10</v>
      </c>
      <c r="DT80" s="13"/>
      <c r="DU80" s="13"/>
      <c r="EE80" s="12" t="str">
        <f t="shared" si="105"/>
        <v>Post GC</v>
      </c>
      <c r="EF80" s="12">
        <f t="shared" si="106"/>
        <v>44796</v>
      </c>
      <c r="EG80" s="11">
        <f t="shared" si="107"/>
        <v>15.798659518947129</v>
      </c>
      <c r="EH80" s="11">
        <f t="shared" si="108"/>
        <v>10</v>
      </c>
      <c r="EJ80" s="13"/>
      <c r="EK80" s="13"/>
      <c r="FD80" s="13"/>
      <c r="FE80" s="13"/>
    </row>
    <row r="81" spans="13:161" x14ac:dyDescent="0.25">
      <c r="M81" s="12" t="str">
        <f t="shared" si="113"/>
        <v>L12M</v>
      </c>
      <c r="N81" s="12">
        <f t="shared" si="114"/>
        <v>45118</v>
      </c>
      <c r="O81" s="11">
        <f t="shared" si="115"/>
        <v>20.429754215754212</v>
      </c>
      <c r="P81" s="11">
        <f t="shared" si="116"/>
        <v>20</v>
      </c>
      <c r="Q81" s="13"/>
      <c r="R81" s="13"/>
      <c r="S81" s="13"/>
      <c r="AB81" s="12" t="str">
        <f t="shared" si="85"/>
        <v>FY19</v>
      </c>
      <c r="AC81" s="12">
        <f t="shared" si="86"/>
        <v>43536</v>
      </c>
      <c r="AD81" s="11">
        <f t="shared" si="87"/>
        <v>31.614050884955756</v>
      </c>
      <c r="AE81" s="11">
        <f t="shared" si="88"/>
        <v>40</v>
      </c>
      <c r="AG81" s="13"/>
      <c r="AH81" s="13"/>
      <c r="AQ81" s="12" t="str">
        <f t="shared" si="89"/>
        <v>FY20</v>
      </c>
      <c r="AR81" s="12">
        <f t="shared" si="90"/>
        <v>43900</v>
      </c>
      <c r="AS81" s="11">
        <f t="shared" si="91"/>
        <v>12.892954891838743</v>
      </c>
      <c r="AT81" s="11">
        <f t="shared" si="92"/>
        <v>10</v>
      </c>
      <c r="AV81" s="13"/>
      <c r="AW81" s="13"/>
      <c r="BF81" s="12" t="str">
        <f t="shared" si="93"/>
        <v>FY21</v>
      </c>
      <c r="BG81" s="12">
        <f t="shared" si="94"/>
        <v>44124</v>
      </c>
      <c r="BH81" s="11">
        <f t="shared" si="95"/>
        <v>9.5987624139626355</v>
      </c>
      <c r="BI81" s="11">
        <f t="shared" si="96"/>
        <v>2</v>
      </c>
      <c r="BK81" s="13"/>
      <c r="BL81" s="13"/>
      <c r="BN81" s="16">
        <v>44551</v>
      </c>
      <c r="BO81" s="15">
        <v>8995809.9803343173</v>
      </c>
      <c r="BP81" s="14">
        <v>2000000</v>
      </c>
      <c r="BU81" s="12" t="str">
        <f t="shared" si="97"/>
        <v>FY22</v>
      </c>
      <c r="BV81" s="12">
        <f t="shared" si="98"/>
        <v>44635</v>
      </c>
      <c r="BW81" s="11">
        <f t="shared" si="99"/>
        <v>8.6105315880039353</v>
      </c>
      <c r="BX81" s="11">
        <f t="shared" si="100"/>
        <v>2</v>
      </c>
      <c r="BZ81" s="13"/>
      <c r="CA81" s="13"/>
      <c r="CC81" s="16">
        <v>44943</v>
      </c>
      <c r="CD81" s="15">
        <v>8834358.5123585109</v>
      </c>
      <c r="CE81" s="14">
        <v>3000000</v>
      </c>
      <c r="CJ81" s="12" t="str">
        <f t="shared" ref="CJ81:CK96" si="119">CB19</f>
        <v>FY23</v>
      </c>
      <c r="CK81" s="12">
        <f t="shared" si="119"/>
        <v>44992</v>
      </c>
      <c r="CL81" s="11">
        <f t="shared" ref="CL81:CM96" si="120">CD19/1000000</f>
        <v>21.058703164703164</v>
      </c>
      <c r="CM81" s="11">
        <f t="shared" si="120"/>
        <v>20</v>
      </c>
      <c r="CO81" s="13"/>
      <c r="CP81" s="13"/>
      <c r="CR81" s="16"/>
      <c r="CS81" s="15"/>
      <c r="CT81" s="14"/>
      <c r="CY81" s="40">
        <v>140</v>
      </c>
      <c r="CZ81" s="39">
        <f t="shared" si="111"/>
        <v>651486300.00000012</v>
      </c>
      <c r="DA81" s="40">
        <v>290</v>
      </c>
      <c r="DB81" s="39">
        <f t="shared" si="112"/>
        <v>7369566300</v>
      </c>
      <c r="DD81" s="13"/>
      <c r="DE81" s="13"/>
      <c r="DO81" s="12" t="str">
        <f t="shared" si="117"/>
        <v>Pre GC</v>
      </c>
      <c r="DP81" s="12">
        <f t="shared" si="117"/>
        <v>44439</v>
      </c>
      <c r="DQ81" s="11">
        <f t="shared" si="118"/>
        <v>11.312176007866276</v>
      </c>
      <c r="DR81" s="11">
        <f t="shared" si="118"/>
        <v>5</v>
      </c>
      <c r="DT81" s="13"/>
      <c r="DU81" s="13"/>
      <c r="EE81" s="12" t="str">
        <f t="shared" si="105"/>
        <v>Post GC</v>
      </c>
      <c r="EF81" s="12">
        <f t="shared" si="106"/>
        <v>44789</v>
      </c>
      <c r="EG81" s="11">
        <f t="shared" si="107"/>
        <v>10.754930224642615</v>
      </c>
      <c r="EH81" s="11">
        <f t="shared" si="108"/>
        <v>5</v>
      </c>
      <c r="EJ81" s="13"/>
      <c r="EK81" s="13"/>
      <c r="FD81" s="13"/>
      <c r="FE81" s="13"/>
    </row>
    <row r="82" spans="13:161" x14ac:dyDescent="0.25">
      <c r="M82" s="12" t="str">
        <f t="shared" si="113"/>
        <v>L12M</v>
      </c>
      <c r="N82" s="12">
        <f t="shared" si="114"/>
        <v>45111</v>
      </c>
      <c r="O82" s="11">
        <f t="shared" si="115"/>
        <v>14.5575610995611</v>
      </c>
      <c r="P82" s="11">
        <f t="shared" si="116"/>
        <v>10</v>
      </c>
      <c r="Q82" s="13"/>
      <c r="R82" s="13"/>
      <c r="S82" s="13"/>
      <c r="AB82" s="12" t="str">
        <f t="shared" si="85"/>
        <v>FY19</v>
      </c>
      <c r="AC82" s="12">
        <f t="shared" si="86"/>
        <v>43543</v>
      </c>
      <c r="AD82" s="11">
        <f t="shared" si="87"/>
        <v>43.83355334316618</v>
      </c>
      <c r="AE82" s="11">
        <f t="shared" si="88"/>
        <v>50</v>
      </c>
      <c r="AG82" s="13"/>
      <c r="AH82" s="13"/>
      <c r="AQ82" s="12" t="str">
        <f t="shared" si="89"/>
        <v>FY20</v>
      </c>
      <c r="AR82" s="12">
        <f t="shared" si="90"/>
        <v>43907</v>
      </c>
      <c r="AS82" s="11">
        <f t="shared" si="91"/>
        <v>14.721239306784664</v>
      </c>
      <c r="AT82" s="11">
        <f t="shared" si="92"/>
        <v>15</v>
      </c>
      <c r="AV82" s="13"/>
      <c r="AW82" s="13"/>
      <c r="BF82" s="12" t="str">
        <f t="shared" si="93"/>
        <v>FY21</v>
      </c>
      <c r="BG82" s="12">
        <f t="shared" si="94"/>
        <v>44117</v>
      </c>
      <c r="BH82" s="11">
        <f t="shared" si="95"/>
        <v>9.2161929695181914</v>
      </c>
      <c r="BI82" s="11">
        <f t="shared" si="96"/>
        <v>2</v>
      </c>
      <c r="BK82" s="13"/>
      <c r="BL82" s="13"/>
      <c r="BN82" s="16">
        <v>44558</v>
      </c>
      <c r="BO82" s="15">
        <v>9661544.6165191736</v>
      </c>
      <c r="BP82" s="14">
        <v>5000000</v>
      </c>
      <c r="BU82" s="12" t="str">
        <f t="shared" si="97"/>
        <v>FY22</v>
      </c>
      <c r="BV82" s="12">
        <f t="shared" si="98"/>
        <v>44642</v>
      </c>
      <c r="BW82" s="11">
        <f t="shared" si="99"/>
        <v>11.822875491642085</v>
      </c>
      <c r="BX82" s="11">
        <f t="shared" si="100"/>
        <v>5</v>
      </c>
      <c r="BZ82" s="13"/>
      <c r="CA82" s="13"/>
      <c r="CC82" s="16">
        <v>44936</v>
      </c>
      <c r="CD82" s="15">
        <v>9252797.0662970655</v>
      </c>
      <c r="CE82" s="14">
        <v>3000000</v>
      </c>
      <c r="CJ82" s="12" t="str">
        <f t="shared" si="119"/>
        <v>FY23</v>
      </c>
      <c r="CK82" s="12">
        <f t="shared" si="119"/>
        <v>44985</v>
      </c>
      <c r="CL82" s="11">
        <f t="shared" si="120"/>
        <v>13.098005775005774</v>
      </c>
      <c r="CM82" s="11">
        <f t="shared" si="120"/>
        <v>10</v>
      </c>
      <c r="CO82" s="13"/>
      <c r="CP82" s="13"/>
      <c r="CR82" s="16"/>
      <c r="CS82" s="15"/>
      <c r="CT82" s="14"/>
      <c r="CY82" s="40">
        <v>150</v>
      </c>
      <c r="CZ82" s="39">
        <f t="shared" si="111"/>
        <v>821458299.99999988</v>
      </c>
      <c r="DA82" s="40">
        <v>300</v>
      </c>
      <c r="DB82" s="39">
        <f t="shared" si="112"/>
        <v>8231038300</v>
      </c>
      <c r="DD82" s="13"/>
      <c r="DE82" s="13"/>
      <c r="DO82" s="12" t="str">
        <f t="shared" si="117"/>
        <v>Pre GC</v>
      </c>
      <c r="DP82" s="12">
        <f t="shared" si="117"/>
        <v>44432</v>
      </c>
      <c r="DQ82" s="11">
        <f t="shared" si="118"/>
        <v>9.724531588003936</v>
      </c>
      <c r="DR82" s="11">
        <f t="shared" si="118"/>
        <v>2</v>
      </c>
      <c r="DT82" s="13"/>
      <c r="DU82" s="13"/>
      <c r="EE82" s="12" t="str">
        <f t="shared" ref="EE82:EF104" si="121">DV40</f>
        <v>Post GC</v>
      </c>
      <c r="EF82" s="12">
        <f t="shared" si="121"/>
        <v>44782</v>
      </c>
      <c r="EG82" s="11">
        <f t="shared" ref="EG82:EH104" si="122">DX40/1000000</f>
        <v>8.4663073519400953</v>
      </c>
      <c r="EH82" s="11">
        <f t="shared" si="122"/>
        <v>3</v>
      </c>
      <c r="EJ82" s="13"/>
      <c r="EK82" s="13"/>
      <c r="FD82" s="13"/>
      <c r="FE82" s="13"/>
    </row>
    <row r="83" spans="13:161" x14ac:dyDescent="0.25">
      <c r="M83" s="12" t="str">
        <f t="shared" si="113"/>
        <v>L12M</v>
      </c>
      <c r="N83" s="12">
        <f t="shared" si="114"/>
        <v>45104</v>
      </c>
      <c r="O83" s="11">
        <f t="shared" si="115"/>
        <v>10.458440863940863</v>
      </c>
      <c r="P83" s="11">
        <f t="shared" si="116"/>
        <v>5</v>
      </c>
      <c r="Q83" s="13"/>
      <c r="R83" s="13"/>
      <c r="S83" s="13"/>
      <c r="AB83" s="12" t="str">
        <f t="shared" si="85"/>
        <v>FY19</v>
      </c>
      <c r="AC83" s="12">
        <f t="shared" si="86"/>
        <v>43550</v>
      </c>
      <c r="AD83" s="11">
        <f t="shared" si="87"/>
        <v>60.59430961160276</v>
      </c>
      <c r="AE83" s="11">
        <f t="shared" si="88"/>
        <v>70</v>
      </c>
      <c r="AG83" s="13"/>
      <c r="AH83" s="13"/>
      <c r="AQ83" s="12" t="str">
        <f t="shared" si="89"/>
        <v>FY20</v>
      </c>
      <c r="AR83" s="12">
        <f t="shared" si="90"/>
        <v>43914</v>
      </c>
      <c r="AS83" s="11">
        <f t="shared" si="91"/>
        <v>7.2153132989183897</v>
      </c>
      <c r="AT83" s="11">
        <f t="shared" si="92"/>
        <v>2</v>
      </c>
      <c r="AV83" s="13"/>
      <c r="AW83" s="13"/>
      <c r="BF83" s="12" t="str">
        <f t="shared" si="93"/>
        <v>FY21</v>
      </c>
      <c r="BG83" s="12">
        <f t="shared" si="94"/>
        <v>44110</v>
      </c>
      <c r="BH83" s="11">
        <f t="shared" si="95"/>
        <v>18.094398230088498</v>
      </c>
      <c r="BI83" s="11">
        <f t="shared" si="96"/>
        <v>10</v>
      </c>
      <c r="BK83" s="13"/>
      <c r="BL83" s="13"/>
      <c r="BN83" s="16">
        <v>44565</v>
      </c>
      <c r="BO83" s="15">
        <v>14668907.325467061</v>
      </c>
      <c r="BP83" s="14">
        <v>10000000</v>
      </c>
      <c r="BU83" s="12" t="str">
        <f t="shared" si="97"/>
        <v>FY22</v>
      </c>
      <c r="BV83" s="12">
        <f t="shared" si="98"/>
        <v>44649</v>
      </c>
      <c r="BW83" s="11">
        <f t="shared" si="99"/>
        <v>8.7504049901671603</v>
      </c>
      <c r="BX83" s="11">
        <f t="shared" si="100"/>
        <v>2</v>
      </c>
      <c r="BZ83" s="13"/>
      <c r="CA83" s="13"/>
      <c r="CC83" s="16">
        <v>44929</v>
      </c>
      <c r="CD83" s="15">
        <v>20789274.65927466</v>
      </c>
      <c r="CE83" s="14">
        <v>20000000</v>
      </c>
      <c r="CJ83" s="12" t="str">
        <f t="shared" si="119"/>
        <v>FY23</v>
      </c>
      <c r="CK83" s="12">
        <f t="shared" si="119"/>
        <v>44978</v>
      </c>
      <c r="CL83" s="11">
        <f t="shared" si="120"/>
        <v>9.7208880803880806</v>
      </c>
      <c r="CM83" s="11">
        <f t="shared" si="120"/>
        <v>5</v>
      </c>
      <c r="CO83" s="13"/>
      <c r="CP83" s="13"/>
      <c r="CR83" s="16"/>
      <c r="CS83" s="15"/>
      <c r="CT83" s="14"/>
      <c r="CY83" s="40">
        <v>160</v>
      </c>
      <c r="CZ83" s="39">
        <f t="shared" si="111"/>
        <v>1020730300</v>
      </c>
      <c r="DA83" s="40">
        <v>310</v>
      </c>
      <c r="DB83" s="39">
        <f t="shared" si="112"/>
        <v>9157810300.0000019</v>
      </c>
      <c r="DD83" s="13"/>
      <c r="DE83" s="13"/>
      <c r="DO83" s="12" t="str">
        <f t="shared" si="117"/>
        <v>Pre GC</v>
      </c>
      <c r="DP83" s="12">
        <f t="shared" si="117"/>
        <v>44425</v>
      </c>
      <c r="DQ83" s="11">
        <f t="shared" si="118"/>
        <v>21.04476966568339</v>
      </c>
      <c r="DR83" s="11">
        <f t="shared" si="118"/>
        <v>10</v>
      </c>
      <c r="DT83" s="13"/>
      <c r="DU83" s="13"/>
      <c r="EE83" s="12" t="str">
        <f t="shared" si="121"/>
        <v>Post GC</v>
      </c>
      <c r="EF83" s="12">
        <f t="shared" si="121"/>
        <v>44775</v>
      </c>
      <c r="EG83" s="11">
        <f t="shared" si="122"/>
        <v>22.150339459950082</v>
      </c>
      <c r="EH83" s="11">
        <f t="shared" si="122"/>
        <v>20</v>
      </c>
      <c r="EJ83" s="13"/>
      <c r="EK83" s="13"/>
      <c r="FD83" s="13"/>
      <c r="FE83" s="13"/>
    </row>
    <row r="84" spans="13:161" x14ac:dyDescent="0.25">
      <c r="M84" s="12" t="str">
        <f t="shared" si="113"/>
        <v>L12M</v>
      </c>
      <c r="N84" s="12">
        <f t="shared" si="114"/>
        <v>45097</v>
      </c>
      <c r="O84" s="11">
        <f t="shared" si="115"/>
        <v>7.8977346962346964</v>
      </c>
      <c r="P84" s="11">
        <f t="shared" si="116"/>
        <v>3</v>
      </c>
      <c r="AB84" s="12" t="str">
        <f t="shared" si="85"/>
        <v>FY19</v>
      </c>
      <c r="AC84" s="12">
        <f t="shared" si="86"/>
        <v>43557</v>
      </c>
      <c r="AD84" s="11">
        <f t="shared" si="87"/>
        <v>8.6024308013766007</v>
      </c>
      <c r="AE84" s="11">
        <f t="shared" si="88"/>
        <v>2</v>
      </c>
      <c r="AQ84" s="12" t="str">
        <f t="shared" si="89"/>
        <v>FY20</v>
      </c>
      <c r="AR84" s="12">
        <f t="shared" si="90"/>
        <v>43921</v>
      </c>
      <c r="AS84" s="11">
        <f t="shared" si="91"/>
        <v>10.565742994100297</v>
      </c>
      <c r="AT84" s="11">
        <f t="shared" si="92"/>
        <v>5</v>
      </c>
      <c r="BF84" s="12" t="str">
        <f t="shared" si="93"/>
        <v>FY21</v>
      </c>
      <c r="BG84" s="12">
        <f t="shared" si="94"/>
        <v>44103</v>
      </c>
      <c r="BH84" s="11">
        <f t="shared" si="95"/>
        <v>13.31184218289086</v>
      </c>
      <c r="BI84" s="11">
        <f t="shared" si="96"/>
        <v>5</v>
      </c>
      <c r="BN84" s="16">
        <v>44572</v>
      </c>
      <c r="BO84" s="15">
        <v>24718907.694198627</v>
      </c>
      <c r="BP84" s="14">
        <v>20000000</v>
      </c>
      <c r="BU84" s="12" t="str">
        <f t="shared" si="97"/>
        <v>FY22</v>
      </c>
      <c r="BV84" s="12">
        <f t="shared" si="98"/>
        <v>44656</v>
      </c>
      <c r="BW84" s="11">
        <f t="shared" si="99"/>
        <v>8.2648720501474937</v>
      </c>
      <c r="BX84" s="11">
        <f t="shared" si="100"/>
        <v>2</v>
      </c>
      <c r="CC84" s="16">
        <v>44922</v>
      </c>
      <c r="CD84" s="15">
        <v>11083673.814386204</v>
      </c>
      <c r="CE84" s="14">
        <v>10000000</v>
      </c>
      <c r="CJ84" s="12" t="str">
        <f t="shared" si="119"/>
        <v>FY23</v>
      </c>
      <c r="CK84" s="12">
        <f t="shared" si="119"/>
        <v>44971</v>
      </c>
      <c r="CL84" s="11">
        <f t="shared" si="120"/>
        <v>9.2727051282051285</v>
      </c>
      <c r="CM84" s="11">
        <f t="shared" si="120"/>
        <v>3</v>
      </c>
      <c r="CR84" s="16"/>
      <c r="CS84" s="15"/>
      <c r="CT84" s="14"/>
      <c r="CY84" s="40">
        <v>170</v>
      </c>
      <c r="CZ84" s="39">
        <f t="shared" si="111"/>
        <v>1251702300.0000002</v>
      </c>
      <c r="DA84" s="40">
        <v>320</v>
      </c>
      <c r="DB84" s="39">
        <f t="shared" si="112"/>
        <v>10152282300</v>
      </c>
      <c r="DO84" s="12" t="str">
        <f t="shared" si="117"/>
        <v>Pre GC</v>
      </c>
      <c r="DP84" s="12">
        <f t="shared" si="117"/>
        <v>44418</v>
      </c>
      <c r="DQ84" s="11">
        <f t="shared" si="118"/>
        <v>10.800299778761065</v>
      </c>
      <c r="DR84" s="11">
        <f t="shared" si="118"/>
        <v>5</v>
      </c>
      <c r="EE84" s="12" t="str">
        <f t="shared" si="121"/>
        <v>Post GC</v>
      </c>
      <c r="EF84" s="12">
        <f t="shared" si="121"/>
        <v>44768</v>
      </c>
      <c r="EG84" s="11">
        <f t="shared" si="122"/>
        <v>15.460507941910599</v>
      </c>
      <c r="EH84" s="11">
        <f t="shared" si="122"/>
        <v>10</v>
      </c>
    </row>
    <row r="85" spans="13:161" x14ac:dyDescent="0.25">
      <c r="M85" s="12" t="str">
        <f t="shared" si="113"/>
        <v>L12M</v>
      </c>
      <c r="N85" s="12">
        <f t="shared" si="114"/>
        <v>45090</v>
      </c>
      <c r="O85" s="11">
        <f t="shared" si="115"/>
        <v>17.313915453915449</v>
      </c>
      <c r="P85" s="11">
        <f t="shared" si="116"/>
        <v>20</v>
      </c>
      <c r="AB85" s="12" t="str">
        <f t="shared" si="85"/>
        <v>FY19</v>
      </c>
      <c r="AC85" s="12">
        <f t="shared" si="86"/>
        <v>43564</v>
      </c>
      <c r="AD85" s="11">
        <f t="shared" si="87"/>
        <v>10.928040437561458</v>
      </c>
      <c r="AE85" s="11">
        <f t="shared" si="88"/>
        <v>5</v>
      </c>
      <c r="AQ85" s="12" t="str">
        <f t="shared" si="89"/>
        <v>FY20</v>
      </c>
      <c r="AR85" s="12">
        <f t="shared" si="90"/>
        <v>43928</v>
      </c>
      <c r="AS85" s="11">
        <f t="shared" si="91"/>
        <v>16.704283923303837</v>
      </c>
      <c r="AT85" s="11">
        <f t="shared" si="92"/>
        <v>10</v>
      </c>
      <c r="BF85" s="12" t="str">
        <f t="shared" si="93"/>
        <v>FY21</v>
      </c>
      <c r="BG85" s="12">
        <f t="shared" si="94"/>
        <v>44096</v>
      </c>
      <c r="BH85" s="11">
        <f t="shared" si="95"/>
        <v>10.243366887905605</v>
      </c>
      <c r="BI85" s="11">
        <f t="shared" si="96"/>
        <v>2</v>
      </c>
      <c r="BN85" s="16">
        <v>44579</v>
      </c>
      <c r="BO85" s="15">
        <v>32041685.594886929</v>
      </c>
      <c r="BP85" s="14">
        <v>30000000</v>
      </c>
      <c r="BU85" s="12" t="str">
        <f t="shared" si="97"/>
        <v>FY22</v>
      </c>
      <c r="BV85" s="12">
        <f t="shared" si="98"/>
        <v>44663</v>
      </c>
      <c r="BW85" s="11">
        <f t="shared" si="99"/>
        <v>11.151636184857423</v>
      </c>
      <c r="BX85" s="11">
        <f t="shared" si="100"/>
        <v>5</v>
      </c>
      <c r="CC85" s="16">
        <v>44915</v>
      </c>
      <c r="CD85" s="15">
        <v>9188097.4585886095</v>
      </c>
      <c r="CE85" s="14">
        <v>5000000</v>
      </c>
      <c r="CJ85" s="12" t="str">
        <f t="shared" si="119"/>
        <v>FY23</v>
      </c>
      <c r="CK85" s="12">
        <f t="shared" si="119"/>
        <v>44964</v>
      </c>
      <c r="CL85" s="11">
        <f t="shared" si="120"/>
        <v>20.268493416493417</v>
      </c>
      <c r="CM85" s="11">
        <f t="shared" si="120"/>
        <v>20</v>
      </c>
      <c r="CR85" s="16"/>
      <c r="CS85" s="15"/>
      <c r="CT85" s="14"/>
      <c r="CY85" s="40">
        <v>180</v>
      </c>
      <c r="CZ85" s="39">
        <f t="shared" si="111"/>
        <v>1516774300.0000002</v>
      </c>
      <c r="DA85" s="40">
        <v>330</v>
      </c>
      <c r="DB85" s="39">
        <f t="shared" si="112"/>
        <v>11216854300</v>
      </c>
      <c r="DO85" s="12" t="str">
        <f t="shared" si="117"/>
        <v>Pre GC</v>
      </c>
      <c r="DP85" s="12">
        <f t="shared" si="117"/>
        <v>44411</v>
      </c>
      <c r="DQ85" s="11">
        <f t="shared" si="118"/>
        <v>8.7374665683382506</v>
      </c>
      <c r="DR85" s="11">
        <f t="shared" si="118"/>
        <v>2</v>
      </c>
      <c r="EE85" s="12" t="str">
        <f t="shared" si="121"/>
        <v>Post GC</v>
      </c>
      <c r="EF85" s="12">
        <f t="shared" si="121"/>
        <v>44761</v>
      </c>
      <c r="EG85" s="11">
        <f t="shared" si="122"/>
        <v>15.887167007034266</v>
      </c>
      <c r="EH85" s="11">
        <f t="shared" si="122"/>
        <v>5</v>
      </c>
    </row>
    <row r="86" spans="13:161" x14ac:dyDescent="0.25">
      <c r="M86" s="12" t="str">
        <f t="shared" si="113"/>
        <v>L12M</v>
      </c>
      <c r="N86" s="12">
        <f t="shared" si="114"/>
        <v>45083</v>
      </c>
      <c r="O86" s="11">
        <f t="shared" si="115"/>
        <v>13.397146454146457</v>
      </c>
      <c r="P86" s="11">
        <f t="shared" si="116"/>
        <v>10</v>
      </c>
      <c r="AB86" s="12" t="str">
        <f t="shared" si="85"/>
        <v>FY19</v>
      </c>
      <c r="AC86" s="12">
        <f t="shared" si="86"/>
        <v>43571</v>
      </c>
      <c r="AD86" s="11">
        <f t="shared" si="87"/>
        <v>15.318182645034415</v>
      </c>
      <c r="AE86" s="11">
        <f t="shared" si="88"/>
        <v>10</v>
      </c>
      <c r="AQ86" s="12" t="str">
        <f t="shared" si="89"/>
        <v>FY20</v>
      </c>
      <c r="AR86" s="12">
        <f t="shared" si="90"/>
        <v>43935</v>
      </c>
      <c r="AS86" s="11">
        <f t="shared" si="91"/>
        <v>19.239208702064897</v>
      </c>
      <c r="AT86" s="11">
        <f t="shared" si="92"/>
        <v>15</v>
      </c>
      <c r="BF86" s="12" t="str">
        <f t="shared" si="93"/>
        <v>FY21</v>
      </c>
      <c r="BG86" s="12">
        <f t="shared" si="94"/>
        <v>44089</v>
      </c>
      <c r="BH86" s="11">
        <f t="shared" si="95"/>
        <v>23.236850294985253</v>
      </c>
      <c r="BI86" s="11">
        <f t="shared" si="96"/>
        <v>20</v>
      </c>
      <c r="BN86" s="16">
        <v>44586</v>
      </c>
      <c r="BO86" s="15">
        <v>46351200.835791551</v>
      </c>
      <c r="BP86" s="14">
        <v>50000000</v>
      </c>
      <c r="BU86" s="12" t="str">
        <f t="shared" si="97"/>
        <v>FY22</v>
      </c>
      <c r="BV86" s="12">
        <f t="shared" si="98"/>
        <v>44670</v>
      </c>
      <c r="BW86" s="11">
        <f t="shared" si="99"/>
        <v>16.153900442477877</v>
      </c>
      <c r="BX86" s="11">
        <f t="shared" si="100"/>
        <v>10</v>
      </c>
      <c r="CC86" s="16">
        <v>44908</v>
      </c>
      <c r="CD86" s="15">
        <v>8375973.9051508987</v>
      </c>
      <c r="CE86" s="14">
        <v>3000000</v>
      </c>
      <c r="CJ86" s="12" t="str">
        <f t="shared" si="119"/>
        <v>FY23</v>
      </c>
      <c r="CK86" s="12">
        <f t="shared" si="119"/>
        <v>44957</v>
      </c>
      <c r="CL86" s="11">
        <f t="shared" si="120"/>
        <v>12.834873873873875</v>
      </c>
      <c r="CM86" s="11">
        <f t="shared" si="120"/>
        <v>10</v>
      </c>
      <c r="CR86" s="16"/>
      <c r="CS86" s="15"/>
      <c r="CT86" s="14"/>
      <c r="CY86" s="40">
        <v>190</v>
      </c>
      <c r="CZ86" s="39">
        <f t="shared" si="111"/>
        <v>1818346300</v>
      </c>
      <c r="DA86" s="40">
        <v>340</v>
      </c>
      <c r="DB86" s="39">
        <f t="shared" si="112"/>
        <v>12353926300.000002</v>
      </c>
      <c r="DO86" s="12" t="str">
        <f t="shared" si="117"/>
        <v>Pre GC</v>
      </c>
      <c r="DP86" s="12">
        <f t="shared" si="117"/>
        <v>44404</v>
      </c>
      <c r="DQ86" s="11">
        <f t="shared" si="118"/>
        <v>15.715806907571292</v>
      </c>
      <c r="DR86" s="11">
        <f t="shared" si="118"/>
        <v>10</v>
      </c>
      <c r="EE86" s="12" t="str">
        <f t="shared" si="121"/>
        <v>Post GC</v>
      </c>
      <c r="EF86" s="12">
        <f t="shared" si="121"/>
        <v>44754</v>
      </c>
      <c r="EG86" s="11">
        <f t="shared" si="122"/>
        <v>8.9883838211935565</v>
      </c>
      <c r="EH86" s="11">
        <f t="shared" si="122"/>
        <v>3</v>
      </c>
    </row>
    <row r="87" spans="13:161" x14ac:dyDescent="0.25">
      <c r="M87" s="12" t="str">
        <f t="shared" si="113"/>
        <v>L12M</v>
      </c>
      <c r="N87" s="12">
        <f t="shared" si="114"/>
        <v>45076</v>
      </c>
      <c r="O87" s="11">
        <f t="shared" si="115"/>
        <v>9.865218988218988</v>
      </c>
      <c r="P87" s="11">
        <f t="shared" si="116"/>
        <v>5</v>
      </c>
      <c r="AB87" s="12" t="str">
        <f t="shared" si="85"/>
        <v>FY19</v>
      </c>
      <c r="AC87" s="12">
        <f t="shared" si="86"/>
        <v>43578</v>
      </c>
      <c r="AD87" s="11">
        <f t="shared" si="87"/>
        <v>16.349433997050152</v>
      </c>
      <c r="AE87" s="11">
        <f t="shared" si="88"/>
        <v>15</v>
      </c>
      <c r="AQ87" s="12" t="str">
        <f t="shared" si="89"/>
        <v>FY20</v>
      </c>
      <c r="AR87" s="12">
        <f t="shared" si="90"/>
        <v>43942</v>
      </c>
      <c r="AS87" s="11">
        <f t="shared" si="91"/>
        <v>8.448518928220258</v>
      </c>
      <c r="AT87" s="11">
        <f t="shared" si="92"/>
        <v>2</v>
      </c>
      <c r="BF87" s="12" t="str">
        <f t="shared" si="93"/>
        <v>FY21</v>
      </c>
      <c r="BG87" s="12">
        <f t="shared" si="94"/>
        <v>44082</v>
      </c>
      <c r="BH87" s="11">
        <f t="shared" si="95"/>
        <v>17.498731194690269</v>
      </c>
      <c r="BI87" s="11">
        <f t="shared" si="96"/>
        <v>10</v>
      </c>
      <c r="BN87" s="16">
        <v>44593</v>
      </c>
      <c r="BO87" s="15">
        <v>9568139.3805309739</v>
      </c>
      <c r="BP87" s="14">
        <v>2000000</v>
      </c>
      <c r="BU87" s="12" t="str">
        <f t="shared" si="97"/>
        <v>FY22</v>
      </c>
      <c r="BV87" s="12">
        <f t="shared" si="98"/>
        <v>44677</v>
      </c>
      <c r="BW87" s="11">
        <f t="shared" si="99"/>
        <v>21.468686578171091</v>
      </c>
      <c r="BX87" s="11">
        <f t="shared" si="100"/>
        <v>20</v>
      </c>
      <c r="CC87" s="16">
        <v>44901</v>
      </c>
      <c r="CD87" s="15">
        <v>24007308.373042881</v>
      </c>
      <c r="CE87" s="14">
        <v>30000000</v>
      </c>
      <c r="CJ87" s="12" t="str">
        <f t="shared" si="119"/>
        <v>FY23</v>
      </c>
      <c r="CK87" s="12">
        <f t="shared" si="119"/>
        <v>44950</v>
      </c>
      <c r="CL87" s="11">
        <f t="shared" si="120"/>
        <v>9.8822077847077843</v>
      </c>
      <c r="CM87" s="11">
        <f t="shared" si="120"/>
        <v>5</v>
      </c>
      <c r="CR87" s="16"/>
      <c r="CS87" s="15"/>
      <c r="CT87" s="14"/>
      <c r="CY87" s="40">
        <v>200</v>
      </c>
      <c r="CZ87" s="39">
        <f t="shared" si="111"/>
        <v>2158818300</v>
      </c>
      <c r="DA87" s="40">
        <v>350</v>
      </c>
      <c r="DB87" s="39">
        <f t="shared" si="112"/>
        <v>13565898300</v>
      </c>
      <c r="DO87" s="12" t="str">
        <f t="shared" si="117"/>
        <v>Pre GC</v>
      </c>
      <c r="DP87" s="12">
        <f t="shared" si="117"/>
        <v>44397</v>
      </c>
      <c r="DQ87" s="11">
        <f t="shared" si="118"/>
        <v>11.303058628318587</v>
      </c>
      <c r="DR87" s="11">
        <f t="shared" si="118"/>
        <v>5</v>
      </c>
      <c r="EE87" s="12" t="str">
        <f t="shared" si="121"/>
        <v>Post GC</v>
      </c>
      <c r="EF87" s="12">
        <f t="shared" si="121"/>
        <v>44747</v>
      </c>
      <c r="EG87" s="11">
        <f t="shared" si="122"/>
        <v>26.744814045836172</v>
      </c>
      <c r="EH87" s="11">
        <f t="shared" si="122"/>
        <v>30</v>
      </c>
    </row>
    <row r="88" spans="13:161" x14ac:dyDescent="0.25">
      <c r="M88" s="12" t="str">
        <f t="shared" si="113"/>
        <v>L12M</v>
      </c>
      <c r="N88" s="12">
        <f t="shared" si="114"/>
        <v>45069</v>
      </c>
      <c r="O88" s="11">
        <f t="shared" si="115"/>
        <v>8.7031183876183871</v>
      </c>
      <c r="P88" s="11">
        <f t="shared" si="116"/>
        <v>3</v>
      </c>
      <c r="AB88" s="12" t="str">
        <f t="shared" si="85"/>
        <v>FY19</v>
      </c>
      <c r="AC88" s="12">
        <f t="shared" si="86"/>
        <v>43585</v>
      </c>
      <c r="AD88" s="11">
        <f t="shared" si="87"/>
        <v>7.7817809734513288</v>
      </c>
      <c r="AE88" s="11">
        <f t="shared" si="88"/>
        <v>2</v>
      </c>
      <c r="AQ88" s="12" t="str">
        <f t="shared" si="89"/>
        <v>FY20</v>
      </c>
      <c r="AR88" s="12">
        <f t="shared" si="90"/>
        <v>43949</v>
      </c>
      <c r="AS88" s="11">
        <f t="shared" si="91"/>
        <v>8.8295294985250763</v>
      </c>
      <c r="AT88" s="11">
        <f t="shared" si="92"/>
        <v>2</v>
      </c>
      <c r="BF88" s="12" t="str">
        <f t="shared" si="93"/>
        <v>FY21</v>
      </c>
      <c r="BG88" s="12">
        <f t="shared" si="94"/>
        <v>44075</v>
      </c>
      <c r="BH88" s="11">
        <f t="shared" si="95"/>
        <v>12.143818829891842</v>
      </c>
      <c r="BI88" s="11">
        <f t="shared" si="96"/>
        <v>5</v>
      </c>
      <c r="BN88" s="16">
        <v>44600</v>
      </c>
      <c r="BO88" s="15">
        <v>10997342.920353984</v>
      </c>
      <c r="BP88" s="14">
        <v>5000000</v>
      </c>
      <c r="BU88" s="12" t="str">
        <f t="shared" si="97"/>
        <v>FY22</v>
      </c>
      <c r="BV88" s="12">
        <f t="shared" si="98"/>
        <v>44684</v>
      </c>
      <c r="BW88" s="11">
        <f t="shared" si="99"/>
        <v>8.2340163470993133</v>
      </c>
      <c r="BX88" s="11">
        <f t="shared" si="100"/>
        <v>2</v>
      </c>
      <c r="CC88" s="16">
        <v>44894</v>
      </c>
      <c r="CD88" s="15">
        <v>19316402.995234855</v>
      </c>
      <c r="CE88" s="14">
        <v>20000000</v>
      </c>
      <c r="CJ88" s="12" t="str">
        <f t="shared" si="119"/>
        <v>FY23</v>
      </c>
      <c r="CK88" s="12">
        <f t="shared" si="119"/>
        <v>44943</v>
      </c>
      <c r="CL88" s="11">
        <f t="shared" si="120"/>
        <v>8.8343585123585111</v>
      </c>
      <c r="CM88" s="11">
        <f t="shared" si="120"/>
        <v>3</v>
      </c>
      <c r="CR88" s="16"/>
      <c r="CS88" s="15"/>
      <c r="CT88" s="14"/>
      <c r="CY88" s="40"/>
      <c r="CZ88" s="39"/>
      <c r="DA88" s="40"/>
      <c r="DB88" s="39"/>
      <c r="DO88" s="12" t="str">
        <f t="shared" si="117"/>
        <v>Pre GC</v>
      </c>
      <c r="DP88" s="12">
        <f t="shared" si="117"/>
        <v>44390</v>
      </c>
      <c r="DQ88" s="11">
        <f t="shared" si="118"/>
        <v>9.2202829400196649</v>
      </c>
      <c r="DR88" s="11">
        <f t="shared" si="118"/>
        <v>2</v>
      </c>
      <c r="EE88" s="12" t="str">
        <f t="shared" si="121"/>
        <v>Post GC</v>
      </c>
      <c r="EF88" s="12">
        <f t="shared" si="121"/>
        <v>44740</v>
      </c>
      <c r="EG88" s="11">
        <f t="shared" si="122"/>
        <v>16.459891309280689</v>
      </c>
      <c r="EH88" s="11">
        <f t="shared" si="122"/>
        <v>20</v>
      </c>
    </row>
    <row r="89" spans="13:161" x14ac:dyDescent="0.25">
      <c r="M89" s="12" t="str">
        <f t="shared" si="113"/>
        <v>L12M</v>
      </c>
      <c r="N89" s="12">
        <f t="shared" si="114"/>
        <v>45062</v>
      </c>
      <c r="O89" s="11">
        <f t="shared" si="115"/>
        <v>29.237498960498957</v>
      </c>
      <c r="P89" s="11">
        <f t="shared" si="116"/>
        <v>30</v>
      </c>
      <c r="AB89" s="12" t="str">
        <f t="shared" si="85"/>
        <v>FY19</v>
      </c>
      <c r="AC89" s="12">
        <f t="shared" si="86"/>
        <v>43592</v>
      </c>
      <c r="AD89" s="11">
        <f t="shared" si="87"/>
        <v>9.5045864060963652</v>
      </c>
      <c r="AE89" s="11">
        <f t="shared" si="88"/>
        <v>5</v>
      </c>
      <c r="AQ89" s="12" t="str">
        <f t="shared" si="89"/>
        <v>FY20</v>
      </c>
      <c r="AR89" s="12">
        <f t="shared" si="90"/>
        <v>43956</v>
      </c>
      <c r="AS89" s="11">
        <f t="shared" si="91"/>
        <v>11.116368731563423</v>
      </c>
      <c r="AT89" s="11">
        <f t="shared" si="92"/>
        <v>5</v>
      </c>
      <c r="BF89" s="12" t="str">
        <f t="shared" si="93"/>
        <v>FY21</v>
      </c>
      <c r="BG89" s="12">
        <f t="shared" si="94"/>
        <v>44068</v>
      </c>
      <c r="BH89" s="11">
        <f t="shared" si="95"/>
        <v>9.9890770648967546</v>
      </c>
      <c r="BI89" s="11">
        <f t="shared" si="96"/>
        <v>2</v>
      </c>
      <c r="BN89" s="16">
        <v>44607</v>
      </c>
      <c r="BO89" s="15">
        <v>15074664.70009833</v>
      </c>
      <c r="BP89" s="14">
        <v>10000000</v>
      </c>
      <c r="BU89" s="12" t="str">
        <f t="shared" si="97"/>
        <v>FY22</v>
      </c>
      <c r="BV89" s="12">
        <f t="shared" si="98"/>
        <v>44691</v>
      </c>
      <c r="BW89" s="11">
        <f t="shared" si="99"/>
        <v>9.9194193706981331</v>
      </c>
      <c r="BX89" s="11">
        <f t="shared" si="100"/>
        <v>5</v>
      </c>
      <c r="CC89" s="16">
        <v>44887</v>
      </c>
      <c r="CD89" s="15">
        <v>12652465.963240299</v>
      </c>
      <c r="CE89" s="14">
        <v>10000000</v>
      </c>
      <c r="CJ89" s="12" t="str">
        <f t="shared" si="119"/>
        <v>FY23</v>
      </c>
      <c r="CK89" s="12">
        <f t="shared" si="119"/>
        <v>44936</v>
      </c>
      <c r="CL89" s="11">
        <f t="shared" si="120"/>
        <v>9.2527970662970649</v>
      </c>
      <c r="CM89" s="11">
        <f t="shared" si="120"/>
        <v>3</v>
      </c>
      <c r="CR89" s="16"/>
      <c r="CS89" s="15"/>
      <c r="CT89" s="14"/>
      <c r="CY89" s="40"/>
      <c r="CZ89" s="39"/>
      <c r="DA89" s="40"/>
      <c r="DB89" s="39"/>
      <c r="DO89" s="12" t="str">
        <f t="shared" si="117"/>
        <v>Pre GC</v>
      </c>
      <c r="DP89" s="12">
        <f t="shared" si="117"/>
        <v>44383</v>
      </c>
      <c r="DQ89" s="11">
        <f t="shared" si="118"/>
        <v>25.373026302851532</v>
      </c>
      <c r="DR89" s="11">
        <f t="shared" si="118"/>
        <v>20</v>
      </c>
      <c r="EE89" s="12" t="str">
        <f t="shared" si="121"/>
        <v>Post GC</v>
      </c>
      <c r="EF89" s="12">
        <f t="shared" si="121"/>
        <v>44733</v>
      </c>
      <c r="EG89" s="11">
        <f t="shared" si="122"/>
        <v>12.227484570002272</v>
      </c>
      <c r="EH89" s="11">
        <f t="shared" si="122"/>
        <v>10</v>
      </c>
    </row>
    <row r="90" spans="13:161" x14ac:dyDescent="0.25">
      <c r="M90" s="12" t="str">
        <f t="shared" si="113"/>
        <v>L12M</v>
      </c>
      <c r="N90" s="12">
        <f t="shared" si="114"/>
        <v>45055</v>
      </c>
      <c r="O90" s="11">
        <f t="shared" si="115"/>
        <v>21.594296604296606</v>
      </c>
      <c r="P90" s="11">
        <f t="shared" si="116"/>
        <v>20</v>
      </c>
      <c r="AB90" s="12" t="str">
        <f t="shared" si="85"/>
        <v>FY19</v>
      </c>
      <c r="AC90" s="12">
        <f t="shared" si="86"/>
        <v>43599</v>
      </c>
      <c r="AD90" s="11">
        <f t="shared" si="87"/>
        <v>14.241673672566375</v>
      </c>
      <c r="AE90" s="11">
        <f t="shared" si="88"/>
        <v>10</v>
      </c>
      <c r="AQ90" s="12" t="str">
        <f t="shared" si="89"/>
        <v>FY20</v>
      </c>
      <c r="AR90" s="12">
        <f t="shared" si="90"/>
        <v>43963</v>
      </c>
      <c r="AS90" s="11">
        <f t="shared" si="91"/>
        <v>18.68411369223206</v>
      </c>
      <c r="AT90" s="11">
        <f t="shared" si="92"/>
        <v>10</v>
      </c>
      <c r="BF90" s="12" t="str">
        <f t="shared" si="93"/>
        <v>FY21</v>
      </c>
      <c r="BG90" s="12">
        <f t="shared" si="94"/>
        <v>44061</v>
      </c>
      <c r="BH90" s="11">
        <f t="shared" si="95"/>
        <v>22.205153146509346</v>
      </c>
      <c r="BI90" s="11">
        <f t="shared" si="96"/>
        <v>10</v>
      </c>
      <c r="BN90" s="16">
        <v>44614</v>
      </c>
      <c r="BO90" s="15">
        <v>9469921.951819079</v>
      </c>
      <c r="BP90" s="14">
        <v>2000000</v>
      </c>
      <c r="BU90" s="12"/>
      <c r="BV90" s="12"/>
      <c r="BW90" s="11"/>
      <c r="BX90" s="11"/>
      <c r="CC90" s="16">
        <v>44880</v>
      </c>
      <c r="CD90" s="15">
        <v>14048715.452688906</v>
      </c>
      <c r="CE90" s="14">
        <v>5000000</v>
      </c>
      <c r="CJ90" s="12" t="str">
        <f t="shared" si="119"/>
        <v>FY23</v>
      </c>
      <c r="CK90" s="12">
        <f t="shared" si="119"/>
        <v>44929</v>
      </c>
      <c r="CL90" s="11">
        <f t="shared" si="120"/>
        <v>20.78927465927466</v>
      </c>
      <c r="CM90" s="11">
        <f t="shared" si="120"/>
        <v>20</v>
      </c>
      <c r="CR90" s="16"/>
      <c r="CS90" s="15"/>
      <c r="CT90" s="14"/>
      <c r="CY90" s="2" t="s">
        <v>28</v>
      </c>
      <c r="CZ90" s="42">
        <v>70000000</v>
      </c>
      <c r="DA90" s="40"/>
      <c r="DB90" s="39"/>
      <c r="DO90" s="12" t="str">
        <f t="shared" si="117"/>
        <v>Pre GC</v>
      </c>
      <c r="DP90" s="12">
        <f t="shared" si="117"/>
        <v>44376</v>
      </c>
      <c r="DQ90" s="11">
        <f t="shared" si="118"/>
        <v>14.779653146509341</v>
      </c>
      <c r="DR90" s="11">
        <f t="shared" si="118"/>
        <v>10</v>
      </c>
      <c r="EE90" s="12" t="str">
        <f t="shared" si="121"/>
        <v>Post GC</v>
      </c>
      <c r="EF90" s="12">
        <f t="shared" si="121"/>
        <v>44726</v>
      </c>
      <c r="EG90" s="11">
        <f t="shared" si="122"/>
        <v>9.0675329022010427</v>
      </c>
      <c r="EH90" s="11">
        <f t="shared" si="122"/>
        <v>5</v>
      </c>
    </row>
    <row r="91" spans="13:161" x14ac:dyDescent="0.25">
      <c r="M91" s="12" t="str">
        <f t="shared" si="113"/>
        <v>L12M</v>
      </c>
      <c r="N91" s="12">
        <f t="shared" si="114"/>
        <v>45048</v>
      </c>
      <c r="O91" s="11">
        <f t="shared" si="115"/>
        <v>14.635402517902518</v>
      </c>
      <c r="P91" s="11">
        <f t="shared" si="116"/>
        <v>10</v>
      </c>
      <c r="AB91" s="12" t="str">
        <f t="shared" si="85"/>
        <v>FY19</v>
      </c>
      <c r="AC91" s="12">
        <f t="shared" si="86"/>
        <v>43606</v>
      </c>
      <c r="AD91" s="11">
        <f t="shared" si="87"/>
        <v>18.252359636184863</v>
      </c>
      <c r="AE91" s="11">
        <f t="shared" si="88"/>
        <v>15</v>
      </c>
      <c r="AQ91" s="12" t="str">
        <f t="shared" si="89"/>
        <v>FY20</v>
      </c>
      <c r="AR91" s="12">
        <f t="shared" si="90"/>
        <v>43970</v>
      </c>
      <c r="AS91" s="11">
        <f t="shared" si="91"/>
        <v>23.689684365781712</v>
      </c>
      <c r="AT91" s="11">
        <f t="shared" si="92"/>
        <v>15</v>
      </c>
      <c r="BF91" s="12" t="str">
        <f t="shared" si="93"/>
        <v>FY21</v>
      </c>
      <c r="BG91" s="12">
        <f t="shared" si="94"/>
        <v>44054</v>
      </c>
      <c r="BH91" s="11">
        <f t="shared" si="95"/>
        <v>13.638125368731565</v>
      </c>
      <c r="BI91" s="11">
        <f t="shared" si="96"/>
        <v>5</v>
      </c>
      <c r="BN91" s="16">
        <v>44621</v>
      </c>
      <c r="BO91" s="15">
        <v>12893113.692232059</v>
      </c>
      <c r="BP91" s="14">
        <v>5000000</v>
      </c>
      <c r="BU91" s="12"/>
      <c r="BV91" s="12"/>
      <c r="BW91" s="11"/>
      <c r="BX91" s="11"/>
      <c r="CC91" s="16">
        <v>44873</v>
      </c>
      <c r="CD91" s="15">
        <v>8820984.6834581364</v>
      </c>
      <c r="CE91" s="14">
        <v>3000000</v>
      </c>
      <c r="CJ91" s="12" t="str">
        <f t="shared" si="119"/>
        <v>FY23</v>
      </c>
      <c r="CK91" s="12">
        <f t="shared" si="119"/>
        <v>44922</v>
      </c>
      <c r="CL91" s="11">
        <f t="shared" si="120"/>
        <v>11.083673814386204</v>
      </c>
      <c r="CM91" s="11">
        <f t="shared" si="120"/>
        <v>10</v>
      </c>
      <c r="CR91" s="16"/>
      <c r="CS91" s="15"/>
      <c r="CT91" s="14"/>
      <c r="DO91" s="12" t="str">
        <f t="shared" si="117"/>
        <v>Pre GC</v>
      </c>
      <c r="DP91" s="12">
        <f t="shared" si="117"/>
        <v>44369</v>
      </c>
      <c r="DQ91" s="11">
        <f t="shared" si="118"/>
        <v>10.317431661750248</v>
      </c>
      <c r="DR91" s="11">
        <f t="shared" si="118"/>
        <v>5</v>
      </c>
      <c r="EE91" s="12" t="str">
        <f t="shared" si="121"/>
        <v>Post GC</v>
      </c>
      <c r="EF91" s="12">
        <f t="shared" si="121"/>
        <v>44719</v>
      </c>
      <c r="EG91" s="11">
        <f t="shared" si="122"/>
        <v>8.4432679827547084</v>
      </c>
      <c r="EH91" s="11">
        <f t="shared" si="122"/>
        <v>3</v>
      </c>
    </row>
    <row r="92" spans="13:161" x14ac:dyDescent="0.25">
      <c r="M92" s="12" t="str">
        <f t="shared" si="113"/>
        <v>L12M</v>
      </c>
      <c r="N92" s="12">
        <f t="shared" si="114"/>
        <v>45041</v>
      </c>
      <c r="O92" s="11">
        <f t="shared" si="115"/>
        <v>9.7251242781242766</v>
      </c>
      <c r="P92" s="11">
        <f t="shared" si="116"/>
        <v>5</v>
      </c>
      <c r="AB92" s="12" t="str">
        <f t="shared" si="85"/>
        <v>FY19</v>
      </c>
      <c r="AC92" s="12">
        <f t="shared" si="86"/>
        <v>43613</v>
      </c>
      <c r="AD92" s="11">
        <f t="shared" si="87"/>
        <v>27.160876106194692</v>
      </c>
      <c r="AE92" s="11">
        <f t="shared" si="88"/>
        <v>30</v>
      </c>
      <c r="AQ92" s="12" t="str">
        <f t="shared" si="89"/>
        <v>FY20</v>
      </c>
      <c r="AR92" s="12">
        <f t="shared" si="90"/>
        <v>43977</v>
      </c>
      <c r="AS92" s="11">
        <f t="shared" si="91"/>
        <v>9.2258298918387442</v>
      </c>
      <c r="AT92" s="11">
        <f t="shared" si="92"/>
        <v>2</v>
      </c>
      <c r="BF92" s="12" t="str">
        <f t="shared" si="93"/>
        <v>FY21</v>
      </c>
      <c r="BG92" s="12">
        <f t="shared" si="94"/>
        <v>44047</v>
      </c>
      <c r="BH92" s="11">
        <f t="shared" si="95"/>
        <v>10.415211897738448</v>
      </c>
      <c r="BI92" s="11">
        <f t="shared" si="96"/>
        <v>2</v>
      </c>
      <c r="BN92" s="16">
        <v>44628</v>
      </c>
      <c r="BO92" s="15">
        <v>18445974.557522126</v>
      </c>
      <c r="BP92" s="14">
        <v>10000000</v>
      </c>
      <c r="BU92" s="12"/>
      <c r="BV92" s="12"/>
      <c r="BW92" s="11"/>
      <c r="BX92" s="11"/>
      <c r="CC92" s="16">
        <v>44866</v>
      </c>
      <c r="CD92" s="15">
        <v>24033234.286362607</v>
      </c>
      <c r="CE92" s="14">
        <v>20000000</v>
      </c>
      <c r="CJ92" s="12" t="str">
        <f t="shared" si="119"/>
        <v>FY23</v>
      </c>
      <c r="CK92" s="12">
        <f t="shared" si="119"/>
        <v>44915</v>
      </c>
      <c r="CL92" s="11">
        <f t="shared" si="120"/>
        <v>9.1880974585886097</v>
      </c>
      <c r="CM92" s="11">
        <f t="shared" si="120"/>
        <v>5</v>
      </c>
      <c r="CR92" s="16"/>
      <c r="CS92" s="15"/>
      <c r="CT92" s="14"/>
      <c r="CY92" s="38" t="s">
        <v>27</v>
      </c>
      <c r="CZ92" s="38" t="s">
        <v>26</v>
      </c>
      <c r="DA92" s="38" t="s">
        <v>25</v>
      </c>
      <c r="DB92" s="38" t="s">
        <v>24</v>
      </c>
      <c r="DO92" s="12" t="str">
        <f t="shared" si="117"/>
        <v>Pre GC</v>
      </c>
      <c r="DP92" s="12">
        <f t="shared" si="117"/>
        <v>44362</v>
      </c>
      <c r="DQ92" s="11">
        <f t="shared" si="118"/>
        <v>8.3530850540806298</v>
      </c>
      <c r="DR92" s="11">
        <f t="shared" si="118"/>
        <v>2</v>
      </c>
      <c r="EE92" s="12" t="str">
        <f t="shared" si="121"/>
        <v>Post GC</v>
      </c>
      <c r="EF92" s="12">
        <f t="shared" si="121"/>
        <v>44712</v>
      </c>
      <c r="EG92" s="11">
        <f t="shared" si="122"/>
        <v>10.614764125255279</v>
      </c>
      <c r="EH92" s="11">
        <f t="shared" si="122"/>
        <v>5</v>
      </c>
    </row>
    <row r="93" spans="13:161" x14ac:dyDescent="0.25">
      <c r="M93" s="12" t="str">
        <f t="shared" si="113"/>
        <v>L12M</v>
      </c>
      <c r="N93" s="12">
        <f t="shared" si="114"/>
        <v>45034</v>
      </c>
      <c r="O93" s="11">
        <f t="shared" si="115"/>
        <v>9.2700094710094678</v>
      </c>
      <c r="P93" s="11">
        <f t="shared" si="116"/>
        <v>3</v>
      </c>
      <c r="AB93" s="12" t="str">
        <f t="shared" si="85"/>
        <v>FY19</v>
      </c>
      <c r="AC93" s="12">
        <f t="shared" si="86"/>
        <v>43620</v>
      </c>
      <c r="AD93" s="11">
        <f t="shared" si="87"/>
        <v>33.138245329400206</v>
      </c>
      <c r="AE93" s="11">
        <f t="shared" si="88"/>
        <v>40</v>
      </c>
      <c r="AQ93" s="12" t="str">
        <f t="shared" si="89"/>
        <v>FY20</v>
      </c>
      <c r="AR93" s="12">
        <f t="shared" si="90"/>
        <v>43984</v>
      </c>
      <c r="AS93" s="11">
        <f t="shared" si="91"/>
        <v>9.383140363815146</v>
      </c>
      <c r="AT93" s="11">
        <f t="shared" si="92"/>
        <v>2</v>
      </c>
      <c r="BF93" s="12" t="str">
        <f t="shared" si="93"/>
        <v>FY21</v>
      </c>
      <c r="BG93" s="12">
        <f t="shared" si="94"/>
        <v>44040</v>
      </c>
      <c r="BH93" s="11">
        <f t="shared" si="95"/>
        <v>19.466334316617509</v>
      </c>
      <c r="BI93" s="11">
        <f t="shared" si="96"/>
        <v>10</v>
      </c>
      <c r="BN93" s="16">
        <v>44635</v>
      </c>
      <c r="BO93" s="15">
        <v>8610531.5880039353</v>
      </c>
      <c r="BP93" s="14">
        <v>2000000</v>
      </c>
      <c r="BU93" s="12"/>
      <c r="BV93" s="12"/>
      <c r="BW93" s="11"/>
      <c r="BX93" s="11"/>
      <c r="CC93" s="16">
        <v>44859</v>
      </c>
      <c r="CD93" s="15">
        <v>12969386.884501932</v>
      </c>
      <c r="CE93" s="14">
        <v>10000000</v>
      </c>
      <c r="CJ93" s="12" t="str">
        <f t="shared" si="119"/>
        <v>FY23</v>
      </c>
      <c r="CK93" s="12">
        <f t="shared" si="119"/>
        <v>44908</v>
      </c>
      <c r="CL93" s="11">
        <f t="shared" si="120"/>
        <v>8.3759739051508983</v>
      </c>
      <c r="CM93" s="11">
        <f t="shared" si="120"/>
        <v>3</v>
      </c>
      <c r="CR93" s="16"/>
      <c r="CS93" s="15"/>
      <c r="CT93" s="14"/>
      <c r="CY93" s="12" t="str">
        <f t="shared" ref="CY93:CY124" si="123">CQ3</f>
        <v>FY24</v>
      </c>
      <c r="CZ93" s="12">
        <f t="shared" ref="CZ93:CZ124" si="124">CR3</f>
        <v>45111</v>
      </c>
      <c r="DA93" s="11">
        <f t="shared" ref="DA93:DA124" si="125">IF(OR(ISBLANK(CS3),$CT3&gt;=$CZ$90),NA(),CS3/1000000)</f>
        <v>14.5575610995611</v>
      </c>
      <c r="DB93" s="11">
        <f t="shared" ref="DB93:DB124" si="126">IF(OR(ISBLANK(CT3),$CT3&gt;=$CZ$90),NA(),CT3/1000000)</f>
        <v>10</v>
      </c>
      <c r="DO93" s="12" t="str">
        <f t="shared" si="117"/>
        <v>Pre GC</v>
      </c>
      <c r="DP93" s="12">
        <f t="shared" si="117"/>
        <v>44355</v>
      </c>
      <c r="DQ93" s="11">
        <f t="shared" si="118"/>
        <v>17.663805555555555</v>
      </c>
      <c r="DR93" s="11">
        <f t="shared" si="118"/>
        <v>10</v>
      </c>
      <c r="EE93" s="12" t="str">
        <f t="shared" si="121"/>
        <v>Post GC</v>
      </c>
      <c r="EF93" s="12">
        <f t="shared" si="121"/>
        <v>44705</v>
      </c>
      <c r="EG93" s="11">
        <f t="shared" si="122"/>
        <v>9.0062397322441576</v>
      </c>
      <c r="EH93" s="11">
        <f t="shared" si="122"/>
        <v>3</v>
      </c>
    </row>
    <row r="94" spans="13:161" x14ac:dyDescent="0.25">
      <c r="M94" s="12" t="str">
        <f t="shared" si="113"/>
        <v>L12M</v>
      </c>
      <c r="N94" s="12">
        <f t="shared" si="114"/>
        <v>45027</v>
      </c>
      <c r="O94" s="11">
        <f t="shared" si="115"/>
        <v>24.316174405174401</v>
      </c>
      <c r="P94" s="11">
        <f t="shared" si="116"/>
        <v>30</v>
      </c>
      <c r="AB94" s="12" t="str">
        <f t="shared" si="85"/>
        <v>FY19</v>
      </c>
      <c r="AC94" s="12">
        <f t="shared" si="86"/>
        <v>43627</v>
      </c>
      <c r="AD94" s="11">
        <f t="shared" si="87"/>
        <v>40.267214355948873</v>
      </c>
      <c r="AE94" s="11">
        <f t="shared" si="88"/>
        <v>50</v>
      </c>
      <c r="AQ94" s="12" t="str">
        <f t="shared" si="89"/>
        <v>FY20</v>
      </c>
      <c r="AR94" s="12">
        <f t="shared" si="90"/>
        <v>43991</v>
      </c>
      <c r="AS94" s="11">
        <f t="shared" si="91"/>
        <v>12.050755653883975</v>
      </c>
      <c r="AT94" s="11">
        <f t="shared" si="92"/>
        <v>5</v>
      </c>
      <c r="BF94" s="12" t="str">
        <f t="shared" si="93"/>
        <v>FY21</v>
      </c>
      <c r="BG94" s="12">
        <f t="shared" si="94"/>
        <v>44033</v>
      </c>
      <c r="BH94" s="11">
        <f t="shared" si="95"/>
        <v>13.272160766961655</v>
      </c>
      <c r="BI94" s="11">
        <f t="shared" si="96"/>
        <v>5</v>
      </c>
      <c r="BN94" s="16">
        <v>44642</v>
      </c>
      <c r="BO94" s="15">
        <v>11822875.491642086</v>
      </c>
      <c r="BP94" s="14">
        <v>5000000</v>
      </c>
      <c r="BU94" s="12"/>
      <c r="BV94" s="12"/>
      <c r="BW94" s="11"/>
      <c r="BX94" s="11"/>
      <c r="CC94" s="16">
        <v>44852</v>
      </c>
      <c r="CD94" s="15">
        <v>9147285.341502158</v>
      </c>
      <c r="CE94" s="14">
        <v>5000000</v>
      </c>
      <c r="CJ94" s="12" t="str">
        <f t="shared" si="119"/>
        <v>FY23</v>
      </c>
      <c r="CK94" s="12">
        <f t="shared" si="119"/>
        <v>44901</v>
      </c>
      <c r="CL94" s="11">
        <f t="shared" si="120"/>
        <v>24.007308373042882</v>
      </c>
      <c r="CM94" s="11">
        <f t="shared" si="120"/>
        <v>30</v>
      </c>
      <c r="CR94" s="16"/>
      <c r="CS94" s="15"/>
      <c r="CT94" s="14"/>
      <c r="CY94" s="12" t="str">
        <f t="shared" si="123"/>
        <v>FY24</v>
      </c>
      <c r="CZ94" s="12">
        <f t="shared" si="124"/>
        <v>45118</v>
      </c>
      <c r="DA94" s="11">
        <f t="shared" si="125"/>
        <v>20.429754215754212</v>
      </c>
      <c r="DB94" s="11">
        <f t="shared" si="126"/>
        <v>20</v>
      </c>
      <c r="DO94" s="12" t="str">
        <f t="shared" si="117"/>
        <v>Pre GC</v>
      </c>
      <c r="DP94" s="12">
        <f t="shared" si="117"/>
        <v>44348</v>
      </c>
      <c r="DQ94" s="11">
        <f t="shared" si="118"/>
        <v>12.060125245821046</v>
      </c>
      <c r="DR94" s="11">
        <f t="shared" si="118"/>
        <v>5</v>
      </c>
      <c r="EE94" s="12" t="str">
        <f t="shared" si="121"/>
        <v>Post GC</v>
      </c>
      <c r="EF94" s="12">
        <f t="shared" si="121"/>
        <v>44698</v>
      </c>
      <c r="EG94" s="11">
        <f t="shared" si="122"/>
        <v>13.527500000000002</v>
      </c>
      <c r="EH94" s="11">
        <f t="shared" si="122"/>
        <v>10</v>
      </c>
    </row>
    <row r="95" spans="13:161" x14ac:dyDescent="0.25">
      <c r="M95" s="12" t="str">
        <f t="shared" si="113"/>
        <v>L12M</v>
      </c>
      <c r="N95" s="12">
        <f t="shared" si="114"/>
        <v>45020</v>
      </c>
      <c r="O95" s="11">
        <f t="shared" si="115"/>
        <v>20.387653730653728</v>
      </c>
      <c r="P95" s="11">
        <f t="shared" si="116"/>
        <v>20</v>
      </c>
      <c r="AB95" s="12" t="str">
        <f t="shared" si="85"/>
        <v>FY19</v>
      </c>
      <c r="AC95" s="12">
        <f t="shared" si="86"/>
        <v>43634</v>
      </c>
      <c r="AD95" s="11">
        <f t="shared" si="87"/>
        <v>61.295996435594908</v>
      </c>
      <c r="AE95" s="11">
        <f t="shared" si="88"/>
        <v>70</v>
      </c>
      <c r="AQ95" s="12" t="str">
        <f t="shared" si="89"/>
        <v>FY20</v>
      </c>
      <c r="AR95" s="12">
        <f t="shared" si="90"/>
        <v>43998</v>
      </c>
      <c r="AS95" s="11">
        <f t="shared" si="91"/>
        <v>17.68526794493609</v>
      </c>
      <c r="AT95" s="11">
        <f t="shared" si="92"/>
        <v>10</v>
      </c>
      <c r="BF95" s="12" t="str">
        <f t="shared" si="93"/>
        <v>FY21</v>
      </c>
      <c r="BG95" s="12">
        <f t="shared" si="94"/>
        <v>44026</v>
      </c>
      <c r="BH95" s="11">
        <f t="shared" si="95"/>
        <v>10.57330162241888</v>
      </c>
      <c r="BI95" s="11">
        <f t="shared" si="96"/>
        <v>2</v>
      </c>
      <c r="BN95" s="16">
        <v>44649</v>
      </c>
      <c r="BO95" s="15">
        <v>8750404.9901671596</v>
      </c>
      <c r="BP95" s="14">
        <v>2000000</v>
      </c>
      <c r="BU95" s="12"/>
      <c r="BV95" s="12"/>
      <c r="BW95" s="11"/>
      <c r="BX95" s="11"/>
      <c r="CC95" s="16">
        <v>44845</v>
      </c>
      <c r="CD95" s="15">
        <v>8542306.3308373056</v>
      </c>
      <c r="CE95" s="14">
        <v>3000000</v>
      </c>
      <c r="CJ95" s="12" t="str">
        <f t="shared" si="119"/>
        <v>FY23</v>
      </c>
      <c r="CK95" s="12">
        <f t="shared" si="119"/>
        <v>44894</v>
      </c>
      <c r="CL95" s="11">
        <f t="shared" si="120"/>
        <v>19.316402995234853</v>
      </c>
      <c r="CM95" s="11">
        <f t="shared" si="120"/>
        <v>20</v>
      </c>
      <c r="CR95" s="16"/>
      <c r="CS95" s="15"/>
      <c r="CT95" s="14"/>
      <c r="CY95" s="12" t="str">
        <f t="shared" si="123"/>
        <v>FY24</v>
      </c>
      <c r="CZ95" s="12">
        <f t="shared" si="124"/>
        <v>45125</v>
      </c>
      <c r="DA95" s="11">
        <f t="shared" si="125"/>
        <v>8.3911663201663202</v>
      </c>
      <c r="DB95" s="11">
        <f t="shared" si="126"/>
        <v>3</v>
      </c>
      <c r="DO95" s="12">
        <f t="shared" si="117"/>
        <v>0</v>
      </c>
      <c r="DP95" s="12">
        <f t="shared" si="117"/>
        <v>0</v>
      </c>
      <c r="DQ95" s="11">
        <f t="shared" si="118"/>
        <v>0</v>
      </c>
      <c r="DR95" s="11">
        <f t="shared" si="118"/>
        <v>0</v>
      </c>
      <c r="EE95" s="12">
        <f t="shared" si="121"/>
        <v>0</v>
      </c>
      <c r="EF95" s="12">
        <f t="shared" si="121"/>
        <v>0</v>
      </c>
      <c r="EG95" s="11">
        <f t="shared" si="122"/>
        <v>0</v>
      </c>
      <c r="EH95" s="11">
        <f t="shared" si="122"/>
        <v>0</v>
      </c>
    </row>
    <row r="96" spans="13:161" x14ac:dyDescent="0.25">
      <c r="M96" s="12" t="str">
        <f t="shared" si="113"/>
        <v>L12M</v>
      </c>
      <c r="N96" s="12">
        <f t="shared" si="114"/>
        <v>45013</v>
      </c>
      <c r="O96" s="11">
        <f t="shared" si="115"/>
        <v>14.791094479094479</v>
      </c>
      <c r="P96" s="11">
        <f t="shared" si="116"/>
        <v>10</v>
      </c>
      <c r="AB96" s="12" t="str">
        <f t="shared" si="85"/>
        <v>FY19</v>
      </c>
      <c r="AC96" s="12">
        <f t="shared" si="86"/>
        <v>43641</v>
      </c>
      <c r="AD96" s="11">
        <f t="shared" si="87"/>
        <v>80.928666175024588</v>
      </c>
      <c r="AE96" s="11">
        <f t="shared" si="88"/>
        <v>80</v>
      </c>
      <c r="AQ96" s="12" t="str">
        <f t="shared" si="89"/>
        <v>FY20</v>
      </c>
      <c r="AR96" s="12">
        <f t="shared" si="90"/>
        <v>44005</v>
      </c>
      <c r="AS96" s="11">
        <f t="shared" si="91"/>
        <v>24.465498525073752</v>
      </c>
      <c r="AT96" s="11">
        <f t="shared" si="92"/>
        <v>20</v>
      </c>
      <c r="BF96" s="12" t="str">
        <f t="shared" si="93"/>
        <v>FY21</v>
      </c>
      <c r="BG96" s="12">
        <f t="shared" si="94"/>
        <v>44019</v>
      </c>
      <c r="BH96" s="11">
        <f t="shared" si="95"/>
        <v>45.746976155358901</v>
      </c>
      <c r="BI96" s="11">
        <f t="shared" si="96"/>
        <v>50</v>
      </c>
      <c r="BN96" s="16">
        <v>44656</v>
      </c>
      <c r="BO96" s="15">
        <v>8264872.0501474943</v>
      </c>
      <c r="BP96" s="14">
        <v>2000000</v>
      </c>
      <c r="BU96" s="12"/>
      <c r="BV96" s="12"/>
      <c r="BW96" s="11"/>
      <c r="BX96" s="11"/>
      <c r="CC96" s="16">
        <v>44838</v>
      </c>
      <c r="CD96" s="15">
        <v>41464495.575221241</v>
      </c>
      <c r="CE96" s="14">
        <v>50000000</v>
      </c>
      <c r="CJ96" s="12" t="str">
        <f t="shared" si="119"/>
        <v>FY23</v>
      </c>
      <c r="CK96" s="12">
        <f t="shared" si="119"/>
        <v>44887</v>
      </c>
      <c r="CL96" s="11">
        <f t="shared" si="120"/>
        <v>12.652465963240299</v>
      </c>
      <c r="CM96" s="11">
        <f t="shared" si="120"/>
        <v>10</v>
      </c>
      <c r="CR96" s="16"/>
      <c r="CS96" s="15"/>
      <c r="CT96" s="14"/>
      <c r="CY96" s="12" t="str">
        <f t="shared" si="123"/>
        <v>FY24</v>
      </c>
      <c r="CZ96" s="12">
        <f t="shared" si="124"/>
        <v>45132</v>
      </c>
      <c r="DA96" s="11">
        <f t="shared" si="125"/>
        <v>9.3036103026103003</v>
      </c>
      <c r="DB96" s="11">
        <f t="shared" si="126"/>
        <v>5</v>
      </c>
      <c r="DO96" s="12">
        <f t="shared" si="117"/>
        <v>0</v>
      </c>
      <c r="DP96" s="12">
        <f t="shared" si="117"/>
        <v>0</v>
      </c>
      <c r="DQ96" s="11">
        <f t="shared" si="118"/>
        <v>0</v>
      </c>
      <c r="DR96" s="11">
        <f t="shared" si="118"/>
        <v>0</v>
      </c>
      <c r="EE96" s="12">
        <f t="shared" si="121"/>
        <v>0</v>
      </c>
      <c r="EF96" s="12">
        <f t="shared" si="121"/>
        <v>0</v>
      </c>
      <c r="EG96" s="11">
        <f t="shared" si="122"/>
        <v>0</v>
      </c>
      <c r="EH96" s="11">
        <f t="shared" si="122"/>
        <v>0</v>
      </c>
    </row>
    <row r="97" spans="13:138" x14ac:dyDescent="0.25">
      <c r="M97" s="12" t="str">
        <f t="shared" ref="M97" si="127">B55</f>
        <v>L12M</v>
      </c>
      <c r="N97" s="12">
        <f t="shared" ref="N97" si="128">C55</f>
        <v>45006</v>
      </c>
      <c r="O97" s="11">
        <f t="shared" ref="O97" si="129">D55/1000000</f>
        <v>10.052417532917532</v>
      </c>
      <c r="P97" s="11">
        <f t="shared" ref="P97" si="130">E55/1000000</f>
        <v>5</v>
      </c>
      <c r="AB97" s="12"/>
      <c r="AC97" s="12"/>
      <c r="AD97" s="11"/>
      <c r="AE97" s="11"/>
      <c r="AQ97" s="12" t="str">
        <f t="shared" si="89"/>
        <v>FY20</v>
      </c>
      <c r="AR97" s="12">
        <f t="shared" si="90"/>
        <v>44012</v>
      </c>
      <c r="AS97" s="11">
        <f t="shared" si="91"/>
        <v>31.333097836774829</v>
      </c>
      <c r="AT97" s="11">
        <f t="shared" si="92"/>
        <v>30</v>
      </c>
      <c r="BF97" s="12"/>
      <c r="BG97" s="12"/>
      <c r="BH97" s="11"/>
      <c r="BI97" s="11"/>
      <c r="BN97" s="16">
        <v>44663</v>
      </c>
      <c r="BO97" s="15">
        <v>11151636.184857424</v>
      </c>
      <c r="BP97" s="14">
        <v>5000000</v>
      </c>
      <c r="BU97" s="12"/>
      <c r="BV97" s="12"/>
      <c r="BW97" s="11"/>
      <c r="BX97" s="11"/>
      <c r="CC97" s="16">
        <v>44831</v>
      </c>
      <c r="CD97" s="15">
        <v>26481381.098252784</v>
      </c>
      <c r="CE97" s="14">
        <v>30000000</v>
      </c>
      <c r="CJ97" s="12" t="str">
        <f t="shared" ref="CJ97:CK112" si="131">CB35</f>
        <v>FY23</v>
      </c>
      <c r="CK97" s="12">
        <f t="shared" si="131"/>
        <v>44880</v>
      </c>
      <c r="CL97" s="11">
        <f t="shared" ref="CL97:CM112" si="132">CD35/1000000</f>
        <v>14.048715452688906</v>
      </c>
      <c r="CM97" s="11">
        <f t="shared" si="132"/>
        <v>5</v>
      </c>
      <c r="CR97" s="16"/>
      <c r="CS97" s="15"/>
      <c r="CT97" s="14"/>
      <c r="CY97" s="12" t="str">
        <f t="shared" si="123"/>
        <v>FY24</v>
      </c>
      <c r="CZ97" s="12">
        <f t="shared" si="124"/>
        <v>45139</v>
      </c>
      <c r="DA97" s="11">
        <f t="shared" si="125"/>
        <v>12.713646107646106</v>
      </c>
      <c r="DB97" s="11">
        <f t="shared" si="126"/>
        <v>10</v>
      </c>
      <c r="DO97" s="12">
        <f t="shared" si="117"/>
        <v>0</v>
      </c>
      <c r="DP97" s="12">
        <f t="shared" si="117"/>
        <v>0</v>
      </c>
      <c r="DQ97" s="11">
        <f t="shared" si="118"/>
        <v>0</v>
      </c>
      <c r="DR97" s="11">
        <f t="shared" si="118"/>
        <v>0</v>
      </c>
      <c r="EE97" s="12">
        <f t="shared" si="121"/>
        <v>0</v>
      </c>
      <c r="EF97" s="12">
        <f t="shared" si="121"/>
        <v>0</v>
      </c>
      <c r="EG97" s="11">
        <f t="shared" si="122"/>
        <v>0</v>
      </c>
      <c r="EH97" s="11">
        <f t="shared" si="122"/>
        <v>0</v>
      </c>
    </row>
    <row r="98" spans="13:138" x14ac:dyDescent="0.25">
      <c r="M98" s="12"/>
      <c r="N98" s="12"/>
      <c r="O98" s="11"/>
      <c r="P98" s="11"/>
      <c r="AB98" s="12"/>
      <c r="AC98" s="12"/>
      <c r="AD98" s="11"/>
      <c r="AE98" s="11"/>
      <c r="AQ98" s="12"/>
      <c r="AR98" s="12"/>
      <c r="AS98" s="11"/>
      <c r="AT98" s="11"/>
      <c r="BF98" s="12"/>
      <c r="BG98" s="12"/>
      <c r="BH98" s="11"/>
      <c r="BI98" s="11"/>
      <c r="BN98" s="16">
        <v>44670</v>
      </c>
      <c r="BO98" s="15">
        <v>16153900.442477878</v>
      </c>
      <c r="BP98" s="14">
        <v>10000000</v>
      </c>
      <c r="BU98" s="12"/>
      <c r="BV98" s="12"/>
      <c r="BW98" s="11"/>
      <c r="BX98" s="11"/>
      <c r="CC98" s="16">
        <v>44824</v>
      </c>
      <c r="CD98" s="15">
        <v>21774610.959836625</v>
      </c>
      <c r="CE98" s="14">
        <v>20000000</v>
      </c>
      <c r="CJ98" s="12" t="str">
        <f t="shared" si="131"/>
        <v>FY23</v>
      </c>
      <c r="CK98" s="12">
        <f t="shared" si="131"/>
        <v>44873</v>
      </c>
      <c r="CL98" s="11">
        <f t="shared" si="132"/>
        <v>8.8209846834581356</v>
      </c>
      <c r="CM98" s="11">
        <f t="shared" si="132"/>
        <v>3</v>
      </c>
      <c r="CR98" s="16"/>
      <c r="CS98" s="15"/>
      <c r="CT98" s="14"/>
      <c r="CY98" s="12" t="str">
        <f t="shared" si="123"/>
        <v>FY24</v>
      </c>
      <c r="CZ98" s="12">
        <f t="shared" si="124"/>
        <v>45146</v>
      </c>
      <c r="DA98" s="11">
        <f t="shared" si="125"/>
        <v>22.289923538923535</v>
      </c>
      <c r="DB98" s="11">
        <f t="shared" si="126"/>
        <v>20</v>
      </c>
      <c r="DO98" s="12">
        <f t="shared" si="117"/>
        <v>0</v>
      </c>
      <c r="DP98" s="12">
        <f t="shared" si="117"/>
        <v>0</v>
      </c>
      <c r="DQ98" s="11">
        <f t="shared" si="118"/>
        <v>0</v>
      </c>
      <c r="DR98" s="11">
        <f t="shared" si="118"/>
        <v>0</v>
      </c>
      <c r="EE98" s="12">
        <f t="shared" si="121"/>
        <v>0</v>
      </c>
      <c r="EF98" s="12">
        <f t="shared" si="121"/>
        <v>0</v>
      </c>
      <c r="EG98" s="11">
        <f t="shared" si="122"/>
        <v>0</v>
      </c>
      <c r="EH98" s="11">
        <f t="shared" si="122"/>
        <v>0</v>
      </c>
    </row>
    <row r="99" spans="13:138" x14ac:dyDescent="0.25">
      <c r="M99" s="12"/>
      <c r="N99" s="12"/>
      <c r="O99" s="11"/>
      <c r="P99" s="11"/>
      <c r="AB99" s="12"/>
      <c r="AC99" s="12"/>
      <c r="AD99" s="11"/>
      <c r="AE99" s="11"/>
      <c r="AQ99" s="12"/>
      <c r="AR99" s="12"/>
      <c r="AS99" s="11"/>
      <c r="AT99" s="11"/>
      <c r="BF99" s="12"/>
      <c r="BG99" s="12"/>
      <c r="BH99" s="11"/>
      <c r="BI99" s="11"/>
      <c r="BN99" s="16">
        <v>44677</v>
      </c>
      <c r="BO99" s="15">
        <v>21468686.578171093</v>
      </c>
      <c r="BP99" s="14">
        <v>20000000</v>
      </c>
      <c r="BU99" s="12"/>
      <c r="BV99" s="12"/>
      <c r="BW99" s="11"/>
      <c r="BX99" s="11"/>
      <c r="CC99" s="16">
        <v>44817</v>
      </c>
      <c r="CD99" s="15">
        <v>14935118.901747221</v>
      </c>
      <c r="CE99" s="14">
        <v>10000000</v>
      </c>
      <c r="CJ99" s="12" t="str">
        <f t="shared" si="131"/>
        <v>FY23</v>
      </c>
      <c r="CK99" s="12">
        <f t="shared" si="131"/>
        <v>44866</v>
      </c>
      <c r="CL99" s="11">
        <f t="shared" si="132"/>
        <v>24.033234286362607</v>
      </c>
      <c r="CM99" s="11">
        <f t="shared" si="132"/>
        <v>20</v>
      </c>
      <c r="CR99" s="16"/>
      <c r="CS99" s="15"/>
      <c r="CT99" s="14"/>
      <c r="CY99" s="12" t="str">
        <f t="shared" si="123"/>
        <v>FY24</v>
      </c>
      <c r="CZ99" s="12">
        <f t="shared" si="124"/>
        <v>45153</v>
      </c>
      <c r="DA99" s="11">
        <f t="shared" si="125"/>
        <v>29.189057750057742</v>
      </c>
      <c r="DB99" s="11">
        <f t="shared" si="126"/>
        <v>30</v>
      </c>
      <c r="DO99" s="12">
        <f t="shared" si="117"/>
        <v>0</v>
      </c>
      <c r="DP99" s="12">
        <f t="shared" si="117"/>
        <v>0</v>
      </c>
      <c r="DQ99" s="11">
        <f t="shared" si="118"/>
        <v>0</v>
      </c>
      <c r="DR99" s="11">
        <f t="shared" si="118"/>
        <v>0</v>
      </c>
      <c r="EE99" s="12">
        <f t="shared" si="121"/>
        <v>0</v>
      </c>
      <c r="EF99" s="12">
        <f t="shared" si="121"/>
        <v>0</v>
      </c>
      <c r="EG99" s="11">
        <f t="shared" si="122"/>
        <v>0</v>
      </c>
      <c r="EH99" s="11">
        <f t="shared" si="122"/>
        <v>0</v>
      </c>
    </row>
    <row r="100" spans="13:138" x14ac:dyDescent="0.25">
      <c r="M100" s="12"/>
      <c r="N100" s="12"/>
      <c r="O100" s="11"/>
      <c r="P100" s="11"/>
      <c r="AB100" s="12"/>
      <c r="AC100" s="12"/>
      <c r="AD100" s="11"/>
      <c r="AE100" s="11"/>
      <c r="AQ100" s="12"/>
      <c r="AR100" s="12"/>
      <c r="AS100" s="11"/>
      <c r="AT100" s="11"/>
      <c r="BF100" s="12"/>
      <c r="BG100" s="12"/>
      <c r="BH100" s="11"/>
      <c r="BI100" s="11"/>
      <c r="BN100" s="16">
        <v>44684</v>
      </c>
      <c r="BO100" s="15">
        <v>8234016.3470993135</v>
      </c>
      <c r="BP100" s="14">
        <v>2000000</v>
      </c>
      <c r="BU100" s="12"/>
      <c r="BV100" s="12"/>
      <c r="BW100" s="11"/>
      <c r="BX100" s="11"/>
      <c r="CC100" s="16">
        <v>44810</v>
      </c>
      <c r="CD100" s="15">
        <v>9323163.9437258914</v>
      </c>
      <c r="CE100" s="14">
        <v>5000000</v>
      </c>
      <c r="CJ100" s="12" t="str">
        <f t="shared" si="131"/>
        <v>FY23</v>
      </c>
      <c r="CK100" s="12">
        <f t="shared" si="131"/>
        <v>44859</v>
      </c>
      <c r="CL100" s="11">
        <f t="shared" si="132"/>
        <v>12.969386884501931</v>
      </c>
      <c r="CM100" s="11">
        <f t="shared" si="132"/>
        <v>10</v>
      </c>
      <c r="CR100" s="16"/>
      <c r="CS100" s="15"/>
      <c r="CT100" s="14"/>
      <c r="CY100" s="12" t="str">
        <f t="shared" si="123"/>
        <v>FY24</v>
      </c>
      <c r="CZ100" s="12">
        <f t="shared" si="124"/>
        <v>45160</v>
      </c>
      <c r="DA100" s="11">
        <f t="shared" si="125"/>
        <v>8.6803522753522753</v>
      </c>
      <c r="DB100" s="11">
        <f t="shared" si="126"/>
        <v>3</v>
      </c>
      <c r="DO100" s="12">
        <f t="shared" si="117"/>
        <v>0</v>
      </c>
      <c r="DP100" s="12">
        <f t="shared" si="117"/>
        <v>0</v>
      </c>
      <c r="DQ100" s="11">
        <f t="shared" si="118"/>
        <v>0</v>
      </c>
      <c r="DR100" s="11">
        <f t="shared" si="118"/>
        <v>0</v>
      </c>
      <c r="EE100" s="12">
        <f t="shared" si="121"/>
        <v>0</v>
      </c>
      <c r="EF100" s="12">
        <f t="shared" si="121"/>
        <v>0</v>
      </c>
      <c r="EG100" s="11">
        <f t="shared" si="122"/>
        <v>0</v>
      </c>
      <c r="EH100" s="11">
        <f t="shared" si="122"/>
        <v>0</v>
      </c>
    </row>
    <row r="101" spans="13:138" x14ac:dyDescent="0.25">
      <c r="M101" s="12"/>
      <c r="N101" s="12"/>
      <c r="O101" s="11"/>
      <c r="P101" s="11"/>
      <c r="AB101" s="12"/>
      <c r="AC101" s="12"/>
      <c r="AD101" s="11"/>
      <c r="AE101" s="11"/>
      <c r="AQ101" s="12"/>
      <c r="AR101" s="12"/>
      <c r="AS101" s="11"/>
      <c r="AT101" s="11"/>
      <c r="BF101" s="12"/>
      <c r="BG101" s="12"/>
      <c r="BH101" s="11"/>
      <c r="BI101" s="11"/>
      <c r="BN101" s="16">
        <v>44691</v>
      </c>
      <c r="BO101" s="15">
        <v>9919419.3706981335</v>
      </c>
      <c r="BP101" s="14">
        <v>5000000</v>
      </c>
      <c r="BU101" s="12"/>
      <c r="BV101" s="12"/>
      <c r="BW101" s="11"/>
      <c r="BX101" s="11"/>
      <c r="CC101" s="16">
        <v>44803</v>
      </c>
      <c r="CD101" s="15">
        <v>8114797.0274563199</v>
      </c>
      <c r="CE101" s="14">
        <v>3000000</v>
      </c>
      <c r="CJ101" s="12" t="str">
        <f t="shared" si="131"/>
        <v>FY23</v>
      </c>
      <c r="CK101" s="12">
        <f t="shared" si="131"/>
        <v>44852</v>
      </c>
      <c r="CL101" s="11">
        <f t="shared" si="132"/>
        <v>9.1472853415021582</v>
      </c>
      <c r="CM101" s="11">
        <f t="shared" si="132"/>
        <v>5</v>
      </c>
      <c r="CR101" s="16"/>
      <c r="CS101" s="15"/>
      <c r="CT101" s="14"/>
      <c r="CY101" s="12" t="str">
        <f t="shared" si="123"/>
        <v>FY24</v>
      </c>
      <c r="CZ101" s="12">
        <f t="shared" si="124"/>
        <v>45167</v>
      </c>
      <c r="DA101" s="11">
        <f t="shared" si="125"/>
        <v>9.2930704550704544</v>
      </c>
      <c r="DB101" s="11">
        <f t="shared" si="126"/>
        <v>5</v>
      </c>
      <c r="DO101" s="12">
        <f t="shared" si="117"/>
        <v>0</v>
      </c>
      <c r="DP101" s="12">
        <f t="shared" si="117"/>
        <v>0</v>
      </c>
      <c r="DQ101" s="11">
        <f t="shared" si="118"/>
        <v>0</v>
      </c>
      <c r="DR101" s="11">
        <f t="shared" si="118"/>
        <v>0</v>
      </c>
      <c r="EE101" s="12">
        <f t="shared" si="121"/>
        <v>0</v>
      </c>
      <c r="EF101" s="12">
        <f t="shared" si="121"/>
        <v>0</v>
      </c>
      <c r="EG101" s="11">
        <f t="shared" si="122"/>
        <v>0</v>
      </c>
      <c r="EH101" s="11">
        <f t="shared" si="122"/>
        <v>0</v>
      </c>
    </row>
    <row r="102" spans="13:138" x14ac:dyDescent="0.25">
      <c r="M102" s="12"/>
      <c r="N102" s="12"/>
      <c r="O102" s="11"/>
      <c r="P102" s="11"/>
      <c r="AB102" s="12"/>
      <c r="AC102" s="12"/>
      <c r="AD102" s="11"/>
      <c r="AE102" s="11"/>
      <c r="AQ102" s="12"/>
      <c r="AR102" s="12"/>
      <c r="AS102" s="11"/>
      <c r="AT102" s="11"/>
      <c r="BF102" s="12"/>
      <c r="BG102" s="12"/>
      <c r="BH102" s="11"/>
      <c r="BI102" s="11"/>
      <c r="BN102" s="16">
        <v>44698</v>
      </c>
      <c r="BO102" s="15">
        <v>13527500.000000002</v>
      </c>
      <c r="BP102" s="14">
        <v>10000000</v>
      </c>
      <c r="BU102" s="12"/>
      <c r="BV102" s="12"/>
      <c r="BW102" s="11"/>
      <c r="BX102" s="11"/>
      <c r="CC102" s="16">
        <v>44796</v>
      </c>
      <c r="CD102" s="15">
        <v>15798659.51894713</v>
      </c>
      <c r="CE102" s="14">
        <v>10000000</v>
      </c>
      <c r="CJ102" s="12" t="str">
        <f t="shared" si="131"/>
        <v>FY23</v>
      </c>
      <c r="CK102" s="12">
        <f t="shared" si="131"/>
        <v>44845</v>
      </c>
      <c r="CL102" s="11">
        <f t="shared" si="132"/>
        <v>8.5423063308373059</v>
      </c>
      <c r="CM102" s="11">
        <f t="shared" si="132"/>
        <v>3</v>
      </c>
      <c r="CR102" s="16"/>
      <c r="CS102" s="15"/>
      <c r="CT102" s="14"/>
      <c r="CY102" s="12" t="str">
        <f t="shared" si="123"/>
        <v>FY24</v>
      </c>
      <c r="CZ102" s="12">
        <f t="shared" si="124"/>
        <v>45174</v>
      </c>
      <c r="DA102" s="11">
        <f t="shared" si="125"/>
        <v>14.653323169323169</v>
      </c>
      <c r="DB102" s="11">
        <f t="shared" si="126"/>
        <v>10</v>
      </c>
      <c r="DO102" s="12"/>
      <c r="DP102" s="12"/>
      <c r="DQ102" s="11"/>
      <c r="DR102" s="11"/>
      <c r="EE102" s="12">
        <f t="shared" si="121"/>
        <v>0</v>
      </c>
      <c r="EF102" s="12">
        <f t="shared" si="121"/>
        <v>0</v>
      </c>
      <c r="EG102" s="11">
        <f t="shared" si="122"/>
        <v>0</v>
      </c>
      <c r="EH102" s="11">
        <f t="shared" si="122"/>
        <v>0</v>
      </c>
    </row>
    <row r="103" spans="13:138" x14ac:dyDescent="0.25">
      <c r="M103" s="12"/>
      <c r="N103" s="12"/>
      <c r="O103" s="11"/>
      <c r="P103" s="11"/>
      <c r="AB103" s="12"/>
      <c r="AC103" s="12"/>
      <c r="AD103" s="11"/>
      <c r="AE103" s="11"/>
      <c r="AQ103" s="12"/>
      <c r="AR103" s="12"/>
      <c r="AS103" s="11"/>
      <c r="AT103" s="11"/>
      <c r="BF103" s="12"/>
      <c r="BG103" s="12"/>
      <c r="BH103" s="11"/>
      <c r="BI103" s="11"/>
      <c r="BN103" s="16">
        <v>44705</v>
      </c>
      <c r="BO103" s="15">
        <v>9006239.7322441582</v>
      </c>
      <c r="BP103" s="14">
        <v>3000000</v>
      </c>
      <c r="BU103" s="12"/>
      <c r="BV103" s="12"/>
      <c r="BW103" s="11"/>
      <c r="BX103" s="11"/>
      <c r="CC103" s="16">
        <v>44789</v>
      </c>
      <c r="CD103" s="15">
        <v>10754930.224642616</v>
      </c>
      <c r="CE103" s="14">
        <v>5000000</v>
      </c>
      <c r="CJ103" s="12" t="str">
        <f t="shared" si="131"/>
        <v>FY23</v>
      </c>
      <c r="CK103" s="12">
        <f t="shared" si="131"/>
        <v>44838</v>
      </c>
      <c r="CL103" s="11">
        <f t="shared" si="132"/>
        <v>41.464495575221243</v>
      </c>
      <c r="CM103" s="11">
        <f t="shared" si="132"/>
        <v>50</v>
      </c>
      <c r="CR103" s="16"/>
      <c r="CS103" s="15"/>
      <c r="CT103" s="14"/>
      <c r="CY103" s="12" t="str">
        <f t="shared" si="123"/>
        <v>FY24</v>
      </c>
      <c r="CZ103" s="12">
        <f t="shared" si="124"/>
        <v>45181</v>
      </c>
      <c r="DA103" s="11">
        <f t="shared" si="125"/>
        <v>8.3208568953568953</v>
      </c>
      <c r="DB103" s="11">
        <f t="shared" si="126"/>
        <v>3</v>
      </c>
      <c r="DO103" s="12"/>
      <c r="DP103" s="12"/>
      <c r="DQ103" s="11"/>
      <c r="DR103" s="11"/>
      <c r="EE103" s="12">
        <f t="shared" si="121"/>
        <v>0</v>
      </c>
      <c r="EF103" s="12">
        <f t="shared" si="121"/>
        <v>0</v>
      </c>
      <c r="EG103" s="11">
        <f t="shared" si="122"/>
        <v>0</v>
      </c>
      <c r="EH103" s="11">
        <f t="shared" si="122"/>
        <v>0</v>
      </c>
    </row>
    <row r="104" spans="13:138" x14ac:dyDescent="0.25">
      <c r="M104" s="12"/>
      <c r="N104" s="12"/>
      <c r="O104" s="11"/>
      <c r="P104" s="11"/>
      <c r="AB104" s="12"/>
      <c r="AC104" s="12"/>
      <c r="AD104" s="11"/>
      <c r="AE104" s="11"/>
      <c r="AQ104" s="12"/>
      <c r="AR104" s="12"/>
      <c r="AS104" s="11"/>
      <c r="AT104" s="11"/>
      <c r="BF104" s="12"/>
      <c r="BG104" s="12"/>
      <c r="BH104" s="11"/>
      <c r="BI104" s="11"/>
      <c r="BN104" s="16">
        <v>44712</v>
      </c>
      <c r="BO104" s="15">
        <v>10614764.125255279</v>
      </c>
      <c r="BP104" s="14">
        <v>5000000</v>
      </c>
      <c r="BU104" s="12"/>
      <c r="BV104" s="12"/>
      <c r="BW104" s="11"/>
      <c r="BX104" s="11"/>
      <c r="CC104" s="16">
        <v>44782</v>
      </c>
      <c r="CD104" s="15">
        <v>8466307.3519400954</v>
      </c>
      <c r="CE104" s="14">
        <v>3000000</v>
      </c>
      <c r="CJ104" s="12" t="str">
        <f t="shared" si="131"/>
        <v>FY23</v>
      </c>
      <c r="CK104" s="12">
        <f t="shared" si="131"/>
        <v>44831</v>
      </c>
      <c r="CL104" s="11">
        <f t="shared" si="132"/>
        <v>26.481381098252786</v>
      </c>
      <c r="CM104" s="11">
        <f t="shared" si="132"/>
        <v>30</v>
      </c>
      <c r="CR104" s="16"/>
      <c r="CS104" s="15"/>
      <c r="CT104" s="14"/>
      <c r="CY104" s="12" t="str">
        <f t="shared" si="123"/>
        <v>FY24</v>
      </c>
      <c r="CZ104" s="12">
        <f t="shared" si="124"/>
        <v>45188</v>
      </c>
      <c r="DA104" s="11">
        <f t="shared" si="125"/>
        <v>9.2081954261954255</v>
      </c>
      <c r="DB104" s="11">
        <f t="shared" si="126"/>
        <v>5</v>
      </c>
      <c r="DO104" s="12"/>
      <c r="DP104" s="12"/>
      <c r="DQ104" s="11"/>
      <c r="DR104" s="11"/>
      <c r="EE104" s="12">
        <f t="shared" si="121"/>
        <v>0</v>
      </c>
      <c r="EF104" s="12">
        <f t="shared" si="121"/>
        <v>0</v>
      </c>
      <c r="EG104" s="11">
        <f t="shared" si="122"/>
        <v>0</v>
      </c>
      <c r="EH104" s="11">
        <f t="shared" si="122"/>
        <v>0</v>
      </c>
    </row>
    <row r="105" spans="13:138" x14ac:dyDescent="0.25">
      <c r="M105" s="12"/>
      <c r="N105" s="12"/>
      <c r="O105" s="11"/>
      <c r="P105" s="11"/>
      <c r="AB105" s="12"/>
      <c r="AC105" s="12"/>
      <c r="AD105" s="11"/>
      <c r="AE105" s="11"/>
      <c r="AQ105" s="12"/>
      <c r="AR105" s="12"/>
      <c r="AS105" s="11"/>
      <c r="AT105" s="11"/>
      <c r="BF105" s="12"/>
      <c r="BG105" s="12"/>
      <c r="BH105" s="11"/>
      <c r="BI105" s="11"/>
      <c r="BN105" s="16">
        <v>44719</v>
      </c>
      <c r="BO105" s="15">
        <v>8443267.9827547092</v>
      </c>
      <c r="BP105" s="14">
        <v>3000000</v>
      </c>
      <c r="BU105" s="12"/>
      <c r="BV105" s="12"/>
      <c r="BW105" s="11"/>
      <c r="BX105" s="11"/>
      <c r="CC105" s="16">
        <v>44775</v>
      </c>
      <c r="CD105" s="15">
        <v>22150339.459950082</v>
      </c>
      <c r="CE105" s="14">
        <v>20000000</v>
      </c>
      <c r="CJ105" s="12" t="str">
        <f t="shared" si="131"/>
        <v>FY23</v>
      </c>
      <c r="CK105" s="12">
        <f t="shared" si="131"/>
        <v>44824</v>
      </c>
      <c r="CL105" s="11">
        <f t="shared" si="132"/>
        <v>21.774610959836625</v>
      </c>
      <c r="CM105" s="11">
        <f t="shared" si="132"/>
        <v>20</v>
      </c>
      <c r="CR105" s="16"/>
      <c r="CS105" s="15"/>
      <c r="CT105" s="14"/>
      <c r="CY105" s="12" t="str">
        <f t="shared" si="123"/>
        <v>FY24</v>
      </c>
      <c r="CZ105" s="12">
        <f t="shared" si="124"/>
        <v>45195</v>
      </c>
      <c r="DA105" s="11">
        <f t="shared" si="125"/>
        <v>12.154527258027258</v>
      </c>
      <c r="DB105" s="11">
        <f t="shared" si="126"/>
        <v>10</v>
      </c>
      <c r="DO105" s="12"/>
      <c r="DP105" s="12"/>
      <c r="DQ105" s="11"/>
      <c r="DR105" s="11"/>
      <c r="EE105" s="12"/>
      <c r="EF105" s="12"/>
      <c r="EG105" s="11"/>
      <c r="EH105" s="11"/>
    </row>
    <row r="106" spans="13:138" x14ac:dyDescent="0.25">
      <c r="M106" s="12"/>
      <c r="N106" s="12"/>
      <c r="O106" s="11"/>
      <c r="P106" s="11"/>
      <c r="AB106" s="12"/>
      <c r="AC106" s="12"/>
      <c r="AD106" s="11"/>
      <c r="AE106" s="11"/>
      <c r="AQ106" s="12"/>
      <c r="AR106" s="12"/>
      <c r="AS106" s="11"/>
      <c r="AT106" s="11"/>
      <c r="BF106" s="12"/>
      <c r="BG106" s="12"/>
      <c r="BH106" s="11"/>
      <c r="BI106" s="11"/>
      <c r="BN106" s="16">
        <v>44726</v>
      </c>
      <c r="BO106" s="15">
        <v>9067532.9022010434</v>
      </c>
      <c r="BP106" s="14">
        <v>5000000</v>
      </c>
      <c r="BU106" s="12"/>
      <c r="BV106" s="12"/>
      <c r="BW106" s="11"/>
      <c r="BX106" s="11"/>
      <c r="CC106" s="16">
        <v>44768</v>
      </c>
      <c r="CD106" s="15">
        <v>15460507.941910598</v>
      </c>
      <c r="CE106" s="14">
        <v>10000000</v>
      </c>
      <c r="CJ106" s="12" t="str">
        <f t="shared" si="131"/>
        <v>FY23</v>
      </c>
      <c r="CK106" s="12">
        <f t="shared" si="131"/>
        <v>44817</v>
      </c>
      <c r="CL106" s="11">
        <f t="shared" si="132"/>
        <v>14.935118901747222</v>
      </c>
      <c r="CM106" s="11">
        <f t="shared" si="132"/>
        <v>10</v>
      </c>
      <c r="CR106" s="16"/>
      <c r="CS106" s="15"/>
      <c r="CT106" s="14"/>
      <c r="CY106" s="12" t="str">
        <f t="shared" si="123"/>
        <v>FY24</v>
      </c>
      <c r="CZ106" s="12">
        <f t="shared" si="124"/>
        <v>45202</v>
      </c>
      <c r="DA106" s="11">
        <f t="shared" si="125"/>
        <v>14.203781011781011</v>
      </c>
      <c r="DB106" s="11">
        <f t="shared" si="126"/>
        <v>15</v>
      </c>
      <c r="DO106" s="12"/>
      <c r="DP106" s="12"/>
      <c r="DQ106" s="11"/>
      <c r="DR106" s="11"/>
      <c r="EE106" s="12"/>
      <c r="EF106" s="12"/>
      <c r="EG106" s="11"/>
      <c r="EH106" s="11"/>
    </row>
    <row r="107" spans="13:138" x14ac:dyDescent="0.25">
      <c r="M107" s="12"/>
      <c r="N107" s="12"/>
      <c r="O107" s="11"/>
      <c r="P107" s="11"/>
      <c r="AB107" s="12"/>
      <c r="AC107" s="12"/>
      <c r="AD107" s="11"/>
      <c r="AE107" s="11"/>
      <c r="AQ107" s="12"/>
      <c r="AR107" s="12"/>
      <c r="AS107" s="11"/>
      <c r="AT107" s="11"/>
      <c r="BF107" s="12"/>
      <c r="BG107" s="12"/>
      <c r="BH107" s="11"/>
      <c r="BI107" s="11"/>
      <c r="BN107" s="16">
        <v>44733</v>
      </c>
      <c r="BO107" s="15">
        <v>12227484.570002271</v>
      </c>
      <c r="BP107" s="14">
        <v>10000000</v>
      </c>
      <c r="BU107" s="12"/>
      <c r="BV107" s="12"/>
      <c r="BW107" s="11"/>
      <c r="BX107" s="11"/>
      <c r="CC107" s="16">
        <v>44761</v>
      </c>
      <c r="CD107" s="15">
        <v>15887167.007034266</v>
      </c>
      <c r="CE107" s="14">
        <v>5000000</v>
      </c>
      <c r="CJ107" s="12" t="str">
        <f t="shared" si="131"/>
        <v>FY23</v>
      </c>
      <c r="CK107" s="12">
        <f t="shared" si="131"/>
        <v>44810</v>
      </c>
      <c r="CL107" s="11">
        <f t="shared" si="132"/>
        <v>9.3231639437258913</v>
      </c>
      <c r="CM107" s="11">
        <f t="shared" si="132"/>
        <v>5</v>
      </c>
      <c r="CR107" s="16"/>
      <c r="CS107" s="15"/>
      <c r="CT107" s="14"/>
      <c r="CY107" s="12" t="str">
        <f t="shared" si="123"/>
        <v>FY24</v>
      </c>
      <c r="CZ107" s="12">
        <f t="shared" si="124"/>
        <v>45209</v>
      </c>
      <c r="DA107" s="11">
        <f t="shared" si="125"/>
        <v>21.005378840378839</v>
      </c>
      <c r="DB107" s="11">
        <f t="shared" si="126"/>
        <v>20</v>
      </c>
      <c r="DO107" s="12"/>
      <c r="DP107" s="12"/>
      <c r="DQ107" s="11"/>
      <c r="DR107" s="11"/>
      <c r="EE107" s="12"/>
      <c r="EF107" s="12"/>
      <c r="EG107" s="11"/>
      <c r="EH107" s="11"/>
    </row>
    <row r="108" spans="13:138" x14ac:dyDescent="0.25">
      <c r="M108" s="12"/>
      <c r="N108" s="12"/>
      <c r="O108" s="11"/>
      <c r="P108" s="11"/>
      <c r="AB108" s="12"/>
      <c r="AC108" s="12"/>
      <c r="AD108" s="11"/>
      <c r="AE108" s="11"/>
      <c r="AQ108" s="12"/>
      <c r="AR108" s="12"/>
      <c r="AS108" s="11"/>
      <c r="AT108" s="11"/>
      <c r="BF108" s="12"/>
      <c r="BG108" s="12"/>
      <c r="BH108" s="11"/>
      <c r="BI108" s="11"/>
      <c r="BN108" s="16">
        <v>44740</v>
      </c>
      <c r="BO108" s="15">
        <v>16459891.30928069</v>
      </c>
      <c r="BP108" s="14">
        <v>20000000</v>
      </c>
      <c r="BU108" s="12"/>
      <c r="BV108" s="12"/>
      <c r="BW108" s="11"/>
      <c r="BX108" s="11"/>
      <c r="CC108" s="16">
        <v>44754</v>
      </c>
      <c r="CD108" s="15">
        <v>8988383.8211935572</v>
      </c>
      <c r="CE108" s="14">
        <v>3000000</v>
      </c>
      <c r="CJ108" s="12" t="str">
        <f t="shared" si="131"/>
        <v>FY23</v>
      </c>
      <c r="CK108" s="12">
        <f t="shared" si="131"/>
        <v>44803</v>
      </c>
      <c r="CL108" s="11">
        <f t="shared" si="132"/>
        <v>8.1147970274563193</v>
      </c>
      <c r="CM108" s="11">
        <f t="shared" si="132"/>
        <v>3</v>
      </c>
      <c r="CR108" s="16"/>
      <c r="CS108" s="15"/>
      <c r="CT108" s="14"/>
      <c r="CY108" s="12" t="str">
        <f t="shared" si="123"/>
        <v>FY24</v>
      </c>
      <c r="CZ108" s="12">
        <f t="shared" si="124"/>
        <v>45216</v>
      </c>
      <c r="DA108" s="11">
        <f t="shared" si="125"/>
        <v>26.420194848694845</v>
      </c>
      <c r="DB108" s="11">
        <f t="shared" si="126"/>
        <v>30</v>
      </c>
      <c r="DO108" s="12"/>
      <c r="DP108" s="12"/>
      <c r="DQ108" s="11"/>
      <c r="DR108" s="11"/>
      <c r="EE108" s="12"/>
      <c r="EF108" s="12"/>
      <c r="EG108" s="11"/>
      <c r="EH108" s="11"/>
    </row>
    <row r="109" spans="13:138" x14ac:dyDescent="0.25">
      <c r="M109" s="12"/>
      <c r="N109" s="12"/>
      <c r="O109" s="11"/>
      <c r="P109" s="11"/>
      <c r="AB109" s="12"/>
      <c r="AC109" s="12"/>
      <c r="AD109" s="11"/>
      <c r="AE109" s="11"/>
      <c r="AQ109" s="12"/>
      <c r="AR109" s="12"/>
      <c r="AS109" s="11"/>
      <c r="AT109" s="11"/>
      <c r="BF109" s="12"/>
      <c r="BG109" s="12"/>
      <c r="BH109" s="11"/>
      <c r="BI109" s="11"/>
      <c r="BN109" s="16"/>
      <c r="BO109" s="15"/>
      <c r="BU109" s="12"/>
      <c r="BV109" s="12"/>
      <c r="BW109" s="11"/>
      <c r="BX109" s="11"/>
      <c r="CC109" s="16">
        <v>44747</v>
      </c>
      <c r="CD109" s="15">
        <v>26744814.045836173</v>
      </c>
      <c r="CE109" s="14">
        <v>30000000</v>
      </c>
      <c r="CJ109" s="12" t="str">
        <f t="shared" si="131"/>
        <v>FY23</v>
      </c>
      <c r="CK109" s="12">
        <f t="shared" si="131"/>
        <v>44796</v>
      </c>
      <c r="CL109" s="11">
        <f t="shared" si="132"/>
        <v>15.798659518947129</v>
      </c>
      <c r="CM109" s="11">
        <f t="shared" si="132"/>
        <v>10</v>
      </c>
      <c r="CR109" s="16"/>
      <c r="CS109" s="15"/>
      <c r="CT109" s="14"/>
      <c r="CY109" s="12" t="str">
        <f t="shared" si="123"/>
        <v>FY24</v>
      </c>
      <c r="CZ109" s="12">
        <f t="shared" si="124"/>
        <v>45223</v>
      </c>
      <c r="DA109" s="11">
        <f t="shared" si="125"/>
        <v>8.4330546315546311</v>
      </c>
      <c r="DB109" s="11">
        <f t="shared" si="126"/>
        <v>3</v>
      </c>
      <c r="DO109" s="12"/>
      <c r="DP109" s="12"/>
      <c r="DQ109" s="11"/>
      <c r="DR109" s="11"/>
      <c r="EE109" s="12"/>
      <c r="EF109" s="12"/>
      <c r="EG109" s="11"/>
      <c r="EH109" s="11"/>
    </row>
    <row r="110" spans="13:138" x14ac:dyDescent="0.25">
      <c r="M110" s="12"/>
      <c r="N110" s="12"/>
      <c r="O110" s="11"/>
      <c r="P110" s="11"/>
      <c r="AB110" s="12"/>
      <c r="AC110" s="12"/>
      <c r="AD110" s="11"/>
      <c r="AE110" s="11"/>
      <c r="AQ110" s="12"/>
      <c r="AR110" s="12"/>
      <c r="AS110" s="11"/>
      <c r="AT110" s="11"/>
      <c r="BF110" s="12"/>
      <c r="BG110" s="12"/>
      <c r="BH110" s="11"/>
      <c r="BI110" s="11"/>
      <c r="BN110" s="16"/>
      <c r="BO110" s="15"/>
      <c r="BU110" s="12"/>
      <c r="BV110" s="12"/>
      <c r="BW110" s="11"/>
      <c r="BX110" s="11"/>
      <c r="CJ110" s="12" t="str">
        <f t="shared" si="131"/>
        <v>FY23</v>
      </c>
      <c r="CK110" s="12">
        <f t="shared" si="131"/>
        <v>44789</v>
      </c>
      <c r="CL110" s="11">
        <f t="shared" si="132"/>
        <v>10.754930224642615</v>
      </c>
      <c r="CM110" s="11">
        <f t="shared" si="132"/>
        <v>5</v>
      </c>
      <c r="CY110" s="12" t="str">
        <f t="shared" si="123"/>
        <v>FY24</v>
      </c>
      <c r="CZ110" s="12">
        <f t="shared" si="124"/>
        <v>45230</v>
      </c>
      <c r="DA110" s="11">
        <f t="shared" si="125"/>
        <v>9.2870157080157067</v>
      </c>
      <c r="DB110" s="11">
        <f t="shared" si="126"/>
        <v>5</v>
      </c>
      <c r="DO110" s="12"/>
      <c r="DP110" s="12"/>
      <c r="DQ110" s="11"/>
      <c r="DR110" s="11"/>
      <c r="EE110" s="12"/>
      <c r="EF110" s="12"/>
      <c r="EG110" s="11"/>
      <c r="EH110" s="11"/>
    </row>
    <row r="111" spans="13:138" x14ac:dyDescent="0.25">
      <c r="M111" s="12"/>
      <c r="N111" s="12"/>
      <c r="O111" s="11"/>
      <c r="P111" s="11"/>
      <c r="AB111" s="12"/>
      <c r="AC111" s="12"/>
      <c r="AD111" s="11"/>
      <c r="AE111" s="11"/>
      <c r="AQ111" s="12"/>
      <c r="AR111" s="12"/>
      <c r="AS111" s="11"/>
      <c r="AT111" s="11"/>
      <c r="BF111" s="12"/>
      <c r="BG111" s="12"/>
      <c r="BH111" s="11"/>
      <c r="BI111" s="11"/>
      <c r="BN111" s="16"/>
      <c r="BO111" s="15"/>
      <c r="BU111" s="12"/>
      <c r="BV111" s="12"/>
      <c r="BW111" s="11"/>
      <c r="BX111" s="11"/>
      <c r="CJ111" s="12" t="str">
        <f t="shared" si="131"/>
        <v>FY23</v>
      </c>
      <c r="CK111" s="12">
        <f t="shared" si="131"/>
        <v>44782</v>
      </c>
      <c r="CL111" s="11">
        <f t="shared" si="132"/>
        <v>8.4663073519400953</v>
      </c>
      <c r="CM111" s="11">
        <f t="shared" si="132"/>
        <v>3</v>
      </c>
      <c r="CY111" s="12" t="str">
        <f t="shared" si="123"/>
        <v>FY24</v>
      </c>
      <c r="CZ111" s="12">
        <f t="shared" si="124"/>
        <v>45237</v>
      </c>
      <c r="DA111" s="11">
        <f t="shared" si="125"/>
        <v>14.501044583044585</v>
      </c>
      <c r="DB111" s="11">
        <f t="shared" si="126"/>
        <v>10</v>
      </c>
      <c r="DO111" s="12"/>
      <c r="DP111" s="12"/>
      <c r="DQ111" s="11"/>
      <c r="DR111" s="11"/>
      <c r="EE111" s="12"/>
      <c r="EF111" s="12"/>
      <c r="EG111" s="11"/>
      <c r="EH111" s="11"/>
    </row>
    <row r="112" spans="13:138" x14ac:dyDescent="0.25">
      <c r="M112" s="12"/>
      <c r="N112" s="12"/>
      <c r="O112" s="11"/>
      <c r="P112" s="11"/>
      <c r="AB112" s="12"/>
      <c r="AC112" s="12"/>
      <c r="AD112" s="11"/>
      <c r="AE112" s="11"/>
      <c r="AQ112" s="12"/>
      <c r="AR112" s="12"/>
      <c r="AS112" s="11"/>
      <c r="AT112" s="11"/>
      <c r="BF112" s="12"/>
      <c r="BG112" s="12"/>
      <c r="BH112" s="11"/>
      <c r="BI112" s="11"/>
      <c r="BU112" s="12"/>
      <c r="BV112" s="12"/>
      <c r="BW112" s="11"/>
      <c r="BX112" s="11"/>
      <c r="CJ112" s="12" t="str">
        <f t="shared" si="131"/>
        <v>FY23</v>
      </c>
      <c r="CK112" s="12">
        <f t="shared" si="131"/>
        <v>44775</v>
      </c>
      <c r="CL112" s="11">
        <f t="shared" si="132"/>
        <v>22.150339459950082</v>
      </c>
      <c r="CM112" s="11">
        <f t="shared" si="132"/>
        <v>20</v>
      </c>
      <c r="CY112" s="12" t="str">
        <f t="shared" si="123"/>
        <v>FY24</v>
      </c>
      <c r="CZ112" s="12">
        <f t="shared" si="124"/>
        <v>45244</v>
      </c>
      <c r="DA112" s="11">
        <f t="shared" si="125"/>
        <v>17.853845345345345</v>
      </c>
      <c r="DB112" s="11">
        <f t="shared" si="126"/>
        <v>15</v>
      </c>
      <c r="DO112" s="12"/>
      <c r="DP112" s="12"/>
      <c r="DQ112" s="11"/>
      <c r="DR112" s="11"/>
      <c r="EE112" s="12"/>
      <c r="EF112" s="12"/>
      <c r="EG112" s="11"/>
      <c r="EH112" s="11"/>
    </row>
    <row r="113" spans="13:138" x14ac:dyDescent="0.25">
      <c r="M113" s="12"/>
      <c r="N113" s="12"/>
      <c r="O113" s="11"/>
      <c r="P113" s="11"/>
      <c r="AB113" s="12"/>
      <c r="AC113" s="12"/>
      <c r="AD113" s="11"/>
      <c r="AE113" s="11"/>
      <c r="AQ113" s="12"/>
      <c r="AR113" s="12"/>
      <c r="AS113" s="11"/>
      <c r="AT113" s="11"/>
      <c r="BF113" s="12"/>
      <c r="BG113" s="12"/>
      <c r="BH113" s="11"/>
      <c r="BI113" s="11"/>
      <c r="BU113" s="12"/>
      <c r="BV113" s="12"/>
      <c r="BW113" s="11"/>
      <c r="BX113" s="11"/>
      <c r="CJ113" s="12" t="str">
        <f t="shared" ref="CJ113:CK116" si="133">CB51</f>
        <v>FY23</v>
      </c>
      <c r="CK113" s="12">
        <f t="shared" si="133"/>
        <v>44768</v>
      </c>
      <c r="CL113" s="11">
        <f t="shared" ref="CL113:CM116" si="134">CD51/1000000</f>
        <v>15.460507941910599</v>
      </c>
      <c r="CM113" s="11">
        <f t="shared" si="134"/>
        <v>10</v>
      </c>
      <c r="CY113" s="12" t="str">
        <f t="shared" si="123"/>
        <v>FY24</v>
      </c>
      <c r="CZ113" s="12">
        <f t="shared" si="124"/>
        <v>45251</v>
      </c>
      <c r="DA113" s="11">
        <f t="shared" si="125"/>
        <v>19.880151651651651</v>
      </c>
      <c r="DB113" s="11">
        <f t="shared" si="126"/>
        <v>20</v>
      </c>
      <c r="DO113" s="12"/>
      <c r="DP113" s="12"/>
      <c r="DQ113" s="11"/>
      <c r="DR113" s="11"/>
      <c r="EE113" s="12"/>
      <c r="EF113" s="12"/>
      <c r="EG113" s="11"/>
      <c r="EH113" s="11"/>
    </row>
    <row r="114" spans="13:138" x14ac:dyDescent="0.25">
      <c r="M114" s="12"/>
      <c r="N114" s="12"/>
      <c r="O114" s="11"/>
      <c r="P114" s="11"/>
      <c r="AB114" s="12"/>
      <c r="AC114" s="12"/>
      <c r="AD114" s="11"/>
      <c r="AE114" s="11"/>
      <c r="AQ114" s="12"/>
      <c r="AR114" s="12"/>
      <c r="AS114" s="11"/>
      <c r="AT114" s="11"/>
      <c r="BF114" s="12"/>
      <c r="BG114" s="12"/>
      <c r="BH114" s="11"/>
      <c r="BI114" s="11"/>
      <c r="BU114" s="12"/>
      <c r="BV114" s="12"/>
      <c r="BW114" s="11"/>
      <c r="BX114" s="11"/>
      <c r="CJ114" s="12" t="str">
        <f t="shared" si="133"/>
        <v>FY23</v>
      </c>
      <c r="CK114" s="12">
        <f t="shared" si="133"/>
        <v>44761</v>
      </c>
      <c r="CL114" s="11">
        <f t="shared" si="134"/>
        <v>15.887167007034266</v>
      </c>
      <c r="CM114" s="11">
        <f t="shared" si="134"/>
        <v>5</v>
      </c>
      <c r="CY114" s="12" t="str">
        <f t="shared" si="123"/>
        <v>FY24</v>
      </c>
      <c r="CZ114" s="12">
        <f t="shared" si="124"/>
        <v>45258</v>
      </c>
      <c r="DA114" s="11">
        <f t="shared" si="125"/>
        <v>26.490850080850084</v>
      </c>
      <c r="DB114" s="11">
        <f t="shared" si="126"/>
        <v>30</v>
      </c>
      <c r="DO114" s="12"/>
      <c r="DP114" s="12"/>
      <c r="DQ114" s="11"/>
      <c r="DR114" s="11"/>
      <c r="EE114" s="12"/>
      <c r="EF114" s="12"/>
      <c r="EG114" s="11"/>
      <c r="EH114" s="11"/>
    </row>
    <row r="115" spans="13:138" x14ac:dyDescent="0.25">
      <c r="CJ115" s="12" t="str">
        <f t="shared" si="133"/>
        <v>FY23</v>
      </c>
      <c r="CK115" s="12">
        <f t="shared" si="133"/>
        <v>44754</v>
      </c>
      <c r="CL115" s="11">
        <f t="shared" si="134"/>
        <v>8.9883838211935565</v>
      </c>
      <c r="CM115" s="11">
        <f t="shared" si="134"/>
        <v>3</v>
      </c>
      <c r="CY115" s="12" t="str">
        <f t="shared" si="123"/>
        <v>FY24</v>
      </c>
      <c r="CZ115" s="12">
        <f t="shared" si="124"/>
        <v>45265</v>
      </c>
      <c r="DA115" s="11">
        <f t="shared" si="125"/>
        <v>32.184130399630398</v>
      </c>
      <c r="DB115" s="11">
        <f t="shared" si="126"/>
        <v>40</v>
      </c>
    </row>
    <row r="116" spans="13:138" x14ac:dyDescent="0.25">
      <c r="CJ116" s="12" t="str">
        <f t="shared" si="133"/>
        <v>FY23</v>
      </c>
      <c r="CK116" s="12">
        <f t="shared" si="133"/>
        <v>44747</v>
      </c>
      <c r="CL116" s="11">
        <f t="shared" si="134"/>
        <v>26.744814045836172</v>
      </c>
      <c r="CM116" s="11">
        <f t="shared" si="134"/>
        <v>30</v>
      </c>
      <c r="CY116" s="12" t="str">
        <f t="shared" si="123"/>
        <v>FY24</v>
      </c>
      <c r="CZ116" s="12">
        <f t="shared" si="124"/>
        <v>45272</v>
      </c>
      <c r="DA116" s="11">
        <f t="shared" si="125"/>
        <v>40.500575652575648</v>
      </c>
      <c r="DB116" s="11">
        <f t="shared" si="126"/>
        <v>50</v>
      </c>
    </row>
    <row r="117" spans="13:138" x14ac:dyDescent="0.25">
      <c r="CJ117" s="12"/>
      <c r="CK117" s="12"/>
      <c r="CL117" s="11"/>
      <c r="CM117" s="11"/>
      <c r="CY117" s="12" t="str">
        <f t="shared" si="123"/>
        <v>FY24</v>
      </c>
      <c r="CZ117" s="12">
        <f t="shared" si="124"/>
        <v>45279</v>
      </c>
      <c r="DA117" s="11" t="e">
        <f t="shared" si="125"/>
        <v>#N/A</v>
      </c>
      <c r="DB117" s="11" t="e">
        <f t="shared" si="126"/>
        <v>#N/A</v>
      </c>
    </row>
    <row r="118" spans="13:138" x14ac:dyDescent="0.25">
      <c r="CJ118" s="12"/>
      <c r="CK118" s="12"/>
      <c r="CL118" s="11"/>
      <c r="CM118" s="11"/>
      <c r="CY118" s="12" t="str">
        <f t="shared" si="123"/>
        <v>FY24</v>
      </c>
      <c r="CZ118" s="12">
        <f t="shared" si="124"/>
        <v>45286</v>
      </c>
      <c r="DA118" s="11" t="e">
        <f t="shared" si="125"/>
        <v>#N/A</v>
      </c>
      <c r="DB118" s="11" t="e">
        <f t="shared" si="126"/>
        <v>#N/A</v>
      </c>
    </row>
    <row r="119" spans="13:138" x14ac:dyDescent="0.25">
      <c r="CJ119" s="12"/>
      <c r="CK119" s="12"/>
      <c r="CL119" s="11"/>
      <c r="CM119" s="11"/>
      <c r="CY119" s="12" t="str">
        <f t="shared" si="123"/>
        <v>FY24</v>
      </c>
      <c r="CZ119" s="12">
        <f t="shared" si="124"/>
        <v>45293</v>
      </c>
      <c r="DA119" s="11">
        <f t="shared" si="125"/>
        <v>9.2092929082929071</v>
      </c>
      <c r="DB119" s="11">
        <f t="shared" si="126"/>
        <v>3</v>
      </c>
    </row>
    <row r="120" spans="13:138" x14ac:dyDescent="0.25">
      <c r="CJ120" s="12"/>
      <c r="CK120" s="12"/>
      <c r="CL120" s="11"/>
      <c r="CM120" s="11"/>
      <c r="CY120" s="12" t="str">
        <f t="shared" si="123"/>
        <v>FY24</v>
      </c>
      <c r="CZ120" s="12">
        <f t="shared" si="124"/>
        <v>45300</v>
      </c>
      <c r="DA120" s="11">
        <f t="shared" si="125"/>
        <v>10.258208362208363</v>
      </c>
      <c r="DB120" s="11">
        <f t="shared" si="126"/>
        <v>5</v>
      </c>
    </row>
    <row r="121" spans="13:138" x14ac:dyDescent="0.25">
      <c r="CJ121" s="12"/>
      <c r="CK121" s="12"/>
      <c r="CL121" s="11"/>
      <c r="CM121" s="11"/>
      <c r="CY121" s="12" t="str">
        <f t="shared" si="123"/>
        <v>FY24</v>
      </c>
      <c r="CZ121" s="12">
        <f t="shared" si="124"/>
        <v>45307</v>
      </c>
      <c r="DA121" s="11">
        <f t="shared" si="125"/>
        <v>14.163772002772003</v>
      </c>
      <c r="DB121" s="11">
        <f t="shared" si="126"/>
        <v>10</v>
      </c>
    </row>
    <row r="122" spans="13:138" x14ac:dyDescent="0.25">
      <c r="CJ122" s="12"/>
      <c r="CK122" s="12"/>
      <c r="CL122" s="11"/>
      <c r="CM122" s="11"/>
      <c r="CY122" s="12" t="str">
        <f t="shared" si="123"/>
        <v>FY24</v>
      </c>
      <c r="CZ122" s="12">
        <f t="shared" si="124"/>
        <v>45314</v>
      </c>
      <c r="DA122" s="11">
        <f t="shared" si="125"/>
        <v>8.5277261492261491</v>
      </c>
      <c r="DB122" s="11">
        <f t="shared" si="126"/>
        <v>3</v>
      </c>
    </row>
    <row r="123" spans="13:138" x14ac:dyDescent="0.25">
      <c r="CJ123" s="12"/>
      <c r="CK123" s="12"/>
      <c r="CL123" s="11"/>
      <c r="CM123" s="11"/>
      <c r="CY123" s="12" t="str">
        <f t="shared" si="123"/>
        <v>FY24</v>
      </c>
      <c r="CZ123" s="12">
        <f t="shared" si="124"/>
        <v>45321</v>
      </c>
      <c r="DA123" s="11">
        <f t="shared" si="125"/>
        <v>9.3893035343035329</v>
      </c>
      <c r="DB123" s="11">
        <f t="shared" si="126"/>
        <v>5</v>
      </c>
    </row>
    <row r="124" spans="13:138" x14ac:dyDescent="0.25">
      <c r="CJ124" s="12"/>
      <c r="CK124" s="12"/>
      <c r="CL124" s="11"/>
      <c r="CM124" s="11"/>
      <c r="CY124" s="12" t="str">
        <f t="shared" si="123"/>
        <v>FY24</v>
      </c>
      <c r="CZ124" s="12">
        <f t="shared" si="124"/>
        <v>45328</v>
      </c>
      <c r="DA124" s="11">
        <f t="shared" si="125"/>
        <v>18.082208708708706</v>
      </c>
      <c r="DB124" s="11">
        <f t="shared" si="126"/>
        <v>10</v>
      </c>
    </row>
    <row r="125" spans="13:138" x14ac:dyDescent="0.25">
      <c r="CJ125" s="12"/>
      <c r="CK125" s="12"/>
      <c r="CL125" s="11"/>
      <c r="CM125" s="11"/>
      <c r="CY125" s="12" t="str">
        <f t="shared" ref="CY125:CY144" si="135">CQ35</f>
        <v>FY24</v>
      </c>
      <c r="CZ125" s="12">
        <f t="shared" ref="CZ125:CZ144" si="136">CR35</f>
        <v>45335</v>
      </c>
      <c r="DA125" s="11">
        <f t="shared" ref="DA125:DA144" si="137">IF(OR(ISBLANK(CS35),$CT35&gt;=$CZ$90),NA(),CS35/1000000)</f>
        <v>24.152813005313007</v>
      </c>
      <c r="DB125" s="11">
        <f t="shared" ref="DB125:DB144" si="138">IF(OR(ISBLANK(CT35),$CT35&gt;=$CZ$90),NA(),CT35/1000000)</f>
        <v>20</v>
      </c>
    </row>
    <row r="126" spans="13:138" x14ac:dyDescent="0.25">
      <c r="CJ126" s="12"/>
      <c r="CK126" s="12"/>
      <c r="CL126" s="11"/>
      <c r="CM126" s="11"/>
      <c r="CY126" s="12" t="str">
        <f t="shared" si="135"/>
        <v>FY24</v>
      </c>
      <c r="CZ126" s="12">
        <f t="shared" si="136"/>
        <v>45342</v>
      </c>
      <c r="DA126" s="11">
        <f t="shared" si="137"/>
        <v>31.100381612381607</v>
      </c>
      <c r="DB126" s="11">
        <f t="shared" si="138"/>
        <v>30</v>
      </c>
    </row>
    <row r="127" spans="13:138" x14ac:dyDescent="0.25">
      <c r="CJ127" s="12"/>
      <c r="CK127" s="12"/>
      <c r="CL127" s="11"/>
      <c r="CM127" s="11"/>
      <c r="CY127" s="12" t="str">
        <f t="shared" si="135"/>
        <v>FY24</v>
      </c>
      <c r="CZ127" s="12">
        <f t="shared" si="136"/>
        <v>45349</v>
      </c>
      <c r="DA127" s="11">
        <f t="shared" si="137"/>
        <v>9.1288488103488099</v>
      </c>
      <c r="DB127" s="11">
        <f t="shared" si="138"/>
        <v>3</v>
      </c>
    </row>
    <row r="128" spans="13:138" x14ac:dyDescent="0.25">
      <c r="CJ128" s="12"/>
      <c r="CK128" s="12"/>
      <c r="CL128" s="11"/>
      <c r="CM128" s="11"/>
      <c r="CY128" s="12" t="str">
        <f t="shared" si="135"/>
        <v>FY24</v>
      </c>
      <c r="CZ128" s="12">
        <f t="shared" si="136"/>
        <v>45356</v>
      </c>
      <c r="DA128" s="11">
        <f t="shared" si="137"/>
        <v>11.997695888195887</v>
      </c>
      <c r="DB128" s="11">
        <f t="shared" si="138"/>
        <v>8</v>
      </c>
    </row>
    <row r="129" spans="88:106" x14ac:dyDescent="0.25">
      <c r="CJ129" s="12"/>
      <c r="CK129" s="12"/>
      <c r="CL129" s="11"/>
      <c r="CM129" s="11"/>
      <c r="CY129" s="12" t="str">
        <f t="shared" si="135"/>
        <v>FY24</v>
      </c>
      <c r="CZ129" s="12">
        <f t="shared" si="136"/>
        <v>45363</v>
      </c>
      <c r="DA129" s="11">
        <f t="shared" si="137"/>
        <v>14.729771309771309</v>
      </c>
      <c r="DB129" s="11">
        <f t="shared" si="138"/>
        <v>15</v>
      </c>
    </row>
    <row r="130" spans="88:106" x14ac:dyDescent="0.25">
      <c r="CJ130" s="12"/>
      <c r="CK130" s="12"/>
      <c r="CL130" s="11"/>
      <c r="CM130" s="11"/>
      <c r="CY130" s="12" t="str">
        <f t="shared" si="135"/>
        <v>FY24</v>
      </c>
      <c r="CZ130" s="12">
        <f t="shared" si="136"/>
        <v>45370</v>
      </c>
      <c r="DA130" s="11">
        <f t="shared" si="137"/>
        <v>20.737410487410486</v>
      </c>
      <c r="DB130" s="11">
        <f t="shared" si="138"/>
        <v>20</v>
      </c>
    </row>
    <row r="131" spans="88:106" x14ac:dyDescent="0.25">
      <c r="CJ131" s="12"/>
      <c r="CK131" s="12"/>
      <c r="CL131" s="11"/>
      <c r="CM131" s="11"/>
      <c r="CY131" s="12" t="str">
        <f t="shared" si="135"/>
        <v>FY24</v>
      </c>
      <c r="CZ131" s="12">
        <f t="shared" si="136"/>
        <v>45377</v>
      </c>
      <c r="DA131" s="11">
        <f t="shared" si="137"/>
        <v>26.972456802956806</v>
      </c>
      <c r="DB131" s="11">
        <f t="shared" si="138"/>
        <v>30</v>
      </c>
    </row>
    <row r="132" spans="88:106" x14ac:dyDescent="0.25">
      <c r="CJ132" s="12"/>
      <c r="CK132" s="12"/>
      <c r="CL132" s="11"/>
      <c r="CM132" s="11"/>
      <c r="CY132" s="12" t="str">
        <f t="shared" si="135"/>
        <v>FY24</v>
      </c>
      <c r="CZ132" s="12">
        <f t="shared" si="136"/>
        <v>45384</v>
      </c>
      <c r="DA132" s="11">
        <f t="shared" si="137"/>
        <v>30.707917417417413</v>
      </c>
      <c r="DB132" s="11">
        <f t="shared" si="138"/>
        <v>40</v>
      </c>
    </row>
    <row r="133" spans="88:106" x14ac:dyDescent="0.25">
      <c r="CJ133" s="12"/>
      <c r="CK133" s="12"/>
      <c r="CL133" s="11"/>
      <c r="CM133" s="11"/>
      <c r="CY133" s="12" t="str">
        <f t="shared" si="135"/>
        <v>FY24</v>
      </c>
      <c r="CZ133" s="12">
        <f t="shared" si="136"/>
        <v>45391</v>
      </c>
      <c r="DA133" s="11">
        <f t="shared" si="137"/>
        <v>44.051448371448366</v>
      </c>
      <c r="DB133" s="11">
        <f t="shared" si="138"/>
        <v>50</v>
      </c>
    </row>
    <row r="134" spans="88:106" x14ac:dyDescent="0.25">
      <c r="CJ134" s="12"/>
      <c r="CK134" s="12"/>
      <c r="CL134" s="11"/>
      <c r="CM134" s="11"/>
      <c r="CY134" s="12" t="str">
        <f t="shared" si="135"/>
        <v>FY24</v>
      </c>
      <c r="CZ134" s="12">
        <f t="shared" si="136"/>
        <v>45398</v>
      </c>
      <c r="DA134" s="11">
        <f t="shared" si="137"/>
        <v>9.0911240471240475</v>
      </c>
      <c r="DB134" s="11">
        <f t="shared" si="138"/>
        <v>3</v>
      </c>
    </row>
    <row r="135" spans="88:106" x14ac:dyDescent="0.25">
      <c r="CY135" s="12" t="str">
        <f t="shared" si="135"/>
        <v>FY24</v>
      </c>
      <c r="CZ135" s="12">
        <f t="shared" si="136"/>
        <v>45405</v>
      </c>
      <c r="DA135" s="11">
        <f t="shared" si="137"/>
        <v>8.7944719334719323</v>
      </c>
      <c r="DB135" s="11">
        <f t="shared" si="138"/>
        <v>3</v>
      </c>
    </row>
    <row r="136" spans="88:106" x14ac:dyDescent="0.25">
      <c r="CY136" s="12" t="str">
        <f t="shared" si="135"/>
        <v>FY24</v>
      </c>
      <c r="CZ136" s="12">
        <f t="shared" si="136"/>
        <v>45412</v>
      </c>
      <c r="DA136" s="11">
        <f t="shared" si="137"/>
        <v>11.943663894663892</v>
      </c>
      <c r="DB136" s="11">
        <f t="shared" si="138"/>
        <v>8</v>
      </c>
    </row>
    <row r="137" spans="88:106" x14ac:dyDescent="0.25">
      <c r="CY137" s="12" t="str">
        <f t="shared" si="135"/>
        <v>FY24</v>
      </c>
      <c r="CZ137" s="12">
        <f t="shared" si="136"/>
        <v>45419</v>
      </c>
      <c r="DA137" s="11">
        <f t="shared" si="137"/>
        <v>14.858632709632708</v>
      </c>
      <c r="DB137" s="11">
        <f t="shared" si="138"/>
        <v>15</v>
      </c>
    </row>
    <row r="138" spans="88:106" x14ac:dyDescent="0.25">
      <c r="CY138" s="12" t="str">
        <f t="shared" si="135"/>
        <v>FY24</v>
      </c>
      <c r="CZ138" s="12">
        <f t="shared" si="136"/>
        <v>45426</v>
      </c>
      <c r="DA138" s="11">
        <f t="shared" si="137"/>
        <v>17.741966158466155</v>
      </c>
      <c r="DB138" s="11">
        <f t="shared" si="138"/>
        <v>20</v>
      </c>
    </row>
    <row r="139" spans="88:106" x14ac:dyDescent="0.25">
      <c r="CY139" s="12" t="str">
        <f t="shared" si="135"/>
        <v>FY24</v>
      </c>
      <c r="CZ139" s="12">
        <f t="shared" si="136"/>
        <v>45433</v>
      </c>
      <c r="DA139" s="11">
        <f t="shared" si="137"/>
        <v>21.23262035112035</v>
      </c>
      <c r="DB139" s="11">
        <f t="shared" si="138"/>
        <v>30</v>
      </c>
    </row>
    <row r="140" spans="88:106" x14ac:dyDescent="0.25">
      <c r="CY140" s="12" t="str">
        <f t="shared" si="135"/>
        <v>FY24</v>
      </c>
      <c r="CZ140" s="12">
        <f t="shared" si="136"/>
        <v>45440</v>
      </c>
      <c r="DA140" s="11">
        <f t="shared" si="137"/>
        <v>34.128926772926768</v>
      </c>
      <c r="DB140" s="11">
        <f t="shared" si="138"/>
        <v>40</v>
      </c>
    </row>
    <row r="141" spans="88:106" x14ac:dyDescent="0.25">
      <c r="CY141" s="12" t="str">
        <f t="shared" si="135"/>
        <v>FY24</v>
      </c>
      <c r="CZ141" s="12">
        <f t="shared" si="136"/>
        <v>45447</v>
      </c>
      <c r="DA141" s="11">
        <f t="shared" si="137"/>
        <v>9.1961034881034891</v>
      </c>
      <c r="DB141" s="11">
        <f t="shared" si="138"/>
        <v>3</v>
      </c>
    </row>
    <row r="142" spans="88:106" x14ac:dyDescent="0.25">
      <c r="CY142" s="12" t="str">
        <f t="shared" si="135"/>
        <v>FY24</v>
      </c>
      <c r="CZ142" s="12">
        <f t="shared" si="136"/>
        <v>45454</v>
      </c>
      <c r="DA142" s="11">
        <f t="shared" si="137"/>
        <v>8.4915364980364973</v>
      </c>
      <c r="DB142" s="11">
        <f t="shared" si="138"/>
        <v>3</v>
      </c>
    </row>
    <row r="143" spans="88:106" x14ac:dyDescent="0.25">
      <c r="CY143" s="12" t="str">
        <f t="shared" si="135"/>
        <v>FY24</v>
      </c>
      <c r="CZ143" s="12">
        <f t="shared" si="136"/>
        <v>45461</v>
      </c>
      <c r="DA143" s="11">
        <f t="shared" si="137"/>
        <v>11.390011550011549</v>
      </c>
      <c r="DB143" s="11">
        <f t="shared" si="138"/>
        <v>8</v>
      </c>
    </row>
    <row r="144" spans="88:106" x14ac:dyDescent="0.25">
      <c r="CY144" s="12" t="str">
        <f t="shared" si="135"/>
        <v>FY24</v>
      </c>
      <c r="CZ144" s="12">
        <f t="shared" si="136"/>
        <v>45468</v>
      </c>
      <c r="DA144" s="11">
        <f t="shared" si="137"/>
        <v>16.251214599214595</v>
      </c>
      <c r="DB144" s="11">
        <f t="shared" si="138"/>
        <v>15</v>
      </c>
    </row>
    <row r="145" spans="103:106" x14ac:dyDescent="0.25">
      <c r="CY145" s="12"/>
      <c r="CZ145" s="12"/>
      <c r="DA145" s="11"/>
      <c r="DB145" s="11"/>
    </row>
    <row r="146" spans="103:106" x14ac:dyDescent="0.25">
      <c r="CY146" s="12"/>
      <c r="CZ146" s="12"/>
      <c r="DA146" s="11"/>
      <c r="DB146" s="11"/>
    </row>
    <row r="147" spans="103:106" x14ac:dyDescent="0.25">
      <c r="CY147" s="12"/>
      <c r="CZ147" s="12"/>
      <c r="DA147" s="11"/>
      <c r="DB147" s="11"/>
    </row>
    <row r="148" spans="103:106" x14ac:dyDescent="0.25">
      <c r="CY148" s="12"/>
      <c r="CZ148" s="12"/>
      <c r="DA148" s="11"/>
      <c r="DB148" s="11"/>
    </row>
    <row r="149" spans="103:106" x14ac:dyDescent="0.25">
      <c r="CY149" s="12"/>
      <c r="CZ149" s="12"/>
      <c r="DA149" s="11"/>
      <c r="DB149" s="11"/>
    </row>
    <row r="150" spans="103:106" x14ac:dyDescent="0.25">
      <c r="CY150" s="12"/>
      <c r="CZ150" s="12"/>
      <c r="DA150" s="11"/>
      <c r="DB150" s="11"/>
    </row>
    <row r="151" spans="103:106" x14ac:dyDescent="0.25">
      <c r="CY151" s="12"/>
      <c r="CZ151" s="12"/>
      <c r="DA151" s="11"/>
      <c r="DB151" s="11"/>
    </row>
    <row r="152" spans="103:106" x14ac:dyDescent="0.25">
      <c r="CY152" s="12"/>
      <c r="CZ152" s="12"/>
      <c r="DA152" s="11"/>
      <c r="DB152" s="11"/>
    </row>
    <row r="153" spans="103:106" x14ac:dyDescent="0.25">
      <c r="CY153" s="12"/>
      <c r="CZ153" s="12"/>
      <c r="DA153" s="11"/>
      <c r="DB153" s="11"/>
    </row>
    <row r="154" spans="103:106" x14ac:dyDescent="0.25">
      <c r="CY154" s="12"/>
      <c r="CZ154" s="12"/>
      <c r="DA154" s="11"/>
      <c r="DB154" s="11"/>
    </row>
    <row r="155" spans="103:106" x14ac:dyDescent="0.25">
      <c r="CY155" s="12"/>
      <c r="CZ155" s="12"/>
      <c r="DA155" s="11"/>
      <c r="DB155" s="11"/>
    </row>
    <row r="156" spans="103:106" x14ac:dyDescent="0.25">
      <c r="CY156" s="12"/>
      <c r="CZ156" s="12"/>
      <c r="DA156" s="11"/>
      <c r="DB156" s="11"/>
    </row>
    <row r="157" spans="103:106" x14ac:dyDescent="0.25">
      <c r="CY157" s="12"/>
      <c r="CZ157" s="12"/>
      <c r="DA157" s="11"/>
      <c r="DB157" s="11"/>
    </row>
    <row r="158" spans="103:106" x14ac:dyDescent="0.25">
      <c r="CY158" s="12"/>
      <c r="CZ158" s="12"/>
      <c r="DA158" s="11"/>
      <c r="DB158" s="11"/>
    </row>
    <row r="159" spans="103:106" x14ac:dyDescent="0.25">
      <c r="CY159" s="12"/>
      <c r="CZ159" s="12"/>
      <c r="DA159" s="11"/>
      <c r="DB159" s="11"/>
    </row>
    <row r="160" spans="103:106" x14ac:dyDescent="0.25">
      <c r="CY160" s="12"/>
      <c r="CZ160" s="12"/>
      <c r="DA160" s="11"/>
      <c r="DB160" s="11"/>
    </row>
    <row r="161" spans="103:106" x14ac:dyDescent="0.25">
      <c r="CY161" s="12"/>
      <c r="CZ161" s="12"/>
      <c r="DA161" s="11"/>
      <c r="DB161" s="11"/>
    </row>
    <row r="162" spans="103:106" x14ac:dyDescent="0.25">
      <c r="CY162" s="12"/>
      <c r="CZ162" s="12"/>
      <c r="DA162" s="11"/>
      <c r="DB162" s="11"/>
    </row>
  </sheetData>
  <sortState xmlns:xlrd2="http://schemas.microsoft.com/office/spreadsheetml/2017/richdata2" ref="CR3:CT54">
    <sortCondition ref="CR3:CR54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7974-3FD4-4CDA-B219-F9FCA1D4C1B1}">
  <sheetPr codeName="Sheet23">
    <tabColor theme="4" tint="0.79998168889431442"/>
  </sheetPr>
  <dimension ref="A2:OD357"/>
  <sheetViews>
    <sheetView showGridLines="0" zoomScale="90" zoomScaleNormal="90" workbookViewId="0">
      <pane ySplit="4" topLeftCell="A5" activePane="bottomLeft" state="frozen"/>
      <selection pane="bottomLeft" activeCell="KB38" sqref="KB38"/>
    </sheetView>
  </sheetViews>
  <sheetFormatPr defaultRowHeight="15" outlineLevelCol="1" x14ac:dyDescent="0.25"/>
  <cols>
    <col min="1" max="1" width="2.7109375" style="6" customWidth="1"/>
    <col min="2" max="2" width="10.7109375" style="4" customWidth="1" outlineLevel="1"/>
    <col min="3" max="4" width="11.28515625" style="4" customWidth="1" outlineLevel="1"/>
    <col min="5" max="5" width="2.7109375" style="6" customWidth="1" outlineLevel="1"/>
    <col min="6" max="6" width="7.5703125" style="4" customWidth="1" outlineLevel="1"/>
    <col min="7" max="7" width="10.7109375" style="4" customWidth="1" outlineLevel="1"/>
    <col min="8" max="9" width="11.28515625" style="4" customWidth="1" outlineLevel="1"/>
    <col min="10" max="10" width="2.7109375" style="6" customWidth="1" outlineLevel="1"/>
    <col min="11" max="11" width="3.28515625" style="7" customWidth="1" outlineLevel="1"/>
    <col min="12" max="12" width="2.7109375" style="6" customWidth="1" outlineLevel="1"/>
    <col min="13" max="14" width="5.140625" style="6" customWidth="1" outlineLevel="1"/>
    <col min="15" max="21" width="8.5703125" style="6" customWidth="1" outlineLevel="1"/>
    <col min="22" max="22" width="13.7109375" style="5" customWidth="1" outlineLevel="1"/>
    <col min="23" max="24" width="13" style="4" customWidth="1" outlineLevel="1"/>
    <col min="25" max="25" width="13.28515625" style="3" customWidth="1" outlineLevel="1"/>
    <col min="26" max="26" width="2.7109375" style="1" customWidth="1"/>
    <col min="27" max="28" width="11.7109375" style="2" customWidth="1" outlineLevel="1"/>
    <col min="29" max="29" width="11.7109375" style="1" customWidth="1" outlineLevel="1"/>
    <col min="30" max="30" width="12.140625" style="1" customWidth="1" outlineLevel="1"/>
    <col min="31" max="31" width="2.7109375" style="1" customWidth="1" outlineLevel="1"/>
    <col min="32" max="33" width="11.7109375" style="1" customWidth="1" outlineLevel="1"/>
    <col min="34" max="34" width="2.7109375" style="1" customWidth="1" outlineLevel="1"/>
    <col min="35" max="38" width="13.7109375" style="2" customWidth="1" outlineLevel="1"/>
    <col min="39" max="39" width="2.7109375" style="1" customWidth="1" outlineLevel="1"/>
    <col min="40" max="40" width="76.7109375" style="1" customWidth="1" outlineLevel="1"/>
    <col min="41" max="41" width="2.7109375" style="1" customWidth="1" outlineLevel="1"/>
    <col min="42" max="45" width="13.7109375" style="2" customWidth="1" outlineLevel="1"/>
    <col min="46" max="46" width="2.7109375" style="1" customWidth="1" outlineLevel="1"/>
    <col min="47" max="47" width="76.7109375" style="1" customWidth="1" outlineLevel="1"/>
    <col min="48" max="48" width="2.7109375" style="1" customWidth="1" outlineLevel="1"/>
    <col min="49" max="50" width="11.7109375" style="2" customWidth="1" outlineLevel="1"/>
    <col min="51" max="51" width="11.7109375" style="1" customWidth="1" outlineLevel="1"/>
    <col min="52" max="52" width="12.140625" style="1" customWidth="1" outlineLevel="1"/>
    <col min="53" max="53" width="2.7109375" style="1" customWidth="1" outlineLevel="1"/>
    <col min="54" max="56" width="11.7109375" style="1" customWidth="1" outlineLevel="1"/>
    <col min="57" max="57" width="2.7109375" style="1" customWidth="1" outlineLevel="1"/>
    <col min="58" max="61" width="13.7109375" style="2" customWidth="1" outlineLevel="1"/>
    <col min="62" max="62" width="2.7109375" style="1" customWidth="1" outlineLevel="1"/>
    <col min="63" max="63" width="76.7109375" style="1" customWidth="1" outlineLevel="1"/>
    <col min="64" max="64" width="2.7109375" style="1" customWidth="1" outlineLevel="1"/>
    <col min="65" max="68" width="13.7109375" style="2" customWidth="1" outlineLevel="1"/>
    <col min="69" max="69" width="2.7109375" style="1" customWidth="1" outlineLevel="1"/>
    <col min="70" max="70" width="76.7109375" style="1" customWidth="1" outlineLevel="1"/>
    <col min="71" max="71" width="2.7109375" style="1" customWidth="1"/>
    <col min="72" max="73" width="11.7109375" style="2" customWidth="1" outlineLevel="1"/>
    <col min="74" max="74" width="11.7109375" style="1" customWidth="1" outlineLevel="1"/>
    <col min="75" max="75" width="12.140625" style="1" customWidth="1" outlineLevel="1"/>
    <col min="76" max="76" width="2.7109375" style="1" customWidth="1" outlineLevel="1"/>
    <col min="77" max="78" width="11.7109375" style="1" customWidth="1" outlineLevel="1"/>
    <col min="79" max="79" width="2.7109375" style="1" customWidth="1" outlineLevel="1"/>
    <col min="80" max="83" width="13.7109375" style="2" customWidth="1" outlineLevel="1"/>
    <col min="84" max="84" width="2.7109375" style="1" customWidth="1" outlineLevel="1"/>
    <col min="85" max="85" width="103" style="1" customWidth="1" outlineLevel="1"/>
    <col min="86" max="86" width="2.7109375" style="1" customWidth="1" outlineLevel="1"/>
    <col min="87" max="90" width="16.7109375" style="2" customWidth="1" outlineLevel="1"/>
    <col min="91" max="91" width="2.7109375" style="1" customWidth="1" outlineLevel="1"/>
    <col min="92" max="93" width="11.7109375" style="1" customWidth="1" outlineLevel="1"/>
    <col min="94" max="94" width="2.7109375" style="1" customWidth="1" outlineLevel="1"/>
    <col min="95" max="98" width="13.7109375" style="2" customWidth="1" outlineLevel="1"/>
    <col min="99" max="99" width="2.7109375" style="1" customWidth="1" outlineLevel="1"/>
    <col min="100" max="100" width="76.7109375" style="1" customWidth="1" outlineLevel="1"/>
    <col min="101" max="101" width="2.7109375" style="1" customWidth="1" outlineLevel="1"/>
    <col min="102" max="103" width="11.7109375" style="2" customWidth="1" outlineLevel="1"/>
    <col min="104" max="104" width="11.7109375" style="1" customWidth="1" outlineLevel="1"/>
    <col min="105" max="105" width="12.140625" style="1" customWidth="1" outlineLevel="1"/>
    <col min="106" max="106" width="2.7109375" style="1" customWidth="1" outlineLevel="1"/>
    <col min="107" max="108" width="11.7109375" style="1" customWidth="1" outlineLevel="1"/>
    <col min="109" max="109" width="2.7109375" style="1" customWidth="1" outlineLevel="1"/>
    <col min="110" max="113" width="13.7109375" style="2" customWidth="1" outlineLevel="1"/>
    <col min="114" max="114" width="2.7109375" style="1" customWidth="1" outlineLevel="1"/>
    <col min="115" max="115" width="76.7109375" style="1" customWidth="1" outlineLevel="1"/>
    <col min="116" max="116" width="2.7109375" style="1" customWidth="1" outlineLevel="1"/>
    <col min="117" max="118" width="11.7109375" style="2" customWidth="1" outlineLevel="1"/>
    <col min="119" max="119" width="11.7109375" style="1" customWidth="1" outlineLevel="1"/>
    <col min="120" max="120" width="12.140625" style="1" customWidth="1" outlineLevel="1"/>
    <col min="121" max="121" width="2.7109375" style="1" customWidth="1" outlineLevel="1"/>
    <col min="122" max="123" width="11.7109375" style="1" customWidth="1" outlineLevel="1"/>
    <col min="124" max="124" width="2.7109375" style="1" customWidth="1" outlineLevel="1"/>
    <col min="125" max="128" width="13.7109375" style="2" customWidth="1" outlineLevel="1"/>
    <col min="129" max="129" width="2.7109375" style="1" customWidth="1" outlineLevel="1"/>
    <col min="130" max="130" width="76.7109375" style="1" customWidth="1" outlineLevel="1"/>
    <col min="131" max="131" width="2.7109375" style="1" customWidth="1" outlineLevel="1"/>
    <col min="132" max="135" width="13.7109375" style="2" customWidth="1" outlineLevel="1"/>
    <col min="136" max="136" width="2.7109375" style="1" customWidth="1" outlineLevel="1"/>
    <col min="137" max="137" width="76.7109375" style="1" customWidth="1" outlineLevel="1"/>
    <col min="138" max="138" width="2.7109375" style="1" customWidth="1"/>
    <col min="139" max="142" width="11.7109375" style="1" customWidth="1" outlineLevel="1"/>
    <col min="143" max="143" width="2.7109375" style="1" customWidth="1" outlineLevel="1"/>
    <col min="144" max="145" width="11.7109375" style="1" customWidth="1" outlineLevel="1"/>
    <col min="146" max="146" width="2.7109375" style="1" customWidth="1" outlineLevel="1"/>
    <col min="147" max="150" width="13.7109375" style="2" customWidth="1" outlineLevel="1"/>
    <col min="151" max="151" width="2.7109375" style="1" customWidth="1" outlineLevel="1"/>
    <col min="152" max="152" width="76.7109375" style="1" customWidth="1" outlineLevel="1"/>
    <col min="153" max="153" width="2.7109375" style="1" customWidth="1" outlineLevel="1"/>
    <col min="154" max="157" width="11.7109375" style="1" customWidth="1" outlineLevel="1"/>
    <col min="158" max="158" width="2.7109375" style="1" customWidth="1" outlineLevel="1"/>
    <col min="159" max="160" width="11.7109375" style="1" customWidth="1" outlineLevel="1"/>
    <col min="161" max="161" width="2.7109375" style="1" customWidth="1" outlineLevel="1"/>
    <col min="162" max="165" width="13.7109375" style="2" customWidth="1" outlineLevel="1"/>
    <col min="166" max="166" width="2.7109375" style="1" customWidth="1" outlineLevel="1"/>
    <col min="167" max="167" width="76.7109375" style="1" customWidth="1" outlineLevel="1"/>
    <col min="168" max="168" width="2.7109375" style="1" customWidth="1" outlineLevel="1"/>
    <col min="169" max="172" width="13.7109375" style="2" customWidth="1" outlineLevel="1"/>
    <col min="173" max="173" width="2.7109375" style="1" customWidth="1" outlineLevel="1"/>
    <col min="174" max="174" width="76.7109375" style="1" customWidth="1" outlineLevel="1"/>
    <col min="175" max="175" width="2.7109375" style="1" customWidth="1" outlineLevel="1"/>
    <col min="176" max="179" width="11.7109375" style="1" customWidth="1" outlineLevel="1"/>
    <col min="180" max="180" width="2.7109375" style="1" customWidth="1" outlineLevel="1"/>
    <col min="181" max="182" width="11.7109375" style="1" customWidth="1" outlineLevel="1"/>
    <col min="183" max="183" width="2.7109375" style="1" customWidth="1" outlineLevel="1"/>
    <col min="184" max="187" width="13.7109375" style="2" customWidth="1" outlineLevel="1"/>
    <col min="188" max="188" width="2.7109375" style="1" customWidth="1" outlineLevel="1"/>
    <col min="189" max="189" width="76.7109375" style="1" customWidth="1" outlineLevel="1"/>
    <col min="190" max="190" width="2.7109375" style="1" customWidth="1" outlineLevel="1"/>
    <col min="191" max="194" width="13.7109375" style="2" customWidth="1" outlineLevel="1"/>
    <col min="195" max="195" width="2.7109375" style="1" customWidth="1" outlineLevel="1"/>
    <col min="196" max="196" width="76.7109375" style="1" customWidth="1" outlineLevel="1"/>
    <col min="197" max="197" width="2.7109375" style="1" customWidth="1" outlineLevel="1"/>
    <col min="198" max="201" width="11.7109375" style="1" customWidth="1" outlineLevel="1"/>
    <col min="202" max="202" width="2.7109375" style="1" customWidth="1" outlineLevel="1"/>
    <col min="203" max="204" width="11.7109375" style="1" customWidth="1" outlineLevel="1"/>
    <col min="205" max="205" width="2.7109375" style="1" customWidth="1" outlineLevel="1"/>
    <col min="206" max="209" width="13.7109375" style="2" customWidth="1" outlineLevel="1"/>
    <col min="210" max="210" width="2.7109375" style="1" customWidth="1" outlineLevel="1"/>
    <col min="211" max="211" width="76.7109375" style="1" customWidth="1" outlineLevel="1"/>
    <col min="212" max="212" width="2.7109375" style="1" customWidth="1" outlineLevel="1"/>
    <col min="213" max="216" width="11.7109375" style="1" customWidth="1" outlineLevel="1"/>
    <col min="217" max="217" width="2.7109375" style="1" customWidth="1" outlineLevel="1"/>
    <col min="218" max="219" width="11.7109375" style="1" customWidth="1" outlineLevel="1"/>
    <col min="220" max="220" width="2.7109375" style="1" customWidth="1" outlineLevel="1"/>
    <col min="221" max="224" width="13.7109375" style="2" customWidth="1" outlineLevel="1"/>
    <col min="225" max="225" width="2.7109375" style="1" customWidth="1" outlineLevel="1"/>
    <col min="226" max="226" width="76.7109375" style="1" customWidth="1" outlineLevel="1"/>
    <col min="227" max="227" width="2.7109375" style="1" customWidth="1" outlineLevel="1"/>
    <col min="228" max="231" width="13.7109375" style="2" customWidth="1" outlineLevel="1"/>
    <col min="232" max="232" width="2.7109375" style="1" customWidth="1" outlineLevel="1"/>
    <col min="233" max="233" width="76.7109375" style="1" customWidth="1" outlineLevel="1"/>
    <col min="234" max="234" width="2.7109375" style="1" customWidth="1" outlineLevel="1"/>
    <col min="235" max="238" width="11.7109375" style="1" customWidth="1" outlineLevel="1"/>
    <col min="239" max="239" width="2.7109375" style="1" customWidth="1" outlineLevel="1"/>
    <col min="240" max="241" width="11.7109375" style="1" customWidth="1" outlineLevel="1"/>
    <col min="242" max="242" width="2.7109375" style="1" customWidth="1" outlineLevel="1"/>
    <col min="243" max="246" width="13.7109375" style="2" customWidth="1" outlineLevel="1"/>
    <col min="247" max="247" width="2.7109375" style="1" customWidth="1" outlineLevel="1"/>
    <col min="248" max="248" width="76.7109375" style="1" customWidth="1" outlineLevel="1"/>
    <col min="249" max="249" width="2.7109375" style="1" customWidth="1" outlineLevel="1"/>
    <col min="250" max="253" width="13.7109375" style="2" customWidth="1" outlineLevel="1"/>
    <col min="254" max="254" width="2.7109375" style="1" customWidth="1" outlineLevel="1"/>
    <col min="255" max="255" width="76.7109375" style="1" customWidth="1" outlineLevel="1"/>
    <col min="256" max="256" width="2.7109375" style="1" customWidth="1" outlineLevel="1"/>
    <col min="257" max="260" width="11.7109375" style="1" customWidth="1" outlineLevel="1"/>
    <col min="261" max="261" width="2.7109375" style="1" customWidth="1" outlineLevel="1"/>
    <col min="262" max="263" width="11.7109375" style="1" customWidth="1" outlineLevel="1"/>
    <col min="264" max="264" width="2.7109375" style="1" customWidth="1" outlineLevel="1"/>
    <col min="265" max="270" width="13.7109375" style="2" customWidth="1" outlineLevel="1"/>
    <col min="271" max="271" width="2.7109375" style="1" customWidth="1" outlineLevel="1"/>
    <col min="272" max="272" width="76.7109375" style="1" customWidth="1" outlineLevel="1"/>
    <col min="273" max="273" width="2.7109375" style="1" customWidth="1" outlineLevel="1"/>
    <col min="274" max="281" width="13.7109375" style="2" customWidth="1" outlineLevel="1"/>
    <col min="282" max="282" width="2.7109375" style="1" customWidth="1" outlineLevel="1"/>
    <col min="283" max="283" width="76.7109375" style="1" customWidth="1" outlineLevel="1"/>
    <col min="284" max="284" width="2.7109375" style="1" customWidth="1"/>
    <col min="285" max="288" width="11.7109375" style="1" customWidth="1" outlineLevel="1"/>
    <col min="289" max="289" width="2.7109375" style="1" customWidth="1" outlineLevel="1"/>
    <col min="290" max="291" width="11.7109375" style="1" customWidth="1" outlineLevel="1"/>
    <col min="292" max="292" width="2.7109375" style="1" customWidth="1" outlineLevel="1"/>
    <col min="293" max="296" width="11.7109375" style="1" customWidth="1" outlineLevel="1"/>
    <col min="297" max="297" width="2.7109375" style="1" customWidth="1" outlineLevel="1"/>
    <col min="298" max="299" width="11.7109375" style="1" customWidth="1" outlineLevel="1"/>
    <col min="300" max="300" width="2.7109375" style="1" customWidth="1" outlineLevel="1"/>
    <col min="301" max="304" width="11.7109375" style="1" customWidth="1" outlineLevel="1"/>
    <col min="305" max="305" width="2.7109375" style="1" customWidth="1" outlineLevel="1"/>
    <col min="306" max="307" width="11.7109375" style="1" customWidth="1" outlineLevel="1"/>
    <col min="308" max="308" width="2.7109375" style="1" customWidth="1" outlineLevel="1"/>
    <col min="309" max="312" width="11.7109375" style="1" customWidth="1" outlineLevel="1"/>
    <col min="313" max="313" width="2.7109375" style="1" customWidth="1" outlineLevel="1"/>
    <col min="314" max="315" width="11.7109375" style="1" customWidth="1" outlineLevel="1"/>
    <col min="316" max="316" width="2.7109375" style="1" customWidth="1" outlineLevel="1"/>
    <col min="317" max="320" width="11.7109375" style="1" customWidth="1" outlineLevel="1"/>
    <col min="321" max="321" width="2.7109375" style="1" customWidth="1" outlineLevel="1"/>
    <col min="322" max="323" width="11.7109375" style="1" customWidth="1" outlineLevel="1"/>
    <col min="324" max="324" width="2.7109375" style="1" customWidth="1" outlineLevel="1"/>
    <col min="325" max="328" width="11.7109375" style="1" customWidth="1" outlineLevel="1"/>
    <col min="329" max="329" width="2.7109375" style="1" customWidth="1" outlineLevel="1"/>
    <col min="330" max="331" width="11.7109375" style="1" customWidth="1" outlineLevel="1"/>
    <col min="332" max="332" width="2.7109375" style="1" customWidth="1" outlineLevel="1"/>
    <col min="333" max="336" width="11.7109375" style="1" customWidth="1" outlineLevel="1"/>
    <col min="337" max="337" width="2.7109375" style="1" customWidth="1" outlineLevel="1"/>
    <col min="338" max="339" width="11.7109375" style="1" customWidth="1" outlineLevel="1"/>
    <col min="340" max="340" width="2.7109375" style="1" customWidth="1" outlineLevel="1"/>
    <col min="341" max="344" width="11.7109375" style="1" customWidth="1" outlineLevel="1"/>
    <col min="345" max="345" width="2.7109375" style="1" customWidth="1" outlineLevel="1"/>
    <col min="346" max="347" width="11.7109375" style="1" customWidth="1" outlineLevel="1"/>
    <col min="348" max="348" width="2.7109375" style="1" customWidth="1" outlineLevel="1"/>
    <col min="349" max="352" width="11.7109375" style="1" customWidth="1" outlineLevel="1"/>
    <col min="353" max="353" width="2.7109375" style="1" customWidth="1" outlineLevel="1"/>
    <col min="354" max="355" width="11.7109375" style="1" customWidth="1" outlineLevel="1"/>
    <col min="356" max="356" width="2.7109375" style="1" customWidth="1" outlineLevel="1"/>
    <col min="357" max="360" width="11.7109375" style="1" customWidth="1" outlineLevel="1"/>
    <col min="361" max="361" width="2.7109375" style="1" customWidth="1" outlineLevel="1"/>
    <col min="362" max="363" width="11.7109375" style="1" customWidth="1" outlineLevel="1"/>
    <col min="364" max="364" width="2.7109375" style="1" customWidth="1" outlineLevel="1"/>
    <col min="365" max="368" width="11.7109375" style="1" customWidth="1" outlineLevel="1"/>
    <col min="369" max="369" width="2.7109375" style="1" customWidth="1" outlineLevel="1"/>
    <col min="370" max="371" width="11.7109375" style="1" customWidth="1" outlineLevel="1"/>
    <col min="372" max="372" width="2.7109375" style="1" customWidth="1" outlineLevel="1"/>
    <col min="373" max="376" width="13.7109375" style="2" customWidth="1" outlineLevel="1"/>
    <col min="377" max="377" width="2.7109375" style="1" customWidth="1" outlineLevel="1"/>
    <col min="378" max="378" width="76.7109375" style="1" customWidth="1" outlineLevel="1"/>
    <col min="379" max="379" width="2.7109375" style="1" customWidth="1" outlineLevel="1"/>
    <col min="380" max="383" width="11.7109375" style="1" customWidth="1" outlineLevel="1"/>
    <col min="384" max="384" width="2.7109375" style="1" customWidth="1" outlineLevel="1"/>
    <col min="385" max="386" width="11.7109375" style="1" customWidth="1" outlineLevel="1"/>
    <col min="387" max="387" width="2.7109375" style="1" customWidth="1" outlineLevel="1"/>
    <col min="388" max="391" width="13.7109375" style="2" customWidth="1" outlineLevel="1"/>
    <col min="392" max="392" width="2.7109375" style="1" customWidth="1" outlineLevel="1"/>
    <col min="393" max="393" width="76.7109375" style="1" customWidth="1" outlineLevel="1"/>
    <col min="394" max="394" width="2.7109375" customWidth="1"/>
    <col min="395" max="16384" width="9.140625" style="1"/>
  </cols>
  <sheetData>
    <row r="2" spans="1:393" s="85" customFormat="1" x14ac:dyDescent="0.25">
      <c r="A2" s="92"/>
      <c r="B2" s="89" t="s">
        <v>144</v>
      </c>
      <c r="C2" s="90"/>
      <c r="D2" s="90"/>
      <c r="E2" s="91"/>
      <c r="F2" s="90"/>
      <c r="G2" s="90"/>
      <c r="H2" s="90"/>
      <c r="I2" s="90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0"/>
      <c r="W2" s="90"/>
      <c r="X2" s="90"/>
      <c r="Y2" s="86" t="s">
        <v>144</v>
      </c>
      <c r="AA2" s="89" t="s">
        <v>143</v>
      </c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86" t="s">
        <v>143</v>
      </c>
      <c r="BT2" s="89" t="s">
        <v>142</v>
      </c>
      <c r="BU2" s="88"/>
      <c r="BV2" s="87"/>
      <c r="BW2" s="87"/>
      <c r="BX2" s="87"/>
      <c r="BY2" s="87"/>
      <c r="BZ2" s="87"/>
      <c r="CA2" s="87"/>
      <c r="CB2" s="88"/>
      <c r="CC2" s="88"/>
      <c r="CD2" s="88"/>
      <c r="CE2" s="88"/>
      <c r="CF2" s="87"/>
      <c r="CG2" s="87"/>
      <c r="CH2" s="87"/>
      <c r="CI2" s="88"/>
      <c r="CJ2" s="88"/>
      <c r="CK2" s="88"/>
      <c r="CL2" s="88"/>
      <c r="CM2" s="87"/>
      <c r="CN2" s="87"/>
      <c r="CO2" s="87"/>
      <c r="CP2" s="87"/>
      <c r="CQ2" s="88"/>
      <c r="CR2" s="88"/>
      <c r="CS2" s="88"/>
      <c r="CT2" s="88"/>
      <c r="CU2" s="87"/>
      <c r="CV2" s="87"/>
      <c r="CW2" s="87"/>
      <c r="CX2" s="88"/>
      <c r="CY2" s="88"/>
      <c r="CZ2" s="87"/>
      <c r="DA2" s="87"/>
      <c r="DB2" s="87"/>
      <c r="DC2" s="87"/>
      <c r="DD2" s="87"/>
      <c r="DE2" s="87"/>
      <c r="DF2" s="88"/>
      <c r="DG2" s="88"/>
      <c r="DH2" s="88"/>
      <c r="DI2" s="88"/>
      <c r="DJ2" s="87"/>
      <c r="DK2" s="87"/>
      <c r="DL2" s="87"/>
      <c r="DM2" s="88"/>
      <c r="DN2" s="88"/>
      <c r="DO2" s="87"/>
      <c r="DP2" s="87"/>
      <c r="DQ2" s="87"/>
      <c r="DR2" s="87"/>
      <c r="DS2" s="87"/>
      <c r="DT2" s="87"/>
      <c r="DU2" s="88"/>
      <c r="DV2" s="88"/>
      <c r="DW2" s="88"/>
      <c r="DX2" s="88"/>
      <c r="DY2" s="87"/>
      <c r="DZ2" s="87"/>
      <c r="EA2" s="87"/>
      <c r="EB2" s="88"/>
      <c r="EC2" s="88"/>
      <c r="ED2" s="88"/>
      <c r="EE2" s="88"/>
      <c r="EF2" s="87"/>
      <c r="EG2" s="86" t="s">
        <v>142</v>
      </c>
      <c r="EI2" s="89" t="s">
        <v>141</v>
      </c>
      <c r="EJ2" s="88"/>
      <c r="EK2" s="87"/>
      <c r="EL2" s="87"/>
      <c r="EM2" s="87"/>
      <c r="EN2" s="87"/>
      <c r="EO2" s="87"/>
      <c r="EP2" s="87"/>
      <c r="EQ2" s="88"/>
      <c r="ER2" s="88"/>
      <c r="ES2" s="88"/>
      <c r="ET2" s="88"/>
      <c r="EU2" s="87"/>
      <c r="EV2" s="87"/>
      <c r="EW2" s="87"/>
      <c r="EX2" s="88"/>
      <c r="EY2" s="88"/>
      <c r="EZ2" s="87"/>
      <c r="FA2" s="87"/>
      <c r="FB2" s="87"/>
      <c r="FC2" s="87"/>
      <c r="FD2" s="87"/>
      <c r="FE2" s="87"/>
      <c r="FF2" s="88"/>
      <c r="FG2" s="88"/>
      <c r="FH2" s="88"/>
      <c r="FI2" s="88"/>
      <c r="FJ2" s="87"/>
      <c r="FK2" s="87"/>
      <c r="FL2" s="87"/>
      <c r="FM2" s="88"/>
      <c r="FN2" s="88"/>
      <c r="FO2" s="87"/>
      <c r="FP2" s="87"/>
      <c r="FQ2" s="87"/>
      <c r="FR2" s="87"/>
      <c r="FS2" s="87"/>
      <c r="FT2" s="87"/>
      <c r="FU2" s="88"/>
      <c r="FV2" s="88"/>
      <c r="FW2" s="88"/>
      <c r="FX2" s="88"/>
      <c r="FY2" s="87"/>
      <c r="FZ2" s="87"/>
      <c r="GA2" s="87"/>
      <c r="GB2" s="88"/>
      <c r="GC2" s="88"/>
      <c r="GD2" s="87"/>
      <c r="GE2" s="87"/>
      <c r="GF2" s="87"/>
      <c r="GG2" s="87"/>
      <c r="GH2" s="87"/>
      <c r="GI2" s="87"/>
      <c r="GJ2" s="88"/>
      <c r="GK2" s="88"/>
      <c r="GL2" s="88"/>
      <c r="GM2" s="88"/>
      <c r="GN2" s="87"/>
      <c r="GO2" s="87"/>
      <c r="GP2" s="87"/>
      <c r="GQ2" s="88"/>
      <c r="GR2" s="88"/>
      <c r="GS2" s="88"/>
      <c r="GT2" s="88"/>
      <c r="GU2" s="87"/>
      <c r="GV2" s="86"/>
      <c r="GW2" s="86"/>
      <c r="GX2" s="86"/>
      <c r="GY2" s="86"/>
      <c r="GZ2" s="86"/>
      <c r="HA2" s="86"/>
      <c r="HB2" s="86"/>
      <c r="HC2" s="86"/>
      <c r="HD2" s="86"/>
      <c r="HE2" s="86"/>
      <c r="HF2" s="86"/>
      <c r="HG2" s="86"/>
      <c r="HH2" s="86"/>
      <c r="HI2" s="86"/>
      <c r="HJ2" s="86"/>
      <c r="HK2" s="86"/>
      <c r="HL2" s="86"/>
      <c r="HM2" s="86"/>
      <c r="HN2" s="86"/>
      <c r="HO2" s="86"/>
      <c r="HP2" s="86"/>
      <c r="HQ2" s="86"/>
      <c r="HR2" s="86"/>
      <c r="HS2" s="86"/>
      <c r="HT2" s="86"/>
      <c r="HU2" s="86"/>
      <c r="HV2" s="86"/>
      <c r="HW2" s="86"/>
      <c r="HX2" s="86"/>
      <c r="HY2" s="86"/>
      <c r="HZ2" s="86"/>
      <c r="IA2" s="86"/>
      <c r="IB2" s="86"/>
      <c r="IC2" s="86"/>
      <c r="ID2" s="86"/>
      <c r="IE2" s="86"/>
      <c r="IF2" s="86"/>
      <c r="IG2" s="86"/>
      <c r="IH2" s="86"/>
      <c r="II2" s="86"/>
      <c r="IJ2" s="86"/>
      <c r="IK2" s="86"/>
      <c r="IL2" s="86"/>
      <c r="IM2" s="86"/>
      <c r="IN2" s="86"/>
      <c r="IO2" s="86"/>
      <c r="IP2" s="86"/>
      <c r="IQ2" s="86"/>
      <c r="IR2" s="86"/>
      <c r="IS2" s="86"/>
      <c r="IT2" s="86"/>
      <c r="IU2" s="86" t="s">
        <v>141</v>
      </c>
      <c r="IV2" s="1"/>
      <c r="IW2" s="86"/>
      <c r="IX2" s="86"/>
      <c r="IY2" s="86"/>
      <c r="IZ2" s="86"/>
      <c r="JA2" s="86"/>
      <c r="JB2" s="86"/>
      <c r="JC2" s="86"/>
      <c r="JD2" s="86"/>
      <c r="JE2" s="86"/>
      <c r="JF2" s="86"/>
      <c r="JG2" s="86"/>
      <c r="JH2" s="86"/>
      <c r="JI2" s="86"/>
      <c r="JJ2" s="86"/>
      <c r="JK2" s="86"/>
      <c r="JL2" s="86"/>
      <c r="JM2" s="86"/>
      <c r="JN2" s="86"/>
      <c r="JO2" s="86"/>
      <c r="JP2" s="86"/>
      <c r="JQ2" s="86"/>
      <c r="JR2" s="86"/>
      <c r="JS2" s="86"/>
      <c r="JT2" s="86"/>
      <c r="JU2" s="86"/>
      <c r="JV2" s="86"/>
      <c r="JW2" s="86" t="s">
        <v>141</v>
      </c>
      <c r="JY2" s="89" t="s">
        <v>140</v>
      </c>
      <c r="JZ2" s="88"/>
      <c r="KA2" s="87"/>
      <c r="KB2" s="87"/>
      <c r="KC2" s="87"/>
      <c r="KD2" s="87"/>
      <c r="KE2" s="87"/>
      <c r="KF2" s="87"/>
      <c r="KG2" s="88"/>
      <c r="KH2" s="88"/>
      <c r="KI2" s="88"/>
      <c r="KJ2" s="88"/>
      <c r="KK2" s="87"/>
      <c r="KL2" s="87"/>
      <c r="KM2" s="87"/>
      <c r="KN2" s="88"/>
      <c r="KO2" s="88"/>
      <c r="KP2" s="87"/>
      <c r="KQ2" s="87"/>
      <c r="KR2" s="87"/>
      <c r="KS2" s="87"/>
      <c r="KT2" s="87"/>
      <c r="KU2" s="87"/>
      <c r="KV2" s="88"/>
      <c r="KW2" s="88"/>
      <c r="KX2" s="88"/>
      <c r="KY2" s="88"/>
      <c r="KZ2" s="87"/>
      <c r="LA2" s="87"/>
      <c r="LB2" s="87"/>
      <c r="LC2" s="88"/>
      <c r="LD2" s="88"/>
      <c r="LE2" s="87"/>
      <c r="LF2" s="87"/>
      <c r="LG2" s="87"/>
      <c r="LH2" s="87"/>
      <c r="LI2" s="87"/>
      <c r="LJ2" s="87"/>
      <c r="LK2" s="88"/>
      <c r="LL2" s="88"/>
      <c r="LM2" s="88"/>
      <c r="LN2" s="88"/>
      <c r="LO2" s="87"/>
      <c r="LP2" s="87"/>
      <c r="LQ2" s="87"/>
      <c r="LR2" s="88"/>
      <c r="LS2" s="88"/>
      <c r="LT2" s="87"/>
      <c r="LU2" s="87"/>
      <c r="LV2" s="87"/>
      <c r="LW2" s="87"/>
      <c r="LX2" s="87"/>
      <c r="LY2" s="87"/>
      <c r="LZ2" s="88"/>
      <c r="MA2" s="88"/>
      <c r="MB2" s="88"/>
      <c r="MC2" s="88"/>
      <c r="MD2" s="87"/>
      <c r="ME2" s="87"/>
      <c r="MF2" s="87"/>
      <c r="MG2" s="88"/>
      <c r="MH2" s="88"/>
      <c r="MI2" s="88"/>
      <c r="MJ2" s="88"/>
      <c r="MK2" s="87"/>
      <c r="ML2" s="86"/>
      <c r="MM2" s="86"/>
      <c r="MN2" s="86"/>
      <c r="MO2" s="86"/>
      <c r="MP2" s="86"/>
      <c r="MQ2" s="86"/>
      <c r="MR2" s="86"/>
      <c r="MS2" s="86"/>
      <c r="MT2" s="86"/>
      <c r="MU2" s="86"/>
      <c r="MV2" s="86"/>
      <c r="MW2" s="86"/>
      <c r="MX2" s="86"/>
      <c r="MY2" s="86"/>
      <c r="MZ2" s="86"/>
      <c r="NA2" s="86"/>
      <c r="NB2" s="86"/>
      <c r="NC2" s="86"/>
      <c r="ND2" s="86"/>
      <c r="NE2" s="86"/>
      <c r="NF2" s="86"/>
      <c r="NG2" s="86"/>
      <c r="NH2" s="86"/>
      <c r="NI2" s="86"/>
      <c r="NJ2" s="86"/>
      <c r="NK2" s="86"/>
      <c r="NL2" s="86"/>
      <c r="NM2" s="86"/>
      <c r="NN2" s="86"/>
      <c r="NO2" s="86"/>
      <c r="NP2" s="86"/>
      <c r="NQ2" s="86"/>
      <c r="NR2" s="86"/>
      <c r="NS2" s="86"/>
      <c r="NT2" s="86"/>
      <c r="NU2" s="86"/>
      <c r="NV2" s="86"/>
      <c r="NW2" s="86"/>
      <c r="NX2" s="86"/>
      <c r="NY2" s="86"/>
      <c r="NZ2" s="86"/>
      <c r="OA2" s="86"/>
      <c r="OB2" s="86"/>
      <c r="OC2" s="86" t="s">
        <v>140</v>
      </c>
    </row>
    <row r="3" spans="1:393" x14ac:dyDescent="0.25">
      <c r="FT3" s="99" t="s">
        <v>168</v>
      </c>
      <c r="FU3" s="99"/>
      <c r="FV3" s="99"/>
      <c r="FW3" s="99"/>
      <c r="HE3" s="99"/>
      <c r="HF3" s="99"/>
      <c r="HG3" s="99"/>
      <c r="HH3" s="99"/>
      <c r="II3" s="100" t="s">
        <v>127</v>
      </c>
      <c r="JE3" s="100" t="s">
        <v>127</v>
      </c>
    </row>
    <row r="4" spans="1:393" x14ac:dyDescent="0.25">
      <c r="A4" s="74"/>
      <c r="B4" s="83" t="s">
        <v>139</v>
      </c>
      <c r="C4" s="83"/>
      <c r="D4" s="83"/>
      <c r="F4" s="83" t="s">
        <v>138</v>
      </c>
      <c r="G4" s="83"/>
      <c r="H4" s="83"/>
      <c r="I4" s="83"/>
      <c r="J4" s="74"/>
      <c r="K4" s="84"/>
      <c r="L4" s="74"/>
      <c r="M4" s="83" t="s">
        <v>128</v>
      </c>
      <c r="N4" s="83" t="s">
        <v>27</v>
      </c>
      <c r="O4" s="83" t="s">
        <v>137</v>
      </c>
      <c r="P4" s="83" t="s">
        <v>136</v>
      </c>
      <c r="Q4" s="83" t="s">
        <v>135</v>
      </c>
      <c r="R4" s="83" t="s">
        <v>49</v>
      </c>
      <c r="S4" s="83" t="s">
        <v>43</v>
      </c>
      <c r="T4" s="83" t="s">
        <v>134</v>
      </c>
      <c r="U4" s="83" t="s">
        <v>133</v>
      </c>
      <c r="V4" s="83" t="s">
        <v>26</v>
      </c>
      <c r="W4" s="83" t="s">
        <v>25</v>
      </c>
      <c r="X4" s="83" t="s">
        <v>132</v>
      </c>
      <c r="Y4" s="83" t="s">
        <v>131</v>
      </c>
      <c r="AA4" s="82" t="s">
        <v>48</v>
      </c>
      <c r="AB4" s="82" t="s">
        <v>26</v>
      </c>
      <c r="AC4" s="81" t="s">
        <v>25</v>
      </c>
      <c r="AD4" s="81" t="s">
        <v>24</v>
      </c>
      <c r="AF4" s="81" t="s">
        <v>24</v>
      </c>
      <c r="AG4" s="81" t="s">
        <v>125</v>
      </c>
      <c r="AI4" s="78" t="s">
        <v>124</v>
      </c>
      <c r="AJ4" s="78"/>
      <c r="AK4" s="78"/>
      <c r="AL4" s="78"/>
      <c r="AN4" s="77" t="s">
        <v>123</v>
      </c>
      <c r="AO4" s="67"/>
      <c r="AP4" s="78" t="s">
        <v>129</v>
      </c>
      <c r="AQ4" s="78"/>
      <c r="AR4" s="78"/>
      <c r="AS4" s="78"/>
      <c r="AU4" s="77" t="s">
        <v>123</v>
      </c>
      <c r="AW4" s="82" t="s">
        <v>52</v>
      </c>
      <c r="AX4" s="82" t="s">
        <v>26</v>
      </c>
      <c r="AY4" s="81" t="s">
        <v>25</v>
      </c>
      <c r="AZ4" s="81" t="s">
        <v>24</v>
      </c>
      <c r="BB4" s="81" t="s">
        <v>24</v>
      </c>
      <c r="BC4" s="81" t="s">
        <v>125</v>
      </c>
      <c r="BD4" s="81" t="s">
        <v>130</v>
      </c>
      <c r="BF4" s="78" t="s">
        <v>124</v>
      </c>
      <c r="BG4" s="78"/>
      <c r="BH4" s="78"/>
      <c r="BI4" s="78"/>
      <c r="BK4" s="77" t="s">
        <v>123</v>
      </c>
      <c r="BL4" s="67"/>
      <c r="BM4" s="78" t="s">
        <v>129</v>
      </c>
      <c r="BN4" s="78"/>
      <c r="BO4" s="78"/>
      <c r="BP4" s="78"/>
      <c r="BR4" s="77" t="s">
        <v>123</v>
      </c>
      <c r="BT4" s="82" t="s">
        <v>50</v>
      </c>
      <c r="BU4" s="82" t="s">
        <v>26</v>
      </c>
      <c r="BV4" s="81" t="s">
        <v>25</v>
      </c>
      <c r="BW4" s="81" t="s">
        <v>24</v>
      </c>
      <c r="BY4" s="81" t="s">
        <v>24</v>
      </c>
      <c r="BZ4" s="81" t="s">
        <v>125</v>
      </c>
      <c r="CB4" s="78" t="s">
        <v>124</v>
      </c>
      <c r="CC4" s="78"/>
      <c r="CD4" s="78"/>
      <c r="CE4" s="78"/>
      <c r="CG4" s="77" t="s">
        <v>123</v>
      </c>
      <c r="CH4" s="67"/>
      <c r="CI4" s="82" t="s">
        <v>49</v>
      </c>
      <c r="CJ4" s="82" t="s">
        <v>26</v>
      </c>
      <c r="CK4" s="82" t="s">
        <v>25</v>
      </c>
      <c r="CL4" s="82" t="s">
        <v>24</v>
      </c>
      <c r="CN4" s="81" t="s">
        <v>24</v>
      </c>
      <c r="CO4" s="81" t="s">
        <v>125</v>
      </c>
      <c r="CQ4" s="78" t="s">
        <v>124</v>
      </c>
      <c r="CR4" s="78"/>
      <c r="CS4" s="78"/>
      <c r="CT4" s="78"/>
      <c r="CV4" s="77" t="s">
        <v>123</v>
      </c>
      <c r="CX4" s="82" t="s">
        <v>45</v>
      </c>
      <c r="CY4" s="82" t="s">
        <v>26</v>
      </c>
      <c r="CZ4" s="81" t="s">
        <v>25</v>
      </c>
      <c r="DA4" s="81" t="s">
        <v>24</v>
      </c>
      <c r="DC4" s="81" t="s">
        <v>24</v>
      </c>
      <c r="DD4" s="81" t="s">
        <v>125</v>
      </c>
      <c r="DF4" s="78" t="s">
        <v>124</v>
      </c>
      <c r="DG4" s="78"/>
      <c r="DH4" s="78"/>
      <c r="DI4" s="78"/>
      <c r="DK4" s="77" t="s">
        <v>123</v>
      </c>
      <c r="DL4" s="67"/>
      <c r="DM4" s="82" t="s">
        <v>43</v>
      </c>
      <c r="DN4" s="82" t="s">
        <v>26</v>
      </c>
      <c r="DO4" s="81" t="s">
        <v>25</v>
      </c>
      <c r="DP4" s="81" t="s">
        <v>24</v>
      </c>
      <c r="DR4" s="81" t="s">
        <v>24</v>
      </c>
      <c r="DS4" s="81" t="s">
        <v>125</v>
      </c>
      <c r="DU4" s="78" t="s">
        <v>124</v>
      </c>
      <c r="DV4" s="78"/>
      <c r="DW4" s="78"/>
      <c r="DX4" s="78"/>
      <c r="DZ4" s="77" t="s">
        <v>123</v>
      </c>
      <c r="EA4" s="67"/>
      <c r="EB4" s="78" t="s">
        <v>129</v>
      </c>
      <c r="EC4" s="78"/>
      <c r="ED4" s="78"/>
      <c r="EE4" s="78"/>
      <c r="EG4" s="77" t="s">
        <v>123</v>
      </c>
      <c r="EH4" s="67"/>
      <c r="EI4" s="81" t="s">
        <v>34</v>
      </c>
      <c r="EJ4" s="81" t="s">
        <v>26</v>
      </c>
      <c r="EK4" s="81" t="s">
        <v>25</v>
      </c>
      <c r="EL4" s="81" t="s">
        <v>24</v>
      </c>
      <c r="EN4" s="81" t="s">
        <v>24</v>
      </c>
      <c r="EO4" s="81" t="s">
        <v>125</v>
      </c>
      <c r="EQ4" s="78" t="s">
        <v>124</v>
      </c>
      <c r="ER4" s="78"/>
      <c r="ES4" s="78"/>
      <c r="ET4" s="78"/>
      <c r="EV4" s="77" t="s">
        <v>123</v>
      </c>
      <c r="EW4" s="67"/>
      <c r="EX4" s="81" t="s">
        <v>27</v>
      </c>
      <c r="EY4" s="81" t="s">
        <v>26</v>
      </c>
      <c r="EZ4" s="81" t="s">
        <v>25</v>
      </c>
      <c r="FA4" s="81" t="s">
        <v>24</v>
      </c>
      <c r="FC4" s="81" t="s">
        <v>24</v>
      </c>
      <c r="FD4" s="81" t="s">
        <v>125</v>
      </c>
      <c r="FF4" s="78" t="s">
        <v>124</v>
      </c>
      <c r="FG4" s="78"/>
      <c r="FH4" s="78"/>
      <c r="FI4" s="78"/>
      <c r="FK4" s="77" t="s">
        <v>123</v>
      </c>
      <c r="FL4" s="67"/>
      <c r="FM4" s="78" t="s">
        <v>129</v>
      </c>
      <c r="FN4" s="78"/>
      <c r="FO4" s="78"/>
      <c r="FP4" s="78"/>
      <c r="FR4" s="77" t="s">
        <v>123</v>
      </c>
      <c r="FS4" s="67"/>
      <c r="FT4" s="81" t="s">
        <v>27</v>
      </c>
      <c r="FU4" s="81" t="s">
        <v>26</v>
      </c>
      <c r="FV4" s="81" t="s">
        <v>25</v>
      </c>
      <c r="FW4" s="81" t="s">
        <v>24</v>
      </c>
      <c r="FY4" s="81" t="s">
        <v>24</v>
      </c>
      <c r="FZ4" s="81" t="s">
        <v>125</v>
      </c>
      <c r="GB4" s="78" t="s">
        <v>124</v>
      </c>
      <c r="GC4" s="78"/>
      <c r="GD4" s="78"/>
      <c r="GE4" s="78"/>
      <c r="GG4" s="77" t="s">
        <v>123</v>
      </c>
      <c r="GH4" s="67"/>
      <c r="GI4" s="78" t="s">
        <v>129</v>
      </c>
      <c r="GJ4" s="78"/>
      <c r="GK4" s="78"/>
      <c r="GL4" s="78"/>
      <c r="GN4" s="77" t="s">
        <v>123</v>
      </c>
      <c r="GO4" s="67"/>
      <c r="GP4" s="81" t="s">
        <v>27</v>
      </c>
      <c r="GQ4" s="81" t="s">
        <v>26</v>
      </c>
      <c r="GR4" s="81" t="s">
        <v>25</v>
      </c>
      <c r="GS4" s="81" t="s">
        <v>24</v>
      </c>
      <c r="GU4" s="81" t="s">
        <v>24</v>
      </c>
      <c r="GV4" s="81" t="s">
        <v>125</v>
      </c>
      <c r="GX4" s="78" t="s">
        <v>124</v>
      </c>
      <c r="GY4" s="78"/>
      <c r="GZ4" s="78"/>
      <c r="HA4" s="78"/>
      <c r="HC4" s="77" t="s">
        <v>123</v>
      </c>
      <c r="HD4" s="67"/>
      <c r="HE4" s="81" t="s">
        <v>27</v>
      </c>
      <c r="HF4" s="81" t="s">
        <v>26</v>
      </c>
      <c r="HG4" s="81" t="s">
        <v>25</v>
      </c>
      <c r="HH4" s="81" t="s">
        <v>24</v>
      </c>
      <c r="HJ4" s="81" t="s">
        <v>24</v>
      </c>
      <c r="HK4" s="81" t="s">
        <v>125</v>
      </c>
      <c r="HM4" s="78" t="s">
        <v>124</v>
      </c>
      <c r="HN4" s="78"/>
      <c r="HO4" s="78"/>
      <c r="HP4" s="78"/>
      <c r="HR4" s="77" t="s">
        <v>123</v>
      </c>
      <c r="HS4" s="67"/>
      <c r="HT4" s="78" t="s">
        <v>129</v>
      </c>
      <c r="HU4" s="78"/>
      <c r="HV4" s="78"/>
      <c r="HW4" s="78"/>
      <c r="HY4" s="77" t="s">
        <v>123</v>
      </c>
      <c r="HZ4" s="67"/>
      <c r="IA4" s="81" t="s">
        <v>27</v>
      </c>
      <c r="IB4" s="81" t="s">
        <v>26</v>
      </c>
      <c r="IC4" s="81" t="s">
        <v>25</v>
      </c>
      <c r="ID4" s="81" t="s">
        <v>24</v>
      </c>
      <c r="IF4" s="81" t="s">
        <v>24</v>
      </c>
      <c r="IG4" s="81" t="s">
        <v>125</v>
      </c>
      <c r="II4" s="78" t="s">
        <v>124</v>
      </c>
      <c r="IJ4" s="78"/>
      <c r="IK4" s="78"/>
      <c r="IL4" s="78"/>
      <c r="IN4" s="77" t="s">
        <v>123</v>
      </c>
      <c r="IO4" s="67"/>
      <c r="IP4" s="78" t="s">
        <v>129</v>
      </c>
      <c r="IQ4" s="78"/>
      <c r="IR4" s="78"/>
      <c r="IS4" s="78"/>
      <c r="IU4" s="77" t="s">
        <v>123</v>
      </c>
      <c r="IV4" s="67"/>
      <c r="IW4" s="81" t="s">
        <v>27</v>
      </c>
      <c r="IX4" s="81" t="s">
        <v>26</v>
      </c>
      <c r="IY4" s="81" t="s">
        <v>25</v>
      </c>
      <c r="IZ4" s="81" t="s">
        <v>24</v>
      </c>
      <c r="JB4" s="81" t="s">
        <v>24</v>
      </c>
      <c r="JC4" s="81" t="s">
        <v>125</v>
      </c>
      <c r="JE4" s="78" t="s">
        <v>124</v>
      </c>
      <c r="JF4" s="78"/>
      <c r="JG4" s="78"/>
      <c r="JH4" s="78"/>
      <c r="JI4" s="78"/>
      <c r="JJ4" s="78"/>
      <c r="JL4" s="77" t="s">
        <v>123</v>
      </c>
      <c r="JM4" s="67"/>
      <c r="JN4" s="78" t="s">
        <v>129</v>
      </c>
      <c r="JO4" s="78"/>
      <c r="JP4" s="78"/>
      <c r="JQ4" s="78"/>
      <c r="JR4" s="78"/>
      <c r="JS4" s="78"/>
      <c r="JT4" s="78"/>
      <c r="JU4" s="78"/>
      <c r="JW4" s="77" t="s">
        <v>123</v>
      </c>
      <c r="JX4" s="67"/>
      <c r="JY4" s="80" t="s">
        <v>128</v>
      </c>
      <c r="JZ4" s="80" t="s">
        <v>26</v>
      </c>
      <c r="KA4" s="80" t="s">
        <v>25</v>
      </c>
      <c r="KB4" s="80" t="s">
        <v>24</v>
      </c>
      <c r="KD4" s="80" t="s">
        <v>24</v>
      </c>
      <c r="KE4" s="80" t="s">
        <v>125</v>
      </c>
      <c r="KG4" s="80" t="s">
        <v>128</v>
      </c>
      <c r="KH4" s="80" t="s">
        <v>26</v>
      </c>
      <c r="KI4" s="80" t="s">
        <v>25</v>
      </c>
      <c r="KJ4" s="80" t="s">
        <v>24</v>
      </c>
      <c r="KL4" s="80" t="s">
        <v>24</v>
      </c>
      <c r="KM4" s="80" t="s">
        <v>125</v>
      </c>
      <c r="KO4" s="80" t="s">
        <v>128</v>
      </c>
      <c r="KP4" s="80" t="s">
        <v>26</v>
      </c>
      <c r="KQ4" s="80" t="s">
        <v>25</v>
      </c>
      <c r="KR4" s="80" t="s">
        <v>24</v>
      </c>
      <c r="KT4" s="80" t="s">
        <v>24</v>
      </c>
      <c r="KU4" s="80" t="s">
        <v>125</v>
      </c>
      <c r="KW4" s="80" t="s">
        <v>128</v>
      </c>
      <c r="KX4" s="80" t="s">
        <v>26</v>
      </c>
      <c r="KY4" s="80" t="s">
        <v>25</v>
      </c>
      <c r="KZ4" s="80" t="s">
        <v>24</v>
      </c>
      <c r="LB4" s="80" t="s">
        <v>24</v>
      </c>
      <c r="LC4" s="80" t="s">
        <v>125</v>
      </c>
      <c r="LE4" s="80" t="s">
        <v>128</v>
      </c>
      <c r="LF4" s="80" t="s">
        <v>26</v>
      </c>
      <c r="LG4" s="80" t="s">
        <v>25</v>
      </c>
      <c r="LH4" s="80" t="s">
        <v>24</v>
      </c>
      <c r="LJ4" s="80" t="s">
        <v>24</v>
      </c>
      <c r="LK4" s="80" t="s">
        <v>125</v>
      </c>
      <c r="LM4" s="80" t="s">
        <v>128</v>
      </c>
      <c r="LN4" s="80" t="s">
        <v>26</v>
      </c>
      <c r="LO4" s="80" t="s">
        <v>25</v>
      </c>
      <c r="LP4" s="80" t="s">
        <v>24</v>
      </c>
      <c r="LR4" s="80" t="s">
        <v>24</v>
      </c>
      <c r="LS4" s="80" t="s">
        <v>125</v>
      </c>
      <c r="LU4" s="80" t="s">
        <v>128</v>
      </c>
      <c r="LV4" s="80" t="s">
        <v>26</v>
      </c>
      <c r="LW4" s="80" t="s">
        <v>25</v>
      </c>
      <c r="LX4" s="80" t="s">
        <v>24</v>
      </c>
      <c r="LZ4" s="80" t="s">
        <v>24</v>
      </c>
      <c r="MA4" s="80" t="s">
        <v>125</v>
      </c>
      <c r="MC4" s="80" t="s">
        <v>128</v>
      </c>
      <c r="MD4" s="80" t="s">
        <v>26</v>
      </c>
      <c r="ME4" s="80" t="s">
        <v>25</v>
      </c>
      <c r="MF4" s="80" t="s">
        <v>24</v>
      </c>
      <c r="MH4" s="80" t="s">
        <v>24</v>
      </c>
      <c r="MI4" s="80" t="s">
        <v>125</v>
      </c>
      <c r="MK4" s="80" t="s">
        <v>128</v>
      </c>
      <c r="ML4" s="80" t="s">
        <v>26</v>
      </c>
      <c r="MM4" s="80" t="s">
        <v>25</v>
      </c>
      <c r="MN4" s="80" t="s">
        <v>24</v>
      </c>
      <c r="MP4" s="80" t="s">
        <v>24</v>
      </c>
      <c r="MQ4" s="80" t="s">
        <v>125</v>
      </c>
      <c r="MS4" s="80" t="s">
        <v>128</v>
      </c>
      <c r="MT4" s="80" t="s">
        <v>26</v>
      </c>
      <c r="MU4" s="80" t="s">
        <v>25</v>
      </c>
      <c r="MV4" s="80" t="s">
        <v>24</v>
      </c>
      <c r="MX4" s="80" t="s">
        <v>24</v>
      </c>
      <c r="MY4" s="80" t="s">
        <v>125</v>
      </c>
      <c r="NA4" s="79" t="s">
        <v>127</v>
      </c>
      <c r="NB4" s="79" t="s">
        <v>26</v>
      </c>
      <c r="NC4" s="79" t="s">
        <v>25</v>
      </c>
      <c r="ND4" s="79" t="s">
        <v>24</v>
      </c>
      <c r="NF4" s="79" t="s">
        <v>24</v>
      </c>
      <c r="NG4" s="79" t="s">
        <v>125</v>
      </c>
      <c r="NH4" s="67"/>
      <c r="NI4" s="78" t="s">
        <v>124</v>
      </c>
      <c r="NJ4" s="78"/>
      <c r="NK4" s="78"/>
      <c r="NL4" s="78"/>
      <c r="NN4" s="77" t="s">
        <v>123</v>
      </c>
      <c r="NP4" s="79" t="s">
        <v>126</v>
      </c>
      <c r="NQ4" s="79" t="s">
        <v>26</v>
      </c>
      <c r="NR4" s="79" t="s">
        <v>25</v>
      </c>
      <c r="NS4" s="79" t="s">
        <v>24</v>
      </c>
      <c r="NU4" s="79" t="s">
        <v>24</v>
      </c>
      <c r="NV4" s="79" t="s">
        <v>125</v>
      </c>
      <c r="NX4" s="78" t="s">
        <v>124</v>
      </c>
      <c r="NY4" s="78"/>
      <c r="NZ4" s="78"/>
      <c r="OA4" s="78"/>
      <c r="OC4" s="77" t="s">
        <v>123</v>
      </c>
    </row>
    <row r="5" spans="1:393" x14ac:dyDescent="0.25">
      <c r="E5" s="74"/>
      <c r="K5" s="7">
        <v>1</v>
      </c>
      <c r="M5" s="5" t="str" cm="1">
        <f t="array" ref="M5">LOOKUP(2,1/($G$19:$G$35&lt;=$V5)/($H$19:$H$35&gt;=$V5),$F$19:$F$35)</f>
        <v>2H17</v>
      </c>
      <c r="N5" s="5" t="str" cm="1">
        <f t="array" ref="N5">LOOKUP(2,1/($G$8:$G$16&lt;=$V5)/($H$8:$H$16&gt;=$V5),$F$8:$F$16)</f>
        <v>FY17</v>
      </c>
      <c r="O5" s="5" t="str">
        <f>IFERROR(N5&amp;"-"&amp;COUNTIF($N$5:N19,N5),NA())</f>
        <v>FY17-15</v>
      </c>
      <c r="P5" s="5">
        <f>COUNTIF(V$5:V19,"&gt;="&amp;MAX($V:$V)-183)</f>
        <v>0</v>
      </c>
      <c r="Q5" s="5">
        <f>COUNTIF(V$5:V19,"&gt;="&amp;MAX($V:$V)-365)</f>
        <v>0</v>
      </c>
      <c r="R5" s="5" cm="1">
        <f t="array" ref="R5">LOOKUP(2,1/($G$46:$G$50&lt;=$V5)/($H$46:$H$50&gt;=$V5),$F$46:$F$50)</f>
        <v>0</v>
      </c>
      <c r="S5" s="5" cm="1">
        <f t="array" ref="S5">LOOKUP(2,1/($G$53:$G$56&lt;=$V5)/($H$53:$H$56&gt;=$V5),$F$53:$F$56)</f>
        <v>0</v>
      </c>
      <c r="T5" s="5" t="e">
        <f>IFERROR(IF($R5&gt;0,$R5&amp;"-"&amp;COUNTIF($R$5:$R19,$R5),NA()),NA())</f>
        <v>#N/A</v>
      </c>
      <c r="U5" s="5" t="e">
        <f>IFERROR(IF($S5&gt;0,$S5&amp;"-"&amp;COUNTIF($S$5:$S19,$S5),NA()),NA())</f>
        <v>#N/A</v>
      </c>
      <c r="V5" s="10">
        <v>42740</v>
      </c>
      <c r="W5" s="101">
        <v>84463561.831982046</v>
      </c>
      <c r="X5" s="101">
        <v>78470872.12000291</v>
      </c>
      <c r="Y5" s="102">
        <v>55000000</v>
      </c>
      <c r="AA5" s="48">
        <v>1</v>
      </c>
      <c r="AB5" s="12">
        <f t="shared" ref="AB5:AB36" si="0">IF(ISNA($AA5),NA(),INDEX($V:$V,MATCH($AA5,$P:$P,0)))</f>
        <v>45022</v>
      </c>
      <c r="AC5" s="103">
        <f t="shared" ref="AC5:AC36" si="1">IF(ISNA($AA5),NA(),INDEX($W:$W,MATCH($AA5,$P:$P,0)))</f>
        <v>41047026.208574027</v>
      </c>
      <c r="AD5" s="104">
        <f t="shared" ref="AD5:AD36" si="2">IF(ISNA($AA5),NA(),INDEX($Y:$Y,MATCH($AA5,$P:$P,0)))</f>
        <v>20000000</v>
      </c>
      <c r="AF5" s="104">
        <v>4000000</v>
      </c>
      <c r="AG5" s="1">
        <f t="shared" ref="AG5:AG14" si="3">COUNTIF($AD:$AD,AF5)</f>
        <v>6</v>
      </c>
      <c r="AW5" s="48">
        <v>1</v>
      </c>
      <c r="AX5" s="12">
        <f t="shared" ref="AX5:AX36" si="4">IF(ISNA($AW5),NA(),INDEX($V:$V,MATCH($AW5,$Q:$Q,0)))</f>
        <v>44840</v>
      </c>
      <c r="AY5" s="103">
        <f t="shared" ref="AY5:AY36" si="5">IF(ISNA($AW5),NA(),INDEX($W:$W,MATCH($AW5,$Q:$Q,0)))</f>
        <v>47423181.270902999</v>
      </c>
      <c r="AZ5" s="104">
        <f t="shared" ref="AZ5:AZ36" si="6">IF(ISNA($AW5),NA(),INDEX($Y:$Y,MATCH($AW5,$Q:$Q,0)))</f>
        <v>30000000</v>
      </c>
      <c r="BB5" s="104">
        <v>3000000</v>
      </c>
      <c r="BC5" s="1">
        <f t="shared" ref="BC5:BC16" si="7">COUNTIF($AZ:$AZ,BB5)</f>
        <v>0</v>
      </c>
      <c r="BD5" s="104" t="e">
        <f>AVERAGEIF(AZ:AZ,BB5,AY:AY)</f>
        <v>#DIV/0!</v>
      </c>
      <c r="BT5" s="48" t="str">
        <f t="shared" ref="BT5:BT57" si="8">IF($K5&lt;=INDEX($I:$I,MATCH(BT$4,$F:$F,0)),BT$4&amp;"-"&amp;$K5,NA())</f>
        <v>N1-1</v>
      </c>
      <c r="BU5" s="12">
        <f t="shared" ref="BU5:BU36" si="9">IF(ISNA($BT5),NA(),INDEX($V:$V,MATCH($BT5,$T:$T,0)))</f>
        <v>44112</v>
      </c>
      <c r="BV5" s="103">
        <f t="shared" ref="BV5:BV36" si="10">IF(ISNA($BT5),NA(),INDEX($W:$W,MATCH($BT5,$T:$T,0)))</f>
        <v>42908867.619337186</v>
      </c>
      <c r="BW5" s="104">
        <f t="shared" ref="BW5:BW36" si="11">IF(ISNA($BT5),NA(),INDEX($Y:$Y,MATCH($BT5,$T:$T,0)))</f>
        <v>20000000</v>
      </c>
      <c r="BY5" s="104">
        <v>3000000</v>
      </c>
      <c r="BZ5" s="1">
        <f>COUNTIF($BW:$BW,BY5)</f>
        <v>5</v>
      </c>
      <c r="CI5" s="48" t="str">
        <f t="shared" ref="CI5:CI57" si="12">IF($K5&lt;=INDEX($I:$I,MATCH(CI$4,$F:$F,0)),CI$4&amp;"-"&amp;$K5,NA())</f>
        <v>A1-1</v>
      </c>
      <c r="CJ5" s="12">
        <f t="shared" ref="CJ5:CJ36" si="13">IF(ISNA(CI5),NA(),INDEX($V:$V,MATCH(CI5,$T:$T,0)))</f>
        <v>44224</v>
      </c>
      <c r="CK5" s="105">
        <f t="shared" ref="CK5:CK36" si="14">IF(ISNA(CI5),NA(),INDEX($W:$W,MATCH(CI5,$T:$T,0)))</f>
        <v>22190279.355427179</v>
      </c>
      <c r="CL5" s="105">
        <f t="shared" ref="CL5:CL36" si="15">IF(ISNA(CI5),NA(),INDEX($Y:$Y,MATCH(CI5,$T:$T,0)))</f>
        <v>8000000</v>
      </c>
      <c r="CN5" s="104">
        <v>8000000</v>
      </c>
      <c r="CO5" s="1">
        <f>COUNTIF($CL:$CL,CN5)</f>
        <v>4</v>
      </c>
      <c r="CX5" s="48" t="str">
        <f t="shared" ref="CX5:CX57" si="16">IF($K5&lt;=INDEX($I:$I,MATCH(CX$4,$F:$F,0)),CX$4&amp;"-"&amp;$K5,NA())</f>
        <v>N2-1</v>
      </c>
      <c r="CY5" s="12">
        <f t="shared" ref="CY5:CY36" si="17">IF(ISNA(CX5),NA(),INDEX($V:$V,MATCH(CX5,$U:$U,0)))</f>
        <v>44707</v>
      </c>
      <c r="CZ5" s="103">
        <f t="shared" ref="CZ5:CZ36" si="18">IF(ISNA(CX5),NA(),INDEX($W:$W,MATCH(CX5,$U:$U,0)))</f>
        <v>21016983.155974455</v>
      </c>
      <c r="DA5" s="104">
        <f t="shared" ref="DA5:DA36" si="19">IF(ISNA(CX5),NA(),INDEX($Y:$Y,MATCH(CX5,$U:$U,0)))</f>
        <v>4000000</v>
      </c>
      <c r="DC5" s="104">
        <v>4000000</v>
      </c>
      <c r="DD5" s="1">
        <f>COUNTIF($DA:$DA,DC5)</f>
        <v>6</v>
      </c>
      <c r="DM5" s="48" t="str">
        <f t="shared" ref="DM5:DM57" si="20">IF($K5&lt;=INDEX($I:$I,MATCH(DM$4,$F:$F,0)),DM$4&amp;"-"&amp;$K5,NA())</f>
        <v>A2-1</v>
      </c>
      <c r="DN5" s="12">
        <f t="shared" ref="DN5:DN36" si="21">IF(ISNA(DM5),NA(),INDEX($V:$V,MATCH(DM5,$U:$U,0)))</f>
        <v>44819</v>
      </c>
      <c r="DO5" s="103">
        <f t="shared" ref="DO5:DO36" si="22">IF(ISNA(DM5),NA(),INDEX($W:$W,MATCH(DM5,$U:$U,0)))</f>
        <v>25008818.485861961</v>
      </c>
      <c r="DP5" s="104">
        <f t="shared" ref="DP5:DP36" si="23">IF(ISNA(DM5),NA(),INDEX($Y:$Y,MATCH(DM5,$U:$U,0)))</f>
        <v>8000000</v>
      </c>
      <c r="DR5" s="104">
        <v>8000000</v>
      </c>
      <c r="DS5" s="1">
        <f t="shared" ref="DS5:DS10" si="24">COUNTIF($DP:$DP,DR5)</f>
        <v>4</v>
      </c>
      <c r="EI5" s="47" t="str">
        <f t="shared" ref="EI5:EI57" si="25">IF($K5&lt;=INDEX($I:$I,MATCH($EI$4,$F:$F,0)),$EI$4&amp;"-"&amp;$K5,NA())</f>
        <v>FY18-1</v>
      </c>
      <c r="EJ5" s="16">
        <v>42922</v>
      </c>
      <c r="EK5" s="103">
        <v>14311103.305157838</v>
      </c>
      <c r="EL5" s="104">
        <f t="shared" ref="EL5:EL36" si="26">IF(ISNA($EI5),NA(),INDEX($Y:$Y,MATCH($EI5,$O:$O,0)))</f>
        <v>3000000</v>
      </c>
      <c r="EN5" s="104">
        <v>3000000</v>
      </c>
      <c r="EO5" s="1">
        <f t="shared" ref="EO5:EO17" si="27">COUNTIF($EL:$EL,EN5)</f>
        <v>18</v>
      </c>
      <c r="EX5" s="16" t="s">
        <v>33</v>
      </c>
      <c r="EY5" s="16">
        <v>43286</v>
      </c>
      <c r="EZ5" s="103">
        <v>20852316.083916079</v>
      </c>
      <c r="FA5" s="104">
        <v>12000000</v>
      </c>
      <c r="FC5" s="104">
        <v>3000000</v>
      </c>
      <c r="FD5" s="1">
        <f t="shared" ref="FD5:FD15" si="28">COUNTIF($FA:$FA,FC5)</f>
        <v>9</v>
      </c>
      <c r="FT5" s="16" t="s">
        <v>39</v>
      </c>
      <c r="FU5" s="16">
        <v>43650</v>
      </c>
      <c r="FV5" s="103">
        <v>52868604.987932429</v>
      </c>
      <c r="FW5" s="104">
        <v>60000000</v>
      </c>
      <c r="FY5" s="104">
        <v>3000000</v>
      </c>
      <c r="FZ5" s="1">
        <f t="shared" ref="FZ5:FZ17" si="29">COUNTIF($FW:$FW,FY5)</f>
        <v>10</v>
      </c>
      <c r="GP5" s="16" t="s">
        <v>38</v>
      </c>
      <c r="GQ5" s="16">
        <v>44014</v>
      </c>
      <c r="GR5" s="103">
        <v>69318618.911523253</v>
      </c>
      <c r="GS5" s="104">
        <v>50000000</v>
      </c>
      <c r="GU5" s="104">
        <v>3000000</v>
      </c>
      <c r="GV5" s="1">
        <f t="shared" ref="GV5:GV12" si="30">COUNTIF($GS:$GS,GU5)</f>
        <v>11</v>
      </c>
      <c r="HE5" s="16" t="s">
        <v>35</v>
      </c>
      <c r="HF5" s="16">
        <v>44378</v>
      </c>
      <c r="HG5" s="103">
        <v>77623219.458802059</v>
      </c>
      <c r="HH5" s="104">
        <v>60000000</v>
      </c>
      <c r="HJ5" s="104">
        <v>3000000</v>
      </c>
      <c r="HK5" s="1">
        <f t="shared" ref="HK5:HK13" si="31">COUNTIF($HH:$HH,HJ5)</f>
        <v>9</v>
      </c>
      <c r="IA5" s="16" t="s">
        <v>37</v>
      </c>
      <c r="IB5" s="16">
        <v>44749</v>
      </c>
      <c r="IC5" s="103">
        <v>20096787.838248707</v>
      </c>
      <c r="ID5" s="104">
        <v>4000000</v>
      </c>
      <c r="IF5" s="104">
        <v>4000000</v>
      </c>
      <c r="IG5" s="1">
        <f>COUNTIF($ID:$ID,IF5)</f>
        <v>13</v>
      </c>
      <c r="IW5" s="16" t="s">
        <v>169</v>
      </c>
      <c r="IX5" s="12">
        <v>44014</v>
      </c>
      <c r="IY5" s="103">
        <v>69318618.911523253</v>
      </c>
      <c r="IZ5" s="104">
        <v>50000000</v>
      </c>
      <c r="JB5" s="104">
        <v>4000000</v>
      </c>
      <c r="JC5" s="1">
        <f>COUNTIF($ID:$ID,JB5)</f>
        <v>13</v>
      </c>
      <c r="JY5" s="16" t="s">
        <v>83</v>
      </c>
      <c r="JZ5" s="16">
        <v>42922</v>
      </c>
      <c r="KA5" s="103">
        <v>14265020</v>
      </c>
      <c r="KB5" s="104">
        <v>3000000</v>
      </c>
      <c r="KD5" s="104">
        <v>3000000</v>
      </c>
      <c r="KE5" s="1">
        <f t="shared" ref="KE5:KE11" si="32">COUNTIF($KB:$KB,KD5)</f>
        <v>9</v>
      </c>
      <c r="KG5" s="16" t="s">
        <v>82</v>
      </c>
      <c r="KH5" s="16">
        <v>43104</v>
      </c>
      <c r="KI5" s="103">
        <v>46835360</v>
      </c>
      <c r="KJ5" s="104">
        <v>35000000</v>
      </c>
      <c r="KL5" s="104">
        <v>3000000</v>
      </c>
      <c r="KM5" s="1">
        <f t="shared" ref="KM5:KM16" si="33">COUNTIF($KJ:$KJ,KL5)</f>
        <v>9</v>
      </c>
      <c r="KO5" s="16" t="s">
        <v>81</v>
      </c>
      <c r="KP5" s="16">
        <v>43286</v>
      </c>
      <c r="KQ5" s="103">
        <v>20156862</v>
      </c>
      <c r="KR5" s="104">
        <v>12000000</v>
      </c>
      <c r="KT5" s="104">
        <v>3000000</v>
      </c>
      <c r="KU5" s="1">
        <f t="shared" ref="KU5:KU15" si="34">COUNTIF($KR:$KR,KT5)</f>
        <v>4</v>
      </c>
      <c r="KW5" s="16" t="s">
        <v>79</v>
      </c>
      <c r="KX5" s="16">
        <v>43468</v>
      </c>
      <c r="KY5" s="103">
        <v>65666766</v>
      </c>
      <c r="KZ5" s="104">
        <v>50000000</v>
      </c>
      <c r="LB5" s="104">
        <v>3000000</v>
      </c>
      <c r="LC5" s="1">
        <f t="shared" ref="LC5:LC13" si="35">COUNTIF($KZ:$KZ,LB5)</f>
        <v>5</v>
      </c>
      <c r="LE5" s="16" t="s">
        <v>78</v>
      </c>
      <c r="LF5" s="16">
        <v>43650</v>
      </c>
      <c r="LG5" s="103">
        <v>53058918</v>
      </c>
      <c r="LH5" s="104">
        <v>60000000</v>
      </c>
      <c r="LJ5" s="104">
        <v>3000000</v>
      </c>
      <c r="LK5" s="1">
        <f t="shared" ref="LK5:LK17" si="36">COUNTIF($LH:$LH,LJ5)</f>
        <v>4</v>
      </c>
      <c r="LM5" s="16" t="s">
        <v>77</v>
      </c>
      <c r="LN5" s="16">
        <v>43832</v>
      </c>
      <c r="LO5" s="103">
        <v>14277252</v>
      </c>
      <c r="LP5" s="104">
        <v>3000000</v>
      </c>
      <c r="LR5" s="104">
        <v>3000000</v>
      </c>
      <c r="LS5" s="1">
        <f t="shared" ref="LS5:LS13" si="37">COUNTIF($LP:$LP,LR5)</f>
        <v>6</v>
      </c>
      <c r="LU5" s="16" t="s">
        <v>70</v>
      </c>
      <c r="LV5" s="16">
        <v>44014</v>
      </c>
      <c r="LW5" s="103">
        <v>69132360</v>
      </c>
      <c r="LX5" s="104">
        <v>50000000</v>
      </c>
      <c r="LZ5" s="104">
        <v>3000000</v>
      </c>
      <c r="MA5" s="1">
        <f t="shared" ref="MA5:MA11" si="38">COUNTIF($LX:$LX,LZ5)</f>
        <v>8</v>
      </c>
      <c r="MC5" s="16" t="s">
        <v>86</v>
      </c>
      <c r="MD5" s="16">
        <v>44203</v>
      </c>
      <c r="ME5" s="103">
        <v>17762976</v>
      </c>
      <c r="MF5" s="104">
        <v>3000000</v>
      </c>
      <c r="MH5" s="104">
        <v>3000000</v>
      </c>
      <c r="MI5" s="1">
        <f t="shared" ref="MI5:MI11" si="39">COUNTIF($MF:$MF,MH5)</f>
        <v>3</v>
      </c>
      <c r="MK5" s="16" t="s">
        <v>69</v>
      </c>
      <c r="ML5" s="16">
        <v>44378</v>
      </c>
      <c r="MM5" s="103">
        <v>78847560</v>
      </c>
      <c r="MN5" s="104">
        <v>60000000</v>
      </c>
      <c r="MP5" s="104">
        <v>3000000</v>
      </c>
      <c r="MQ5" s="1">
        <f t="shared" ref="MQ5:MQ11" si="40">COUNTIF($MN:$MN,MP5)</f>
        <v>6</v>
      </c>
      <c r="MS5" s="16" t="s">
        <v>76</v>
      </c>
      <c r="MT5" s="16">
        <v>44567</v>
      </c>
      <c r="MU5" s="103">
        <v>76683420</v>
      </c>
      <c r="MV5" s="104">
        <v>60000000</v>
      </c>
      <c r="MX5" s="104">
        <v>3000000</v>
      </c>
      <c r="MY5" s="1">
        <f t="shared" ref="MY5:MY12" si="41">COUNTIF($MV:$MV,MX5)</f>
        <v>3</v>
      </c>
      <c r="NA5" s="16" t="s">
        <v>110</v>
      </c>
      <c r="NB5" s="16">
        <v>42838</v>
      </c>
      <c r="NC5" s="103">
        <v>17646640</v>
      </c>
      <c r="ND5" s="104">
        <v>6000000</v>
      </c>
      <c r="NF5" s="104">
        <v>3000000</v>
      </c>
      <c r="NG5" s="1">
        <f t="shared" ref="NG5:NG14" si="42">COUNTIF($ND:$ND,NF5)</f>
        <v>17</v>
      </c>
      <c r="NH5" s="104"/>
      <c r="NP5" s="16" t="s">
        <v>34</v>
      </c>
      <c r="NQ5" s="16">
        <v>43209</v>
      </c>
      <c r="NR5" s="103">
        <v>18243324</v>
      </c>
      <c r="NS5" s="104">
        <v>8000000</v>
      </c>
      <c r="NU5" s="104">
        <v>3000000</v>
      </c>
      <c r="NV5" s="1">
        <f t="shared" ref="NV5:NV15" si="43">COUNTIF($NS:$NS,NU5)</f>
        <v>10</v>
      </c>
    </row>
    <row r="6" spans="1:393" x14ac:dyDescent="0.25">
      <c r="E6" s="74"/>
      <c r="K6" s="7">
        <v>2</v>
      </c>
      <c r="M6" s="5" t="str" cm="1">
        <f t="array" ref="M6">LOOKUP(2,1/($G$19:$G$35&lt;=$V6)/($H$19:$H$35&gt;=$V6),$F$19:$F$35)</f>
        <v>2H17</v>
      </c>
      <c r="N6" s="5" t="str" cm="1">
        <f t="array" ref="N6">LOOKUP(2,1/($G$8:$G$16&lt;=$V6)/($H$8:$H$16&gt;=$V6),$F$8:$F$16)</f>
        <v>FY17</v>
      </c>
      <c r="O6" s="5" t="str">
        <f>IFERROR(N6&amp;"-"&amp;COUNTIF($N$6:N19,N6),NA())</f>
        <v>FY17-14</v>
      </c>
      <c r="P6" s="5">
        <f>COUNTIF(V$6:V19,"&gt;="&amp;MAX($V:$V)-183)</f>
        <v>0</v>
      </c>
      <c r="Q6" s="5">
        <f>COUNTIF(V$6:V19,"&gt;="&amp;MAX($V:$V)-365)</f>
        <v>0</v>
      </c>
      <c r="R6" s="5" cm="1">
        <f t="array" ref="R6">LOOKUP(2,1/($G$46:$G$50&lt;=$V6)/($H$46:$H$50&gt;=$V6),$F$46:$F$50)</f>
        <v>0</v>
      </c>
      <c r="S6" s="5" cm="1">
        <f t="array" ref="S6">LOOKUP(2,1/($G$53:$G$56&lt;=$V6)/($H$53:$H$56&gt;=$V6),$F$53:$F$56)</f>
        <v>0</v>
      </c>
      <c r="T6" s="5" t="e">
        <f>IFERROR(IF($R6&gt;0,$R6&amp;"-"&amp;COUNTIF($R$6:$R19,$R6),NA()),NA())</f>
        <v>#N/A</v>
      </c>
      <c r="U6" s="5" t="e">
        <f>IFERROR(IF($S6&gt;0,$S6&amp;"-"&amp;COUNTIF($S$6:$S19,$S6),NA()),NA())</f>
        <v>#N/A</v>
      </c>
      <c r="V6" s="10">
        <v>42747</v>
      </c>
      <c r="W6" s="101">
        <v>13522062.508193891</v>
      </c>
      <c r="X6" s="101">
        <v>12562672.173237534</v>
      </c>
      <c r="Y6" s="102">
        <v>3000000</v>
      </c>
      <c r="AA6" s="48">
        <f t="shared" ref="AA6:AA37" si="44">IF(AA5+1&lt;=MAX($P:$P),AA5+1,NA())</f>
        <v>2</v>
      </c>
      <c r="AB6" s="12">
        <f t="shared" si="0"/>
        <v>45029</v>
      </c>
      <c r="AC6" s="103">
        <f t="shared" si="1"/>
        <v>49471698.145332925</v>
      </c>
      <c r="AD6" s="104">
        <f t="shared" si="2"/>
        <v>30000000</v>
      </c>
      <c r="AF6" s="104">
        <v>8000000</v>
      </c>
      <c r="AG6" s="1">
        <f t="shared" si="3"/>
        <v>1</v>
      </c>
      <c r="AI6" s="76"/>
      <c r="AJ6" s="75" t="s">
        <v>122</v>
      </c>
      <c r="AK6" s="75" t="s">
        <v>121</v>
      </c>
      <c r="AL6" s="75" t="s">
        <v>120</v>
      </c>
      <c r="AP6" s="76"/>
      <c r="AQ6" s="75" t="s">
        <v>122</v>
      </c>
      <c r="AR6" s="75" t="s">
        <v>121</v>
      </c>
      <c r="AS6" s="75" t="s">
        <v>120</v>
      </c>
      <c r="AW6" s="48">
        <f t="shared" ref="AW6:AW37" si="45">IF(AW5+1&lt;=MAX($Q:$Q),AW5+1,NA())</f>
        <v>2</v>
      </c>
      <c r="AX6" s="12">
        <f t="shared" si="4"/>
        <v>44847</v>
      </c>
      <c r="AY6" s="103">
        <f t="shared" si="5"/>
        <v>77692655.761629671</v>
      </c>
      <c r="AZ6" s="104">
        <f t="shared" si="6"/>
        <v>50000000</v>
      </c>
      <c r="BB6" s="104">
        <v>4000000</v>
      </c>
      <c r="BC6" s="1">
        <f t="shared" si="7"/>
        <v>11</v>
      </c>
      <c r="BD6" s="104">
        <f t="shared" ref="BD6:BD16" si="46">AVERAGEIF(AZ:AZ,BB6,AY:AY)</f>
        <v>20618473.168617669</v>
      </c>
      <c r="BF6" s="76"/>
      <c r="BG6" s="75" t="s">
        <v>122</v>
      </c>
      <c r="BH6" s="75" t="s">
        <v>121</v>
      </c>
      <c r="BI6" s="75" t="s">
        <v>120</v>
      </c>
      <c r="BM6" s="76"/>
      <c r="BN6" s="75" t="s">
        <v>122</v>
      </c>
      <c r="BO6" s="75" t="s">
        <v>121</v>
      </c>
      <c r="BP6" s="75" t="s">
        <v>120</v>
      </c>
      <c r="BT6" s="48" t="str">
        <f t="shared" si="8"/>
        <v>N1-2</v>
      </c>
      <c r="BU6" s="12">
        <f t="shared" si="9"/>
        <v>44119</v>
      </c>
      <c r="BV6" s="103">
        <f t="shared" si="10"/>
        <v>61499423.776223779</v>
      </c>
      <c r="BW6" s="104">
        <f t="shared" si="11"/>
        <v>40000000</v>
      </c>
      <c r="BY6" s="104">
        <v>8000000</v>
      </c>
      <c r="BZ6" s="1">
        <f>COUNTIF($BW:$BW,BY6)</f>
        <v>5</v>
      </c>
      <c r="CB6" s="76"/>
      <c r="CC6" s="75" t="s">
        <v>122</v>
      </c>
      <c r="CD6" s="75" t="s">
        <v>121</v>
      </c>
      <c r="CE6" s="75" t="s">
        <v>120</v>
      </c>
      <c r="CI6" s="48" t="str">
        <f t="shared" si="12"/>
        <v>A1-2</v>
      </c>
      <c r="CJ6" s="12">
        <f t="shared" si="13"/>
        <v>44231</v>
      </c>
      <c r="CK6" s="105">
        <f t="shared" si="14"/>
        <v>36953457.707509883</v>
      </c>
      <c r="CL6" s="105">
        <f t="shared" si="15"/>
        <v>20000000</v>
      </c>
      <c r="CN6" s="104">
        <v>20000000</v>
      </c>
      <c r="CO6" s="1">
        <f>COUNTIF($CL:$CL,CN6)</f>
        <v>4</v>
      </c>
      <c r="CQ6" s="76"/>
      <c r="CR6" s="75" t="s">
        <v>122</v>
      </c>
      <c r="CS6" s="75" t="s">
        <v>121</v>
      </c>
      <c r="CT6" s="75" t="s">
        <v>120</v>
      </c>
      <c r="CX6" s="48" t="str">
        <f t="shared" si="16"/>
        <v>N2-2</v>
      </c>
      <c r="CY6" s="12">
        <f t="shared" si="17"/>
        <v>44714</v>
      </c>
      <c r="CZ6" s="103">
        <f t="shared" si="18"/>
        <v>21125759.318941928</v>
      </c>
      <c r="DA6" s="104">
        <f t="shared" si="19"/>
        <v>4000000</v>
      </c>
      <c r="DC6" s="104">
        <v>8000000</v>
      </c>
      <c r="DD6" s="1">
        <f>COUNTIF($DA:$DA,DC6)</f>
        <v>4</v>
      </c>
      <c r="DF6" s="76"/>
      <c r="DG6" s="75" t="s">
        <v>122</v>
      </c>
      <c r="DH6" s="75" t="s">
        <v>121</v>
      </c>
      <c r="DI6" s="75" t="s">
        <v>120</v>
      </c>
      <c r="DM6" s="48" t="str">
        <f t="shared" si="20"/>
        <v>A2-2</v>
      </c>
      <c r="DN6" s="12">
        <f t="shared" si="21"/>
        <v>44826</v>
      </c>
      <c r="DO6" s="103">
        <f t="shared" si="22"/>
        <v>22659829.73548191</v>
      </c>
      <c r="DP6" s="104">
        <f t="shared" si="23"/>
        <v>8000000</v>
      </c>
      <c r="DR6" s="104">
        <v>20000000</v>
      </c>
      <c r="DS6" s="1">
        <f t="shared" si="24"/>
        <v>3</v>
      </c>
      <c r="DU6" s="76"/>
      <c r="DV6" s="75" t="s">
        <v>122</v>
      </c>
      <c r="DW6" s="75" t="s">
        <v>121</v>
      </c>
      <c r="DX6" s="75" t="s">
        <v>120</v>
      </c>
      <c r="EB6" s="76"/>
      <c r="EC6" s="75" t="s">
        <v>122</v>
      </c>
      <c r="ED6" s="75" t="s">
        <v>121</v>
      </c>
      <c r="EE6" s="75" t="s">
        <v>120</v>
      </c>
      <c r="EI6" s="47" t="str">
        <f t="shared" si="25"/>
        <v>FY18-2</v>
      </c>
      <c r="EJ6" s="16">
        <v>42929</v>
      </c>
      <c r="EK6" s="103">
        <v>15800128.126617214</v>
      </c>
      <c r="EL6" s="104">
        <f t="shared" si="26"/>
        <v>6000000</v>
      </c>
      <c r="EN6" s="104">
        <v>6000000</v>
      </c>
      <c r="EO6" s="1">
        <f t="shared" si="27"/>
        <v>10</v>
      </c>
      <c r="EQ6" s="76"/>
      <c r="ER6" s="75" t="s">
        <v>122</v>
      </c>
      <c r="ES6" s="75" t="s">
        <v>121</v>
      </c>
      <c r="ET6" s="75" t="s">
        <v>120</v>
      </c>
      <c r="EX6" s="16" t="s">
        <v>33</v>
      </c>
      <c r="EY6" s="16">
        <v>43293</v>
      </c>
      <c r="EZ6" s="103">
        <v>26842498.410680223</v>
      </c>
      <c r="FA6" s="104">
        <v>20000000</v>
      </c>
      <c r="FC6" s="104">
        <v>8000000</v>
      </c>
      <c r="FD6" s="1">
        <f t="shared" si="28"/>
        <v>8</v>
      </c>
      <c r="FF6" s="76"/>
      <c r="FG6" s="75" t="s">
        <v>122</v>
      </c>
      <c r="FH6" s="75" t="s">
        <v>121</v>
      </c>
      <c r="FI6" s="75" t="s">
        <v>120</v>
      </c>
      <c r="FM6" s="76"/>
      <c r="FN6" s="75" t="s">
        <v>122</v>
      </c>
      <c r="FO6" s="75" t="s">
        <v>121</v>
      </c>
      <c r="FP6" s="75" t="s">
        <v>120</v>
      </c>
      <c r="FT6" s="16" t="s">
        <v>39</v>
      </c>
      <c r="FU6" s="16">
        <v>43657</v>
      </c>
      <c r="FV6" s="103">
        <v>73766786.311034098</v>
      </c>
      <c r="FW6" s="104">
        <v>80000000</v>
      </c>
      <c r="FY6" s="104">
        <v>8000000</v>
      </c>
      <c r="FZ6" s="1">
        <f t="shared" si="29"/>
        <v>10</v>
      </c>
      <c r="GB6" s="76"/>
      <c r="GC6" s="75" t="s">
        <v>122</v>
      </c>
      <c r="GD6" s="75" t="s">
        <v>121</v>
      </c>
      <c r="GE6" s="75" t="s">
        <v>120</v>
      </c>
      <c r="GI6" s="76"/>
      <c r="GJ6" s="75" t="s">
        <v>122</v>
      </c>
      <c r="GK6" s="75" t="s">
        <v>121</v>
      </c>
      <c r="GL6" s="75" t="s">
        <v>120</v>
      </c>
      <c r="GP6" s="16" t="s">
        <v>38</v>
      </c>
      <c r="GQ6" s="16">
        <v>44021</v>
      </c>
      <c r="GR6" s="103">
        <v>107889410.27667983</v>
      </c>
      <c r="GS6" s="104">
        <v>80000000</v>
      </c>
      <c r="GU6" s="104">
        <v>8000000</v>
      </c>
      <c r="GV6" s="1">
        <f t="shared" si="30"/>
        <v>15</v>
      </c>
      <c r="GX6" s="76"/>
      <c r="GY6" s="75" t="s">
        <v>122</v>
      </c>
      <c r="GZ6" s="75" t="s">
        <v>121</v>
      </c>
      <c r="HA6" s="75" t="s">
        <v>120</v>
      </c>
      <c r="HE6" s="16" t="s">
        <v>35</v>
      </c>
      <c r="HF6" s="16">
        <v>44385</v>
      </c>
      <c r="HG6" s="103">
        <v>18162558.102766801</v>
      </c>
      <c r="HH6" s="104">
        <v>3000000</v>
      </c>
      <c r="HJ6" s="104">
        <v>4000000</v>
      </c>
      <c r="HK6" s="1">
        <f t="shared" si="31"/>
        <v>3</v>
      </c>
      <c r="HM6" s="76"/>
      <c r="HN6" s="75" t="s">
        <v>122</v>
      </c>
      <c r="HO6" s="75" t="s">
        <v>121</v>
      </c>
      <c r="HP6" s="75" t="s">
        <v>120</v>
      </c>
      <c r="HT6" s="76"/>
      <c r="HU6" s="75" t="s">
        <v>122</v>
      </c>
      <c r="HV6" s="75" t="s">
        <v>121</v>
      </c>
      <c r="HW6" s="75" t="s">
        <v>120</v>
      </c>
      <c r="IA6" s="16" t="s">
        <v>37</v>
      </c>
      <c r="IB6" s="16">
        <v>44756</v>
      </c>
      <c r="IC6" s="103">
        <v>27258635.451505017</v>
      </c>
      <c r="ID6" s="104">
        <v>8000000</v>
      </c>
      <c r="IF6" s="104">
        <v>8000000</v>
      </c>
      <c r="IG6" s="1">
        <f t="shared" ref="IG6:IG11" si="47">COUNTIF($ID:$ID,IF6)</f>
        <v>12</v>
      </c>
      <c r="II6" s="76"/>
      <c r="IJ6" s="75" t="s">
        <v>122</v>
      </c>
      <c r="IK6" s="75" t="s">
        <v>121</v>
      </c>
      <c r="IL6" s="75" t="s">
        <v>120</v>
      </c>
      <c r="IP6" s="76"/>
      <c r="IQ6" s="75" t="s">
        <v>122</v>
      </c>
      <c r="IR6" s="75" t="s">
        <v>121</v>
      </c>
      <c r="IS6" s="75" t="s">
        <v>120</v>
      </c>
      <c r="IW6" s="16" t="s">
        <v>169</v>
      </c>
      <c r="IX6" s="12">
        <v>44021</v>
      </c>
      <c r="IY6" s="103">
        <v>107889410.27667983</v>
      </c>
      <c r="IZ6" s="104">
        <v>80000000</v>
      </c>
      <c r="JB6" s="104">
        <v>8000000</v>
      </c>
      <c r="JC6" s="1">
        <f t="shared" ref="JC6:JC14" si="48">COUNTIF($ID:$ID,JB6)</f>
        <v>12</v>
      </c>
      <c r="JE6" s="76"/>
      <c r="JF6" s="75" t="s">
        <v>122</v>
      </c>
      <c r="JG6" s="75" t="s">
        <v>121</v>
      </c>
      <c r="JH6" s="75" t="s">
        <v>120</v>
      </c>
      <c r="JI6" s="69"/>
      <c r="JJ6" s="69"/>
      <c r="JN6" s="76"/>
      <c r="JO6" s="75" t="s">
        <v>122</v>
      </c>
      <c r="JP6" s="75" t="s">
        <v>121</v>
      </c>
      <c r="JQ6" s="75" t="s">
        <v>120</v>
      </c>
      <c r="JR6" s="69"/>
      <c r="JS6" s="69"/>
      <c r="JT6" s="69"/>
      <c r="JU6" s="69"/>
      <c r="JY6" s="16" t="s">
        <v>83</v>
      </c>
      <c r="JZ6" s="16">
        <v>42929</v>
      </c>
      <c r="KA6" s="103">
        <v>15749250</v>
      </c>
      <c r="KB6" s="104">
        <v>6000000</v>
      </c>
      <c r="KD6" s="104">
        <v>6000000</v>
      </c>
      <c r="KE6" s="1">
        <f t="shared" si="32"/>
        <v>7</v>
      </c>
      <c r="KG6" s="16" t="s">
        <v>82</v>
      </c>
      <c r="KH6" s="16">
        <v>43111</v>
      </c>
      <c r="KI6" s="103">
        <v>80262600</v>
      </c>
      <c r="KJ6" s="104">
        <v>55000000</v>
      </c>
      <c r="KL6" s="104">
        <v>6000000</v>
      </c>
      <c r="KM6" s="1">
        <f t="shared" si="33"/>
        <v>3</v>
      </c>
      <c r="KO6" s="16" t="s">
        <v>81</v>
      </c>
      <c r="KP6" s="16">
        <v>43293</v>
      </c>
      <c r="KQ6" s="103">
        <v>27395676</v>
      </c>
      <c r="KR6" s="104">
        <v>20000000</v>
      </c>
      <c r="KT6" s="104">
        <v>8000000</v>
      </c>
      <c r="KU6" s="1">
        <f t="shared" si="34"/>
        <v>3</v>
      </c>
      <c r="KW6" s="16" t="s">
        <v>79</v>
      </c>
      <c r="KX6" s="16">
        <v>43475</v>
      </c>
      <c r="KY6" s="103">
        <v>109782948</v>
      </c>
      <c r="KZ6" s="104">
        <v>80000000</v>
      </c>
      <c r="LB6" s="104">
        <v>8000000</v>
      </c>
      <c r="LC6" s="1">
        <f t="shared" si="35"/>
        <v>5</v>
      </c>
      <c r="LE6" s="16" t="s">
        <v>78</v>
      </c>
      <c r="LF6" s="16">
        <v>43657</v>
      </c>
      <c r="LG6" s="103">
        <v>73696392</v>
      </c>
      <c r="LH6" s="104">
        <v>80000000</v>
      </c>
      <c r="LJ6" s="104">
        <v>8000000</v>
      </c>
      <c r="LK6" s="1">
        <f t="shared" si="36"/>
        <v>4</v>
      </c>
      <c r="LM6" s="16" t="s">
        <v>77</v>
      </c>
      <c r="LN6" s="16">
        <v>43839</v>
      </c>
      <c r="LO6" s="103">
        <v>19895634</v>
      </c>
      <c r="LP6" s="104">
        <v>8000000</v>
      </c>
      <c r="LR6" s="104">
        <v>8000000</v>
      </c>
      <c r="LS6" s="1">
        <f t="shared" si="37"/>
        <v>6</v>
      </c>
      <c r="LU6" s="16" t="s">
        <v>70</v>
      </c>
      <c r="LV6" s="16">
        <v>44021</v>
      </c>
      <c r="LW6" s="103">
        <v>108508290</v>
      </c>
      <c r="LX6" s="104">
        <v>80000000</v>
      </c>
      <c r="LZ6" s="104">
        <v>8000000</v>
      </c>
      <c r="MA6" s="1">
        <f t="shared" si="38"/>
        <v>8</v>
      </c>
      <c r="MC6" s="16" t="s">
        <v>86</v>
      </c>
      <c r="MD6" s="16">
        <v>44210</v>
      </c>
      <c r="ME6" s="103">
        <v>23774388</v>
      </c>
      <c r="MF6" s="104">
        <v>8000000</v>
      </c>
      <c r="MH6" s="104">
        <v>8000000</v>
      </c>
      <c r="MI6" s="1">
        <f t="shared" si="39"/>
        <v>7</v>
      </c>
      <c r="MK6" s="16" t="s">
        <v>69</v>
      </c>
      <c r="ML6" s="16">
        <v>44385</v>
      </c>
      <c r="MM6" s="103">
        <v>18352290</v>
      </c>
      <c r="MN6" s="104">
        <v>3000000</v>
      </c>
      <c r="MP6" s="104">
        <v>8000000</v>
      </c>
      <c r="MQ6" s="1">
        <f t="shared" si="40"/>
        <v>6</v>
      </c>
      <c r="MS6" s="16" t="s">
        <v>76</v>
      </c>
      <c r="MT6" s="16">
        <v>44574</v>
      </c>
      <c r="MU6" s="103">
        <v>19512636</v>
      </c>
      <c r="MV6" s="104">
        <v>3000000</v>
      </c>
      <c r="MX6" s="104">
        <v>4000000</v>
      </c>
      <c r="MY6" s="1">
        <f t="shared" si="41"/>
        <v>3</v>
      </c>
      <c r="NA6" s="16" t="s">
        <v>110</v>
      </c>
      <c r="NB6" s="16">
        <v>42845</v>
      </c>
      <c r="NC6" s="103">
        <v>23499740</v>
      </c>
      <c r="ND6" s="104">
        <v>10000000</v>
      </c>
      <c r="NF6" s="104">
        <v>6000000</v>
      </c>
      <c r="NG6" s="1">
        <f t="shared" si="42"/>
        <v>13</v>
      </c>
      <c r="NH6" s="104"/>
      <c r="NI6" s="76"/>
      <c r="NJ6" s="75" t="s">
        <v>122</v>
      </c>
      <c r="NK6" s="75" t="s">
        <v>121</v>
      </c>
      <c r="NL6" s="75" t="s">
        <v>120</v>
      </c>
      <c r="NP6" s="16" t="s">
        <v>34</v>
      </c>
      <c r="NQ6" s="16">
        <v>43216</v>
      </c>
      <c r="NR6" s="103">
        <v>11782122</v>
      </c>
      <c r="NS6" s="104">
        <v>3000000</v>
      </c>
      <c r="NU6" s="104">
        <v>8000000</v>
      </c>
      <c r="NV6" s="1">
        <f t="shared" si="43"/>
        <v>9</v>
      </c>
      <c r="NX6" s="76"/>
      <c r="NY6" s="75" t="s">
        <v>122</v>
      </c>
      <c r="NZ6" s="75" t="s">
        <v>121</v>
      </c>
      <c r="OA6" s="75" t="s">
        <v>120</v>
      </c>
    </row>
    <row r="7" spans="1:393" x14ac:dyDescent="0.25">
      <c r="B7" s="57" t="s">
        <v>119</v>
      </c>
      <c r="C7" s="57"/>
      <c r="D7" s="57"/>
      <c r="E7" s="74"/>
      <c r="F7" s="57" t="s">
        <v>118</v>
      </c>
      <c r="G7" s="57"/>
      <c r="H7" s="57"/>
      <c r="I7" s="57"/>
      <c r="K7" s="7">
        <v>3</v>
      </c>
      <c r="M7" s="5" t="str" cm="1">
        <f t="array" ref="M7">LOOKUP(2,1/($G$19:$G$35&lt;=$V7)/($H$19:$H$35&gt;=$V7),$F$19:$F$35)</f>
        <v>2H17</v>
      </c>
      <c r="N7" s="5" t="str" cm="1">
        <f t="array" ref="N7">LOOKUP(2,1/($G$8:$G$16&lt;=$V7)/($H$8:$H$16&gt;=$V7),$F$8:$F$16)</f>
        <v>FY17</v>
      </c>
      <c r="O7" s="5" t="str">
        <f>IFERROR(N7&amp;"-"&amp;COUNTIF($N$7:N19,N7),NA())</f>
        <v>FY17-13</v>
      </c>
      <c r="P7" s="5">
        <f>COUNTIF(V$7:V19,"&gt;="&amp;MAX($V:$V)-183)</f>
        <v>0</v>
      </c>
      <c r="Q7" s="5">
        <f>COUNTIF(V$7:V19,"&gt;="&amp;MAX($V:$V)-365)</f>
        <v>0</v>
      </c>
      <c r="R7" s="5" cm="1">
        <f t="array" ref="R7">LOOKUP(2,1/($G$46:$G$50&lt;=$V7)/($H$46:$H$50&gt;=$V7),$F$46:$F$50)</f>
        <v>0</v>
      </c>
      <c r="S7" s="5" cm="1">
        <f t="array" ref="S7">LOOKUP(2,1/($G$53:$G$56&lt;=$V7)/($H$53:$H$56&gt;=$V7),$F$53:$F$56)</f>
        <v>0</v>
      </c>
      <c r="T7" s="5" t="e">
        <f>IFERROR(IF($R7&gt;0,$R7&amp;"-"&amp;COUNTIF($R$7:$R19,$R7),NA()),NA())</f>
        <v>#N/A</v>
      </c>
      <c r="U7" s="5" t="e">
        <f>IFERROR(IF($S7&gt;0,$S7&amp;"-"&amp;COUNTIF($S$7:$S19,$S7),NA()),NA())</f>
        <v>#N/A</v>
      </c>
      <c r="V7" s="10">
        <v>42754</v>
      </c>
      <c r="W7" s="101">
        <v>13267583.056753492</v>
      </c>
      <c r="X7" s="101">
        <v>12326248.038876832</v>
      </c>
      <c r="Y7" s="102">
        <v>3000000</v>
      </c>
      <c r="AA7" s="48">
        <f t="shared" si="44"/>
        <v>3</v>
      </c>
      <c r="AB7" s="12">
        <f t="shared" si="0"/>
        <v>45036</v>
      </c>
      <c r="AC7" s="103">
        <f t="shared" si="1"/>
        <v>21741040.681058068</v>
      </c>
      <c r="AD7" s="104">
        <f t="shared" si="2"/>
        <v>4000000</v>
      </c>
      <c r="AF7" s="104">
        <v>20000000</v>
      </c>
      <c r="AG7" s="1">
        <f t="shared" si="3"/>
        <v>6</v>
      </c>
      <c r="AW7" s="48">
        <f t="shared" si="45"/>
        <v>3</v>
      </c>
      <c r="AX7" s="12">
        <f t="shared" si="4"/>
        <v>44854</v>
      </c>
      <c r="AY7" s="103">
        <f t="shared" si="5"/>
        <v>183084473.09212527</v>
      </c>
      <c r="AZ7" s="104">
        <f t="shared" si="6"/>
        <v>100000000</v>
      </c>
      <c r="BB7" s="104">
        <v>8000000</v>
      </c>
      <c r="BC7" s="1">
        <f t="shared" si="7"/>
        <v>7</v>
      </c>
      <c r="BD7" s="104">
        <f t="shared" si="46"/>
        <v>26678075.142249055</v>
      </c>
      <c r="BT7" s="48" t="str">
        <f t="shared" si="8"/>
        <v>N1-3</v>
      </c>
      <c r="BU7" s="12">
        <f t="shared" si="9"/>
        <v>44126</v>
      </c>
      <c r="BV7" s="103">
        <f t="shared" si="10"/>
        <v>19054887.686226815</v>
      </c>
      <c r="BW7" s="104">
        <f t="shared" si="11"/>
        <v>3000000</v>
      </c>
      <c r="BY7" s="104">
        <v>20000000</v>
      </c>
      <c r="BZ7" s="1">
        <f>COUNTIF($BW:$BW,BY7)</f>
        <v>5</v>
      </c>
      <c r="CI7" s="48" t="str">
        <f t="shared" si="12"/>
        <v>A1-3</v>
      </c>
      <c r="CJ7" s="12">
        <f t="shared" si="13"/>
        <v>44238</v>
      </c>
      <c r="CK7" s="105">
        <f t="shared" si="14"/>
        <v>48994890.605047114</v>
      </c>
      <c r="CL7" s="105">
        <f t="shared" si="15"/>
        <v>30000000</v>
      </c>
      <c r="CN7" s="104">
        <v>30000000</v>
      </c>
      <c r="CO7" s="1">
        <f>COUNTIF($CL:$CL,CN7)</f>
        <v>4</v>
      </c>
      <c r="CX7" s="48" t="str">
        <f t="shared" si="16"/>
        <v>N2-3</v>
      </c>
      <c r="CY7" s="12">
        <f t="shared" si="17"/>
        <v>44721</v>
      </c>
      <c r="CZ7" s="103">
        <f t="shared" si="18"/>
        <v>27291882.760717545</v>
      </c>
      <c r="DA7" s="104">
        <f t="shared" si="19"/>
        <v>8000000</v>
      </c>
      <c r="DC7" s="104">
        <v>20000000</v>
      </c>
      <c r="DD7" s="1">
        <f>COUNTIF($DA:$DA,DC7)</f>
        <v>3</v>
      </c>
      <c r="DM7" s="48" t="str">
        <f t="shared" si="20"/>
        <v>A2-3</v>
      </c>
      <c r="DN7" s="12">
        <f t="shared" si="21"/>
        <v>44833</v>
      </c>
      <c r="DO7" s="103">
        <f t="shared" si="22"/>
        <v>35905405.655214347</v>
      </c>
      <c r="DP7" s="104">
        <f t="shared" si="23"/>
        <v>20000000</v>
      </c>
      <c r="DR7" s="104">
        <v>30000000</v>
      </c>
      <c r="DS7" s="1">
        <f t="shared" si="24"/>
        <v>3</v>
      </c>
      <c r="EI7" s="47" t="str">
        <f t="shared" si="25"/>
        <v>FY18-3</v>
      </c>
      <c r="EJ7" s="16">
        <v>42936</v>
      </c>
      <c r="EK7" s="103">
        <v>13695982.549594617</v>
      </c>
      <c r="EL7" s="104">
        <f t="shared" si="26"/>
        <v>3000000</v>
      </c>
      <c r="EN7" s="104">
        <v>8000000</v>
      </c>
      <c r="EO7" s="1">
        <f t="shared" si="27"/>
        <v>3</v>
      </c>
      <c r="EX7" s="16" t="s">
        <v>33</v>
      </c>
      <c r="EY7" s="16">
        <v>43300</v>
      </c>
      <c r="EZ7" s="103">
        <v>32449661.792752694</v>
      </c>
      <c r="FA7" s="104">
        <v>30000000</v>
      </c>
      <c r="FC7" s="104">
        <v>12000000</v>
      </c>
      <c r="FD7" s="1">
        <f t="shared" si="28"/>
        <v>8</v>
      </c>
      <c r="FT7" s="16" t="s">
        <v>39</v>
      </c>
      <c r="FU7" s="16">
        <v>43664</v>
      </c>
      <c r="FV7" s="103">
        <v>149659728.94362274</v>
      </c>
      <c r="FW7" s="104">
        <v>110000000</v>
      </c>
      <c r="FY7" s="104">
        <v>12000000</v>
      </c>
      <c r="FZ7" s="1">
        <f t="shared" si="29"/>
        <v>7</v>
      </c>
      <c r="GK7" s="70">
        <v>0.80679999999999996</v>
      </c>
      <c r="GL7" s="70">
        <v>13.603999999999999</v>
      </c>
      <c r="GP7" s="16" t="s">
        <v>38</v>
      </c>
      <c r="GQ7" s="16">
        <v>44028</v>
      </c>
      <c r="GR7" s="103">
        <v>20009448.707813922</v>
      </c>
      <c r="GS7" s="104">
        <v>3000000</v>
      </c>
      <c r="GU7" s="104">
        <v>20000000</v>
      </c>
      <c r="GV7" s="1">
        <f t="shared" si="30"/>
        <v>12</v>
      </c>
      <c r="HE7" s="16" t="s">
        <v>35</v>
      </c>
      <c r="HF7" s="16">
        <v>44392</v>
      </c>
      <c r="HG7" s="103">
        <v>25998846.336272418</v>
      </c>
      <c r="HH7" s="104">
        <v>8000000</v>
      </c>
      <c r="HJ7" s="104">
        <v>8000000</v>
      </c>
      <c r="HK7" s="1">
        <f t="shared" si="31"/>
        <v>11</v>
      </c>
      <c r="IA7" s="16" t="s">
        <v>37</v>
      </c>
      <c r="IB7" s="16">
        <v>44763</v>
      </c>
      <c r="IC7" s="103">
        <v>20968405.71602311</v>
      </c>
      <c r="ID7" s="104">
        <v>4000000</v>
      </c>
      <c r="IF7" s="104">
        <v>12000000</v>
      </c>
      <c r="IG7" s="1">
        <f t="shared" si="47"/>
        <v>1</v>
      </c>
      <c r="IW7" s="16" t="s">
        <v>169</v>
      </c>
      <c r="IX7" s="12">
        <v>44028</v>
      </c>
      <c r="IY7" s="103">
        <v>20009448.707813922</v>
      </c>
      <c r="IZ7" s="104">
        <v>3000000</v>
      </c>
      <c r="JB7" s="104">
        <v>12000000</v>
      </c>
      <c r="JC7" s="1">
        <f t="shared" si="48"/>
        <v>1</v>
      </c>
      <c r="JY7" s="16" t="s">
        <v>83</v>
      </c>
      <c r="JZ7" s="16">
        <v>42936</v>
      </c>
      <c r="KA7" s="103">
        <v>13651880</v>
      </c>
      <c r="KB7" s="104">
        <v>3000000</v>
      </c>
      <c r="KD7" s="104">
        <v>10000000</v>
      </c>
      <c r="KE7" s="1">
        <f t="shared" si="32"/>
        <v>4</v>
      </c>
      <c r="KG7" s="16" t="s">
        <v>82</v>
      </c>
      <c r="KH7" s="16">
        <v>43118</v>
      </c>
      <c r="KI7" s="103">
        <v>14454220</v>
      </c>
      <c r="KJ7" s="104">
        <v>3000000</v>
      </c>
      <c r="KL7" s="104">
        <v>8000000</v>
      </c>
      <c r="KM7" s="1">
        <f t="shared" si="33"/>
        <v>3</v>
      </c>
      <c r="KO7" s="16" t="s">
        <v>81</v>
      </c>
      <c r="KP7" s="16">
        <v>43300</v>
      </c>
      <c r="KQ7" s="103">
        <v>32154144</v>
      </c>
      <c r="KR7" s="104">
        <v>30000000</v>
      </c>
      <c r="KT7" s="104">
        <v>12000000</v>
      </c>
      <c r="KU7" s="1">
        <f t="shared" si="34"/>
        <v>4</v>
      </c>
      <c r="KW7" s="16" t="s">
        <v>79</v>
      </c>
      <c r="KX7" s="16">
        <v>43482</v>
      </c>
      <c r="KY7" s="103">
        <v>171745068</v>
      </c>
      <c r="KZ7" s="104">
        <v>100000000</v>
      </c>
      <c r="LB7" s="104">
        <v>12000000</v>
      </c>
      <c r="LC7" s="1">
        <f t="shared" si="35"/>
        <v>4</v>
      </c>
      <c r="LE7" s="16" t="s">
        <v>78</v>
      </c>
      <c r="LF7" s="16">
        <v>43664</v>
      </c>
      <c r="LG7" s="103">
        <v>155742444</v>
      </c>
      <c r="LH7" s="104">
        <v>110000000</v>
      </c>
      <c r="LJ7" s="104">
        <v>12000000</v>
      </c>
      <c r="LK7" s="1">
        <f t="shared" si="36"/>
        <v>4</v>
      </c>
      <c r="LM7" s="16" t="s">
        <v>77</v>
      </c>
      <c r="LN7" s="16">
        <v>43846</v>
      </c>
      <c r="LO7" s="103">
        <v>27020796</v>
      </c>
      <c r="LP7" s="104">
        <v>12000000</v>
      </c>
      <c r="LR7" s="104">
        <v>12000000</v>
      </c>
      <c r="LS7" s="1">
        <f t="shared" si="37"/>
        <v>3</v>
      </c>
      <c r="LU7" s="16" t="s">
        <v>70</v>
      </c>
      <c r="LV7" s="16">
        <v>44028</v>
      </c>
      <c r="LW7" s="103">
        <v>20633184</v>
      </c>
      <c r="LX7" s="104">
        <v>3000000</v>
      </c>
      <c r="LZ7" s="104">
        <v>20000000</v>
      </c>
      <c r="MA7" s="1">
        <f t="shared" si="38"/>
        <v>6</v>
      </c>
      <c r="MC7" s="16" t="s">
        <v>86</v>
      </c>
      <c r="MD7" s="16">
        <v>44217</v>
      </c>
      <c r="ME7" s="103">
        <v>38336562</v>
      </c>
      <c r="MF7" s="104">
        <v>20000000</v>
      </c>
      <c r="MH7" s="104">
        <v>20000000</v>
      </c>
      <c r="MI7" s="1">
        <f t="shared" si="39"/>
        <v>6</v>
      </c>
      <c r="MK7" s="16" t="s">
        <v>69</v>
      </c>
      <c r="ML7" s="16">
        <v>44392</v>
      </c>
      <c r="MM7" s="103">
        <v>25697958</v>
      </c>
      <c r="MN7" s="104">
        <v>8000000</v>
      </c>
      <c r="MP7" s="104">
        <v>20000000</v>
      </c>
      <c r="MQ7" s="1">
        <f t="shared" si="40"/>
        <v>5</v>
      </c>
      <c r="MS7" s="16" t="s">
        <v>76</v>
      </c>
      <c r="MT7" s="16">
        <v>44581</v>
      </c>
      <c r="MU7" s="103">
        <v>21980376</v>
      </c>
      <c r="MV7" s="104">
        <v>8000000</v>
      </c>
      <c r="MX7" s="104">
        <v>8000000</v>
      </c>
      <c r="MY7" s="1">
        <f t="shared" si="41"/>
        <v>5</v>
      </c>
      <c r="NA7" s="16" t="s">
        <v>110</v>
      </c>
      <c r="NB7" s="16">
        <v>42852</v>
      </c>
      <c r="NC7" s="103">
        <v>26247980</v>
      </c>
      <c r="ND7" s="104">
        <v>15000000</v>
      </c>
      <c r="NF7" s="104">
        <v>10000000</v>
      </c>
      <c r="NG7" s="1">
        <f t="shared" si="42"/>
        <v>7</v>
      </c>
      <c r="NH7" s="104"/>
      <c r="NP7" s="16" t="s">
        <v>34</v>
      </c>
      <c r="NQ7" s="16">
        <v>43223</v>
      </c>
      <c r="NR7" s="103">
        <v>16804854</v>
      </c>
      <c r="NS7" s="104">
        <v>8000000</v>
      </c>
      <c r="NU7" s="104">
        <v>12000000</v>
      </c>
      <c r="NV7" s="1">
        <f t="shared" si="43"/>
        <v>8</v>
      </c>
    </row>
    <row r="8" spans="1:393" x14ac:dyDescent="0.25">
      <c r="B8" s="53">
        <v>31724</v>
      </c>
      <c r="C8" s="53">
        <v>43737</v>
      </c>
      <c r="D8" s="71">
        <v>9.2999999999999999E-2</v>
      </c>
      <c r="F8" s="5" t="s">
        <v>110</v>
      </c>
      <c r="G8" s="53">
        <v>42552</v>
      </c>
      <c r="H8" s="51">
        <f>EOMONTH(G8,11)</f>
        <v>42916</v>
      </c>
      <c r="I8" s="50">
        <f>INT((WEEKDAY($G8-5)-$G8+$H8)/7)</f>
        <v>52</v>
      </c>
      <c r="K8" s="7">
        <v>4</v>
      </c>
      <c r="M8" s="5" t="str" cm="1">
        <f t="array" ref="M8">LOOKUP(2,1/($G$19:$G$35&lt;=$V8)/($H$19:$H$35&gt;=$V8),$F$19:$F$35)</f>
        <v>2H17</v>
      </c>
      <c r="N8" s="5" t="str" cm="1">
        <f t="array" ref="N8">LOOKUP(2,1/($G$8:$G$16&lt;=$V8)/($H$8:$H$16&gt;=$V8),$F$8:$F$16)</f>
        <v>FY17</v>
      </c>
      <c r="O8" s="5" t="str">
        <f>IFERROR(N8&amp;"-"&amp;COUNTIF($N$8:N19,N8),NA())</f>
        <v>FY17-12</v>
      </c>
      <c r="P8" s="5">
        <f>COUNTIF(V$8:V19,"&gt;="&amp;MAX($V:$V)-183)</f>
        <v>0</v>
      </c>
      <c r="Q8" s="5">
        <f>COUNTIF(V$8:V19,"&gt;="&amp;MAX($V:$V)-365)</f>
        <v>0</v>
      </c>
      <c r="R8" s="5" cm="1">
        <f t="array" ref="R8">LOOKUP(2,1/($G$46:$G$50&lt;=$V8)/($H$46:$H$50&gt;=$V8),$F$46:$F$50)</f>
        <v>0</v>
      </c>
      <c r="S8" s="5" cm="1">
        <f t="array" ref="S8">LOOKUP(2,1/($G$53:$G$56&lt;=$V8)/($H$53:$H$56&gt;=$V8),$F$53:$F$56)</f>
        <v>0</v>
      </c>
      <c r="T8" s="5" t="e">
        <f>IFERROR(IF($R8&gt;0,$R8&amp;"-"&amp;COUNTIF($R$8:$R19,$R8),NA()),NA())</f>
        <v>#N/A</v>
      </c>
      <c r="U8" s="5" t="e">
        <f>IFERROR(IF($S8&gt;0,$S8&amp;"-"&amp;COUNTIF($S$8:$S19,$S8),NA()),NA())</f>
        <v>#N/A</v>
      </c>
      <c r="V8" s="10">
        <v>42761</v>
      </c>
      <c r="W8" s="101">
        <v>13952006.97602208</v>
      </c>
      <c r="X8" s="101">
        <v>12962112.081073312</v>
      </c>
      <c r="Y8" s="102">
        <v>6000000</v>
      </c>
      <c r="AA8" s="48">
        <f t="shared" si="44"/>
        <v>4</v>
      </c>
      <c r="AB8" s="12">
        <f t="shared" si="0"/>
        <v>45043</v>
      </c>
      <c r="AC8" s="103">
        <f t="shared" si="1"/>
        <v>27045895.28732137</v>
      </c>
      <c r="AD8" s="104">
        <f t="shared" si="2"/>
        <v>8000000</v>
      </c>
      <c r="AF8" s="104">
        <v>30000000</v>
      </c>
      <c r="AG8" s="1">
        <f t="shared" si="3"/>
        <v>1</v>
      </c>
      <c r="AI8" s="73" t="s">
        <v>117</v>
      </c>
      <c r="AJ8" s="72"/>
      <c r="AK8" s="70">
        <v>1.6624000000000001</v>
      </c>
      <c r="AL8" s="70">
        <v>7.6917999999999997</v>
      </c>
      <c r="AP8" s="73" t="s">
        <v>117</v>
      </c>
      <c r="AQ8" s="72"/>
      <c r="AR8" s="70">
        <v>1.1318999999999999</v>
      </c>
      <c r="AS8" s="70">
        <v>16.902000000000001</v>
      </c>
      <c r="AW8" s="48">
        <f t="shared" si="45"/>
        <v>4</v>
      </c>
      <c r="AX8" s="12">
        <f t="shared" si="4"/>
        <v>44861</v>
      </c>
      <c r="AY8" s="103">
        <f t="shared" si="5"/>
        <v>284837413.80358768</v>
      </c>
      <c r="AZ8" s="104">
        <f t="shared" si="6"/>
        <v>160000000</v>
      </c>
      <c r="BB8" s="104">
        <v>20000000</v>
      </c>
      <c r="BC8" s="1">
        <f t="shared" si="7"/>
        <v>10</v>
      </c>
      <c r="BD8" s="104">
        <f t="shared" si="46"/>
        <v>41732075.032610409</v>
      </c>
      <c r="BF8" s="73" t="s">
        <v>117</v>
      </c>
      <c r="BG8" s="72"/>
      <c r="BH8" s="70">
        <v>1.5851</v>
      </c>
      <c r="BI8" s="70">
        <v>8.0028000000000006</v>
      </c>
      <c r="BM8" s="73" t="s">
        <v>117</v>
      </c>
      <c r="BN8" s="72"/>
      <c r="BO8" s="70">
        <v>1.153</v>
      </c>
      <c r="BP8" s="70">
        <v>16.274999999999999</v>
      </c>
      <c r="BT8" s="48" t="str">
        <f t="shared" si="8"/>
        <v>N1-4</v>
      </c>
      <c r="BU8" s="12">
        <f t="shared" si="9"/>
        <v>44133</v>
      </c>
      <c r="BV8" s="103">
        <f t="shared" si="10"/>
        <v>24929902.341137119</v>
      </c>
      <c r="BW8" s="104">
        <f t="shared" si="11"/>
        <v>8000000</v>
      </c>
      <c r="BY8" s="104">
        <v>40000000</v>
      </c>
      <c r="BZ8" s="1">
        <f>COUNTIF($BW:$BW,BY8)</f>
        <v>1</v>
      </c>
      <c r="CB8" s="73" t="s">
        <v>117</v>
      </c>
      <c r="CC8" s="72"/>
      <c r="CD8" s="70">
        <v>1.2735000000000001</v>
      </c>
      <c r="CE8" s="70">
        <v>15.112</v>
      </c>
      <c r="CI8" s="48" t="str">
        <f t="shared" si="12"/>
        <v>A1-4</v>
      </c>
      <c r="CJ8" s="12">
        <f t="shared" si="13"/>
        <v>44245</v>
      </c>
      <c r="CK8" s="105">
        <f t="shared" si="14"/>
        <v>78306876.740650654</v>
      </c>
      <c r="CL8" s="105">
        <f t="shared" si="15"/>
        <v>50000000</v>
      </c>
      <c r="CN8" s="104">
        <v>50000000</v>
      </c>
      <c r="CO8" s="1">
        <f>COUNTIF($CL:$CL,CN8)</f>
        <v>3</v>
      </c>
      <c r="CQ8" s="73" t="s">
        <v>117</v>
      </c>
      <c r="CR8" s="72"/>
      <c r="CS8" s="70">
        <v>1.2181</v>
      </c>
      <c r="CT8" s="70">
        <v>12.263999999999999</v>
      </c>
      <c r="CX8" s="48" t="str">
        <f t="shared" si="16"/>
        <v>N2-4</v>
      </c>
      <c r="CY8" s="12">
        <f t="shared" si="17"/>
        <v>44728</v>
      </c>
      <c r="CZ8" s="103">
        <f t="shared" si="18"/>
        <v>41963661.416844025</v>
      </c>
      <c r="DA8" s="104">
        <f t="shared" si="19"/>
        <v>20000000</v>
      </c>
      <c r="DC8" s="104">
        <v>40000000</v>
      </c>
      <c r="DD8" s="1">
        <f>COUNTIF($DA:$DA,DC8)</f>
        <v>2</v>
      </c>
      <c r="DF8" s="73" t="s">
        <v>117</v>
      </c>
      <c r="DG8" s="72"/>
      <c r="DH8" s="70">
        <v>1.0497000000000001</v>
      </c>
      <c r="DI8" s="70">
        <v>17.812999999999999</v>
      </c>
      <c r="DM8" s="48" t="str">
        <f t="shared" si="20"/>
        <v>A2-4</v>
      </c>
      <c r="DN8" s="12">
        <f t="shared" si="21"/>
        <v>44840</v>
      </c>
      <c r="DO8" s="103">
        <f t="shared" si="22"/>
        <v>47423181.270902999</v>
      </c>
      <c r="DP8" s="104">
        <f t="shared" si="23"/>
        <v>30000000</v>
      </c>
      <c r="DR8" s="104">
        <v>50000000</v>
      </c>
      <c r="DS8" s="1">
        <f t="shared" si="24"/>
        <v>3</v>
      </c>
      <c r="DU8" s="73" t="s">
        <v>117</v>
      </c>
      <c r="DV8" s="72"/>
      <c r="DW8" s="70">
        <v>1.7867999999999999</v>
      </c>
      <c r="DX8" s="70">
        <v>1.7515000000000001</v>
      </c>
      <c r="EB8" s="73" t="s">
        <v>117</v>
      </c>
      <c r="EC8" s="72"/>
      <c r="ED8" s="70">
        <v>1.1620999999999999</v>
      </c>
      <c r="EE8" s="70">
        <v>16.074999999999999</v>
      </c>
      <c r="EI8" s="47" t="str">
        <f t="shared" si="25"/>
        <v>FY18-4</v>
      </c>
      <c r="EJ8" s="16">
        <v>42943</v>
      </c>
      <c r="EK8" s="103">
        <v>12329121.10746938</v>
      </c>
      <c r="EL8" s="104">
        <f t="shared" si="26"/>
        <v>3000000</v>
      </c>
      <c r="EN8" s="104">
        <v>10000000</v>
      </c>
      <c r="EO8" s="1">
        <f t="shared" si="27"/>
        <v>5</v>
      </c>
      <c r="EQ8" s="73" t="s">
        <v>117</v>
      </c>
      <c r="ER8" s="72"/>
      <c r="ES8" s="70">
        <v>1.0659000000000001</v>
      </c>
      <c r="ET8" s="70">
        <v>9.8292000000000002</v>
      </c>
      <c r="EX8" s="16" t="s">
        <v>33</v>
      </c>
      <c r="EY8" s="16">
        <v>43307</v>
      </c>
      <c r="EZ8" s="103">
        <v>38670652.25683406</v>
      </c>
      <c r="FA8" s="104">
        <v>40000000</v>
      </c>
      <c r="FC8" s="104">
        <v>20000000</v>
      </c>
      <c r="FD8" s="1">
        <f t="shared" si="28"/>
        <v>8</v>
      </c>
      <c r="FF8" s="73" t="s">
        <v>117</v>
      </c>
      <c r="FG8" s="72"/>
      <c r="FH8" s="70">
        <v>1.323</v>
      </c>
      <c r="FI8" s="70">
        <v>2.9988999999999999</v>
      </c>
      <c r="FM8" s="73" t="s">
        <v>117</v>
      </c>
      <c r="FN8" s="72"/>
      <c r="FO8" s="70">
        <v>1.0042</v>
      </c>
      <c r="FP8" s="70">
        <v>8.1194000000000006</v>
      </c>
      <c r="FT8" s="16" t="s">
        <v>39</v>
      </c>
      <c r="FU8" s="16">
        <v>43671</v>
      </c>
      <c r="FV8" s="103">
        <v>14254130.329847144</v>
      </c>
      <c r="FW8" s="104">
        <v>3000000</v>
      </c>
      <c r="FY8" s="104">
        <v>15000000</v>
      </c>
      <c r="FZ8" s="1">
        <f t="shared" si="29"/>
        <v>3</v>
      </c>
      <c r="GB8" s="73" t="s">
        <v>117</v>
      </c>
      <c r="GC8" s="72"/>
      <c r="GD8" s="70">
        <v>1.0916999999999999</v>
      </c>
      <c r="GE8" s="70">
        <v>10.265000000000001</v>
      </c>
      <c r="GI8" s="73" t="s">
        <v>117</v>
      </c>
      <c r="GJ8" s="72"/>
      <c r="GK8" s="70">
        <v>0.79149999999999998</v>
      </c>
      <c r="GL8" s="70">
        <v>15.211</v>
      </c>
      <c r="GP8" s="16" t="s">
        <v>38</v>
      </c>
      <c r="GQ8" s="16">
        <v>44035</v>
      </c>
      <c r="GR8" s="103">
        <v>25611906.840985101</v>
      </c>
      <c r="GS8" s="104">
        <v>8000000</v>
      </c>
      <c r="GU8" s="104">
        <v>30000000</v>
      </c>
      <c r="GV8" s="1">
        <f t="shared" si="30"/>
        <v>4</v>
      </c>
      <c r="GX8" s="73" t="s">
        <v>117</v>
      </c>
      <c r="GY8" s="72"/>
      <c r="GZ8" s="70">
        <v>1.1418999999999999</v>
      </c>
      <c r="HA8" s="70">
        <v>15.769</v>
      </c>
      <c r="HE8" s="16" t="s">
        <v>35</v>
      </c>
      <c r="HF8" s="16">
        <v>44399</v>
      </c>
      <c r="HG8" s="103">
        <v>41039352.751596227</v>
      </c>
      <c r="HH8" s="104">
        <v>20000000</v>
      </c>
      <c r="HJ8" s="104">
        <v>20000000</v>
      </c>
      <c r="HK8" s="1">
        <f t="shared" si="31"/>
        <v>10</v>
      </c>
      <c r="HM8" s="73" t="s">
        <v>117</v>
      </c>
      <c r="HN8" s="72"/>
      <c r="HO8" s="70">
        <v>1.3828</v>
      </c>
      <c r="HP8" s="70">
        <v>11.862</v>
      </c>
      <c r="HT8" s="73" t="s">
        <v>117</v>
      </c>
      <c r="HU8" s="72"/>
      <c r="HV8" s="70">
        <v>1.1478999999999999</v>
      </c>
      <c r="HW8" s="70">
        <v>15.865</v>
      </c>
      <c r="IA8" s="16" t="s">
        <v>37</v>
      </c>
      <c r="IB8" s="16">
        <v>44770</v>
      </c>
      <c r="IC8" s="103">
        <v>19329129.096989967</v>
      </c>
      <c r="ID8" s="104">
        <v>4000000</v>
      </c>
      <c r="IF8" s="104">
        <v>20000000</v>
      </c>
      <c r="IG8" s="1">
        <f t="shared" si="47"/>
        <v>10</v>
      </c>
      <c r="II8" s="73" t="s">
        <v>117</v>
      </c>
      <c r="IJ8" s="72"/>
      <c r="IK8" s="70">
        <v>1.5286999999999999</v>
      </c>
      <c r="IL8" s="70">
        <v>10.319000000000001</v>
      </c>
      <c r="IP8" s="73" t="s">
        <v>117</v>
      </c>
      <c r="IQ8" s="72"/>
      <c r="IR8" s="70">
        <v>1.1456</v>
      </c>
      <c r="IS8" s="70">
        <v>16.474</v>
      </c>
      <c r="IW8" s="16" t="s">
        <v>169</v>
      </c>
      <c r="IX8" s="12">
        <v>44035</v>
      </c>
      <c r="IY8" s="103">
        <v>25611906.840985101</v>
      </c>
      <c r="IZ8" s="104">
        <v>8000000</v>
      </c>
      <c r="JB8" s="104">
        <v>20000000</v>
      </c>
      <c r="JC8" s="1">
        <f t="shared" si="48"/>
        <v>10</v>
      </c>
      <c r="JE8" s="73" t="s">
        <v>117</v>
      </c>
      <c r="JF8" s="72"/>
      <c r="JG8" s="70">
        <v>1.5286999999999999</v>
      </c>
      <c r="JH8" s="70">
        <v>10.319000000000001</v>
      </c>
      <c r="JI8" s="70"/>
      <c r="JJ8" s="70"/>
      <c r="JN8" s="73" t="s">
        <v>117</v>
      </c>
      <c r="JO8" s="72"/>
      <c r="JP8" s="70">
        <v>1.1445000000000001</v>
      </c>
      <c r="JQ8" s="70">
        <v>16.474</v>
      </c>
      <c r="JR8" s="70"/>
      <c r="JS8" s="70"/>
      <c r="JT8" s="70"/>
      <c r="JU8" s="70"/>
      <c r="JY8" s="16" t="s">
        <v>83</v>
      </c>
      <c r="JZ8" s="16">
        <v>42943</v>
      </c>
      <c r="KA8" s="103">
        <v>12289420</v>
      </c>
      <c r="KB8" s="104">
        <v>3000000</v>
      </c>
      <c r="KD8" s="104">
        <v>15000000</v>
      </c>
      <c r="KE8" s="1">
        <f t="shared" si="32"/>
        <v>3</v>
      </c>
      <c r="KG8" s="16" t="s">
        <v>82</v>
      </c>
      <c r="KH8" s="16">
        <v>43125</v>
      </c>
      <c r="KI8" s="103">
        <v>15978930</v>
      </c>
      <c r="KJ8" s="104">
        <v>3000000</v>
      </c>
      <c r="KL8" s="104">
        <v>10000000</v>
      </c>
      <c r="KM8" s="1">
        <f t="shared" si="33"/>
        <v>1</v>
      </c>
      <c r="KO8" s="16" t="s">
        <v>81</v>
      </c>
      <c r="KP8" s="16">
        <v>43307</v>
      </c>
      <c r="KQ8" s="103">
        <v>38903700</v>
      </c>
      <c r="KR8" s="104">
        <v>40000000</v>
      </c>
      <c r="KT8" s="104">
        <v>20000000</v>
      </c>
      <c r="KU8" s="1">
        <f t="shared" si="34"/>
        <v>4</v>
      </c>
      <c r="KW8" s="16" t="s">
        <v>79</v>
      </c>
      <c r="KX8" s="16">
        <v>43489</v>
      </c>
      <c r="KY8" s="103">
        <v>14073378</v>
      </c>
      <c r="KZ8" s="104">
        <v>3000000</v>
      </c>
      <c r="LB8" s="104">
        <v>20000000</v>
      </c>
      <c r="LC8" s="1">
        <f t="shared" si="35"/>
        <v>4</v>
      </c>
      <c r="LE8" s="16" t="s">
        <v>78</v>
      </c>
      <c r="LF8" s="16">
        <v>43671</v>
      </c>
      <c r="LG8" s="103">
        <v>14379420</v>
      </c>
      <c r="LH8" s="104">
        <v>3000000</v>
      </c>
      <c r="LJ8" s="104">
        <v>15000000</v>
      </c>
      <c r="LK8" s="1">
        <f t="shared" si="36"/>
        <v>1</v>
      </c>
      <c r="LM8" s="16" t="s">
        <v>77</v>
      </c>
      <c r="LN8" s="16">
        <v>43853</v>
      </c>
      <c r="LO8" s="103">
        <v>34912218</v>
      </c>
      <c r="LP8" s="104">
        <v>20000000</v>
      </c>
      <c r="LR8" s="104">
        <v>15000000</v>
      </c>
      <c r="LS8" s="1">
        <f t="shared" si="37"/>
        <v>2</v>
      </c>
      <c r="LU8" s="16" t="s">
        <v>70</v>
      </c>
      <c r="LV8" s="16">
        <v>44035</v>
      </c>
      <c r="LW8" s="103">
        <v>25899522</v>
      </c>
      <c r="LX8" s="104">
        <v>8000000</v>
      </c>
      <c r="LZ8" s="104">
        <v>40000000</v>
      </c>
      <c r="MA8" s="1">
        <f t="shared" si="38"/>
        <v>2</v>
      </c>
      <c r="MC8" s="16" t="s">
        <v>86</v>
      </c>
      <c r="MD8" s="16">
        <v>44224</v>
      </c>
      <c r="ME8" s="103">
        <v>22787358</v>
      </c>
      <c r="MF8" s="104">
        <v>8000000</v>
      </c>
      <c r="MH8" s="104">
        <v>30000000</v>
      </c>
      <c r="MI8" s="1">
        <f t="shared" si="39"/>
        <v>4</v>
      </c>
      <c r="MK8" s="16" t="s">
        <v>69</v>
      </c>
      <c r="ML8" s="16">
        <v>44399</v>
      </c>
      <c r="MM8" s="103">
        <v>42137040</v>
      </c>
      <c r="MN8" s="104">
        <v>20000000</v>
      </c>
      <c r="MP8" s="104">
        <v>30000000</v>
      </c>
      <c r="MQ8" s="1">
        <f t="shared" si="40"/>
        <v>1</v>
      </c>
      <c r="MS8" s="16" t="s">
        <v>76</v>
      </c>
      <c r="MT8" s="16">
        <v>44588</v>
      </c>
      <c r="MU8" s="103">
        <v>34076394</v>
      </c>
      <c r="MV8" s="104">
        <v>20000000</v>
      </c>
      <c r="MX8" s="104">
        <v>20000000</v>
      </c>
      <c r="MY8" s="1">
        <f t="shared" si="41"/>
        <v>5</v>
      </c>
      <c r="NA8" s="16" t="s">
        <v>110</v>
      </c>
      <c r="NB8" s="16">
        <v>42859</v>
      </c>
      <c r="NC8" s="103">
        <v>42724000</v>
      </c>
      <c r="ND8" s="104">
        <v>30000000</v>
      </c>
      <c r="NF8" s="104">
        <v>15000000</v>
      </c>
      <c r="NG8" s="1">
        <f t="shared" si="42"/>
        <v>6</v>
      </c>
      <c r="NH8" s="104"/>
      <c r="NI8" s="73" t="s">
        <v>117</v>
      </c>
      <c r="NJ8" s="72"/>
      <c r="NK8" s="70">
        <v>1.1480999999999999</v>
      </c>
      <c r="NL8" s="70">
        <v>10.118</v>
      </c>
      <c r="NP8" s="16" t="s">
        <v>34</v>
      </c>
      <c r="NQ8" s="16">
        <v>43230</v>
      </c>
      <c r="NR8" s="103">
        <v>17618040</v>
      </c>
      <c r="NS8" s="104">
        <v>12000000</v>
      </c>
      <c r="NU8" s="104">
        <v>20000000</v>
      </c>
      <c r="NV8" s="1">
        <f t="shared" si="43"/>
        <v>7</v>
      </c>
      <c r="NX8" s="73" t="s">
        <v>117</v>
      </c>
      <c r="NY8" s="72"/>
      <c r="NZ8" s="70">
        <v>1.2058</v>
      </c>
      <c r="OA8" s="70">
        <v>4.8651999999999997</v>
      </c>
    </row>
    <row r="9" spans="1:393" x14ac:dyDescent="0.25">
      <c r="B9" s="53">
        <v>43738</v>
      </c>
      <c r="C9" s="51">
        <f>EOMONTH(MAX($V:$V),0)</f>
        <v>45230</v>
      </c>
      <c r="D9" s="71">
        <v>0.10299999999999999</v>
      </c>
      <c r="F9" s="5" t="s">
        <v>34</v>
      </c>
      <c r="G9" s="51">
        <f>H8+1</f>
        <v>42917</v>
      </c>
      <c r="H9" s="51">
        <f t="shared" ref="H9:H16" si="49">EOMONTH(G9,11)</f>
        <v>43281</v>
      </c>
      <c r="I9" s="50">
        <f t="shared" ref="I9:I16" si="50">INT((WEEKDAY($G9-5)-$G9+$H9)/7)</f>
        <v>52</v>
      </c>
      <c r="K9" s="7">
        <v>5</v>
      </c>
      <c r="M9" s="5" t="str" cm="1">
        <f t="array" ref="M9">LOOKUP(2,1/($G$19:$G$35&lt;=$V9)/($H$19:$H$35&gt;=$V9),$F$19:$F$35)</f>
        <v>2H17</v>
      </c>
      <c r="N9" s="5" t="str" cm="1">
        <f t="array" ref="N9">LOOKUP(2,1/($G$8:$G$16&lt;=$V9)/($H$8:$H$16&gt;=$V9),$F$8:$F$16)</f>
        <v>FY17</v>
      </c>
      <c r="O9" s="5" t="str">
        <f>IFERROR(N9&amp;"-"&amp;COUNTIF($N$9:N19,N9),NA())</f>
        <v>FY17-11</v>
      </c>
      <c r="P9" s="5">
        <f>COUNTIF(V$9:V19,"&gt;="&amp;MAX($V:$V)-183)</f>
        <v>0</v>
      </c>
      <c r="Q9" s="5">
        <f>COUNTIF(V$9:V19,"&gt;="&amp;MAX($V:$V)-365)</f>
        <v>0</v>
      </c>
      <c r="R9" s="5" cm="1">
        <f t="array" ref="R9">LOOKUP(2,1/($G$46:$G$50&lt;=$V9)/($H$46:$H$50&gt;=$V9),$F$46:$F$50)</f>
        <v>0</v>
      </c>
      <c r="S9" s="5" cm="1">
        <f t="array" ref="S9">LOOKUP(2,1/($G$53:$G$56&lt;=$V9)/($H$53:$H$56&gt;=$V9),$F$53:$F$56)</f>
        <v>0</v>
      </c>
      <c r="T9" s="5" t="e">
        <f>IFERROR(IF($R9&gt;0,$R9&amp;"-"&amp;COUNTIF($R$9:$R19,$R9),NA()),NA())</f>
        <v>#N/A</v>
      </c>
      <c r="U9" s="5" t="e">
        <f>IFERROR(IF($S9&gt;0,$S9&amp;"-"&amp;COUNTIF($S$9:$S19,$S9),NA()),NA())</f>
        <v>#N/A</v>
      </c>
      <c r="V9" s="10">
        <v>42768</v>
      </c>
      <c r="W9" s="101">
        <v>20759056.413662236</v>
      </c>
      <c r="X9" s="101">
        <v>19286201.3611129</v>
      </c>
      <c r="Y9" s="102">
        <v>10000000</v>
      </c>
      <c r="AA9" s="48">
        <f t="shared" si="44"/>
        <v>5</v>
      </c>
      <c r="AB9" s="12">
        <f t="shared" si="0"/>
        <v>45050</v>
      </c>
      <c r="AC9" s="103">
        <f t="shared" si="1"/>
        <v>41813564.487686224</v>
      </c>
      <c r="AD9" s="104">
        <f t="shared" si="2"/>
        <v>20000000</v>
      </c>
      <c r="AF9" s="104">
        <v>40000000</v>
      </c>
      <c r="AG9" s="1">
        <f t="shared" si="3"/>
        <v>4</v>
      </c>
      <c r="AI9" s="69"/>
      <c r="AJ9" s="69"/>
      <c r="AK9" s="69"/>
      <c r="AL9" s="69"/>
      <c r="AP9" s="69"/>
      <c r="AQ9" s="69"/>
      <c r="AR9" s="69"/>
      <c r="AS9" s="69"/>
      <c r="AW9" s="48">
        <f t="shared" si="45"/>
        <v>5</v>
      </c>
      <c r="AX9" s="12">
        <f t="shared" si="4"/>
        <v>44868</v>
      </c>
      <c r="AY9" s="103">
        <f t="shared" si="5"/>
        <v>27003392.885375496</v>
      </c>
      <c r="AZ9" s="104">
        <f t="shared" si="6"/>
        <v>8000000</v>
      </c>
      <c r="BB9" s="104">
        <v>30000000</v>
      </c>
      <c r="BC9" s="1">
        <f t="shared" si="7"/>
        <v>4</v>
      </c>
      <c r="BD9" s="104">
        <f t="shared" si="46"/>
        <v>49503853.238066278</v>
      </c>
      <c r="BF9" s="69"/>
      <c r="BG9" s="69"/>
      <c r="BH9" s="69"/>
      <c r="BI9" s="69"/>
      <c r="BM9" s="69"/>
      <c r="BN9" s="69"/>
      <c r="BO9" s="69"/>
      <c r="BP9" s="69"/>
      <c r="BT9" s="48" t="str">
        <f t="shared" si="8"/>
        <v>N1-5</v>
      </c>
      <c r="BU9" s="12">
        <f t="shared" si="9"/>
        <v>44140</v>
      </c>
      <c r="BV9" s="103">
        <f t="shared" si="10"/>
        <v>39323627.363940403</v>
      </c>
      <c r="BW9" s="104">
        <f t="shared" si="11"/>
        <v>20000000</v>
      </c>
      <c r="BY9" s="104" t="s">
        <v>107</v>
      </c>
      <c r="BZ9" s="1">
        <f>SUM(BZ5:BZ8)</f>
        <v>16</v>
      </c>
      <c r="CB9" s="69"/>
      <c r="CC9" s="69"/>
      <c r="CD9" s="69"/>
      <c r="CE9" s="69"/>
      <c r="CI9" s="48" t="str">
        <f t="shared" si="12"/>
        <v>A1-5</v>
      </c>
      <c r="CJ9" s="12">
        <f t="shared" si="13"/>
        <v>44252</v>
      </c>
      <c r="CK9" s="105">
        <f t="shared" si="14"/>
        <v>22972673.761021584</v>
      </c>
      <c r="CL9" s="105">
        <f t="shared" si="15"/>
        <v>8000000</v>
      </c>
      <c r="CN9" s="104">
        <v>80000000</v>
      </c>
      <c r="CO9" s="1">
        <f>COUNTIF($CL:$CL,CN9)</f>
        <v>1</v>
      </c>
      <c r="CQ9" s="69"/>
      <c r="CR9" s="69"/>
      <c r="CS9" s="69"/>
      <c r="CT9" s="69"/>
      <c r="CX9" s="48" t="str">
        <f t="shared" si="16"/>
        <v>N2-5</v>
      </c>
      <c r="CY9" s="12">
        <f t="shared" si="17"/>
        <v>44735</v>
      </c>
      <c r="CZ9" s="103">
        <f t="shared" si="18"/>
        <v>57463937.245363325</v>
      </c>
      <c r="DA9" s="104">
        <f t="shared" si="19"/>
        <v>40000000</v>
      </c>
      <c r="DC9" s="104">
        <v>60000000</v>
      </c>
      <c r="DD9" s="1">
        <f>COUNTIF($DA:$DA,DC9)</f>
        <v>1</v>
      </c>
      <c r="DF9" s="69"/>
      <c r="DG9" s="69"/>
      <c r="DH9" s="69"/>
      <c r="DI9" s="69"/>
      <c r="DM9" s="48" t="str">
        <f t="shared" si="20"/>
        <v>A2-5</v>
      </c>
      <c r="DN9" s="12">
        <f t="shared" si="21"/>
        <v>44847</v>
      </c>
      <c r="DO9" s="103">
        <f t="shared" si="22"/>
        <v>77692655.761629671</v>
      </c>
      <c r="DP9" s="104">
        <f t="shared" si="23"/>
        <v>50000000</v>
      </c>
      <c r="DR9" s="104">
        <v>100000000</v>
      </c>
      <c r="DS9" s="1">
        <f t="shared" si="24"/>
        <v>2</v>
      </c>
      <c r="DU9" s="69"/>
      <c r="DV9" s="69"/>
      <c r="DW9" s="69"/>
      <c r="DX9" s="69"/>
      <c r="EB9" s="69"/>
      <c r="EC9" s="69"/>
      <c r="ED9" s="69"/>
      <c r="EE9" s="69"/>
      <c r="EI9" s="47" t="str">
        <f t="shared" si="25"/>
        <v>FY18-5</v>
      </c>
      <c r="EJ9" s="16">
        <v>42950</v>
      </c>
      <c r="EK9" s="103">
        <v>17372581.597377952</v>
      </c>
      <c r="EL9" s="104">
        <f t="shared" si="26"/>
        <v>6000000</v>
      </c>
      <c r="EN9" s="104">
        <v>12000000</v>
      </c>
      <c r="EO9" s="1">
        <f t="shared" si="27"/>
        <v>1</v>
      </c>
      <c r="EQ9" s="69"/>
      <c r="ER9" s="69"/>
      <c r="ES9" s="69"/>
      <c r="ET9" s="69"/>
      <c r="EX9" s="16" t="s">
        <v>33</v>
      </c>
      <c r="EY9" s="16">
        <v>43314</v>
      </c>
      <c r="EZ9" s="103">
        <v>47637119.898283519</v>
      </c>
      <c r="FA9" s="104">
        <v>50000000</v>
      </c>
      <c r="FC9" s="104">
        <v>25000000</v>
      </c>
      <c r="FD9" s="1">
        <f t="shared" si="28"/>
        <v>1</v>
      </c>
      <c r="FF9" s="69"/>
      <c r="FG9" s="69"/>
      <c r="FH9" s="69"/>
      <c r="FI9" s="69"/>
      <c r="FM9" s="69"/>
      <c r="FN9" s="69"/>
      <c r="FO9" s="69"/>
      <c r="FP9" s="69"/>
      <c r="FT9" s="16" t="s">
        <v>39</v>
      </c>
      <c r="FU9" s="16">
        <v>43678</v>
      </c>
      <c r="FV9" s="103">
        <v>17621573.612228479</v>
      </c>
      <c r="FW9" s="104">
        <v>8000000</v>
      </c>
      <c r="FY9" s="104">
        <v>20000000</v>
      </c>
      <c r="FZ9" s="1">
        <f t="shared" si="29"/>
        <v>6</v>
      </c>
      <c r="GB9" s="69"/>
      <c r="GC9" s="69"/>
      <c r="GD9" s="69"/>
      <c r="GE9" s="69"/>
      <c r="GI9" s="69"/>
      <c r="GJ9" s="69"/>
      <c r="GK9" s="70">
        <v>0.79149999999999998</v>
      </c>
      <c r="GL9" s="70">
        <v>15.211</v>
      </c>
      <c r="GP9" s="16" t="s">
        <v>38</v>
      </c>
      <c r="GQ9" s="16">
        <v>44042</v>
      </c>
      <c r="GR9" s="103">
        <v>44346019.337184548</v>
      </c>
      <c r="GS9" s="104">
        <v>20000000</v>
      </c>
      <c r="GU9" s="104">
        <v>40000000</v>
      </c>
      <c r="GV9" s="1">
        <f t="shared" si="30"/>
        <v>3</v>
      </c>
      <c r="GX9" s="69"/>
      <c r="GY9" s="69"/>
      <c r="GZ9" s="69"/>
      <c r="HA9" s="69"/>
      <c r="HE9" s="16" t="s">
        <v>35</v>
      </c>
      <c r="HF9" s="16">
        <v>44406</v>
      </c>
      <c r="HG9" s="103">
        <v>57263651.200972937</v>
      </c>
      <c r="HH9" s="104">
        <v>40000000</v>
      </c>
      <c r="HJ9" s="104">
        <v>30000000</v>
      </c>
      <c r="HK9" s="1">
        <f t="shared" si="31"/>
        <v>1</v>
      </c>
      <c r="HM9" s="69"/>
      <c r="HN9" s="69"/>
      <c r="HO9" s="69"/>
      <c r="HP9" s="69"/>
      <c r="HT9" s="69"/>
      <c r="HU9" s="69"/>
      <c r="HV9" s="69"/>
      <c r="HW9" s="69"/>
      <c r="IA9" s="16" t="s">
        <v>37</v>
      </c>
      <c r="IB9" s="16">
        <v>44777</v>
      </c>
      <c r="IC9" s="103">
        <v>24328928.428093642</v>
      </c>
      <c r="ID9" s="104">
        <v>8000000</v>
      </c>
      <c r="IF9" s="104">
        <v>30000000</v>
      </c>
      <c r="IG9" s="1">
        <f t="shared" si="47"/>
        <v>4</v>
      </c>
      <c r="II9" s="69"/>
      <c r="IJ9" s="69"/>
      <c r="IK9" s="69"/>
      <c r="IL9" s="69"/>
      <c r="IP9" s="69"/>
      <c r="IQ9" s="69"/>
      <c r="IR9" s="69"/>
      <c r="IS9" s="69"/>
      <c r="IW9" s="16" t="s">
        <v>169</v>
      </c>
      <c r="IX9" s="12">
        <v>44042</v>
      </c>
      <c r="IY9" s="103">
        <v>44346019.337184548</v>
      </c>
      <c r="IZ9" s="104">
        <v>20000000</v>
      </c>
      <c r="JB9" s="104">
        <v>30000000</v>
      </c>
      <c r="JC9" s="1">
        <f t="shared" si="48"/>
        <v>4</v>
      </c>
      <c r="JE9" s="69"/>
      <c r="JF9" s="69"/>
      <c r="JG9" s="69"/>
      <c r="JH9" s="69"/>
      <c r="JI9" s="69"/>
      <c r="JJ9" s="69"/>
      <c r="JN9" s="69"/>
      <c r="JO9" s="69"/>
      <c r="JP9" s="69"/>
      <c r="JQ9" s="69"/>
      <c r="JR9" s="69"/>
      <c r="JS9" s="69"/>
      <c r="JT9" s="69"/>
      <c r="JU9" s="69"/>
      <c r="JY9" s="16" t="s">
        <v>83</v>
      </c>
      <c r="JZ9" s="16">
        <v>42950</v>
      </c>
      <c r="KA9" s="103">
        <v>17316640</v>
      </c>
      <c r="KB9" s="104">
        <v>6000000</v>
      </c>
      <c r="KD9" s="104">
        <v>25000000</v>
      </c>
      <c r="KE9" s="1">
        <f t="shared" si="32"/>
        <v>1</v>
      </c>
      <c r="KG9" s="16" t="s">
        <v>82</v>
      </c>
      <c r="KH9" s="16">
        <v>43132</v>
      </c>
      <c r="KI9" s="103">
        <v>12804440</v>
      </c>
      <c r="KJ9" s="104">
        <v>3000000</v>
      </c>
      <c r="KL9" s="104">
        <v>12000000</v>
      </c>
      <c r="KM9" s="1">
        <f t="shared" si="33"/>
        <v>1</v>
      </c>
      <c r="KO9" s="16" t="s">
        <v>81</v>
      </c>
      <c r="KP9" s="16">
        <v>43314</v>
      </c>
      <c r="KQ9" s="103">
        <v>47926296</v>
      </c>
      <c r="KR9" s="104">
        <v>50000000</v>
      </c>
      <c r="KT9" s="104">
        <v>25000000</v>
      </c>
      <c r="KU9" s="1">
        <f t="shared" si="34"/>
        <v>1</v>
      </c>
      <c r="KW9" s="16" t="s">
        <v>79</v>
      </c>
      <c r="KX9" s="16">
        <v>43496</v>
      </c>
      <c r="KY9" s="103">
        <v>18353082</v>
      </c>
      <c r="KZ9" s="104">
        <v>8000000</v>
      </c>
      <c r="LB9" s="104">
        <v>30000000</v>
      </c>
      <c r="LC9" s="1">
        <f t="shared" si="35"/>
        <v>3</v>
      </c>
      <c r="LE9" s="16" t="s">
        <v>78</v>
      </c>
      <c r="LF9" s="16">
        <v>43678</v>
      </c>
      <c r="LG9" s="103">
        <v>17353842</v>
      </c>
      <c r="LH9" s="104">
        <v>8000000</v>
      </c>
      <c r="LJ9" s="104">
        <v>20000000</v>
      </c>
      <c r="LK9" s="1">
        <f t="shared" si="36"/>
        <v>2</v>
      </c>
      <c r="LM9" s="16" t="s">
        <v>77</v>
      </c>
      <c r="LN9" s="16">
        <v>43860</v>
      </c>
      <c r="LO9" s="103">
        <v>45149214</v>
      </c>
      <c r="LP9" s="104">
        <v>40000000</v>
      </c>
      <c r="LR9" s="104">
        <v>20000000</v>
      </c>
      <c r="LS9" s="1">
        <f t="shared" si="37"/>
        <v>3</v>
      </c>
      <c r="LU9" s="16" t="s">
        <v>70</v>
      </c>
      <c r="LV9" s="16">
        <v>44042</v>
      </c>
      <c r="LW9" s="103">
        <v>43057278</v>
      </c>
      <c r="LX9" s="104">
        <v>20000000</v>
      </c>
      <c r="LZ9" s="104">
        <v>50000000</v>
      </c>
      <c r="MA9" s="1">
        <f t="shared" si="38"/>
        <v>1</v>
      </c>
      <c r="MC9" s="16" t="s">
        <v>86</v>
      </c>
      <c r="MD9" s="16">
        <v>44231</v>
      </c>
      <c r="ME9" s="103">
        <v>38101404</v>
      </c>
      <c r="MF9" s="104">
        <v>20000000</v>
      </c>
      <c r="MH9" s="104">
        <v>40000000</v>
      </c>
      <c r="MI9" s="1">
        <f t="shared" si="39"/>
        <v>1</v>
      </c>
      <c r="MK9" s="16" t="s">
        <v>69</v>
      </c>
      <c r="ML9" s="16">
        <v>44406</v>
      </c>
      <c r="MM9" s="103">
        <v>57623148</v>
      </c>
      <c r="MN9" s="104">
        <v>40000000</v>
      </c>
      <c r="MP9" s="104">
        <v>40000000</v>
      </c>
      <c r="MQ9" s="1">
        <f t="shared" si="40"/>
        <v>3</v>
      </c>
      <c r="MS9" s="16" t="s">
        <v>76</v>
      </c>
      <c r="MT9" s="16">
        <v>44595</v>
      </c>
      <c r="MU9" s="103">
        <v>57394590</v>
      </c>
      <c r="MV9" s="104">
        <v>40000000</v>
      </c>
      <c r="MX9" s="104">
        <v>40000000</v>
      </c>
      <c r="MY9" s="1">
        <f t="shared" si="41"/>
        <v>3</v>
      </c>
      <c r="NA9" s="16" t="s">
        <v>110</v>
      </c>
      <c r="NB9" s="16">
        <v>42866</v>
      </c>
      <c r="NC9" s="103">
        <v>67043240</v>
      </c>
      <c r="ND9" s="104">
        <v>50000000</v>
      </c>
      <c r="NF9" s="104">
        <v>25000000</v>
      </c>
      <c r="NG9" s="1">
        <f t="shared" si="42"/>
        <v>1</v>
      </c>
      <c r="NI9" s="69"/>
      <c r="NJ9" s="69"/>
      <c r="NK9" s="69"/>
      <c r="NL9" s="69"/>
      <c r="NP9" s="16" t="s">
        <v>34</v>
      </c>
      <c r="NQ9" s="16">
        <v>43237</v>
      </c>
      <c r="NR9" s="103">
        <v>26383104</v>
      </c>
      <c r="NS9" s="104">
        <v>20000000</v>
      </c>
      <c r="NU9" s="104">
        <v>25000000</v>
      </c>
      <c r="NV9" s="1">
        <f t="shared" si="43"/>
        <v>1</v>
      </c>
      <c r="NX9" s="69"/>
      <c r="NY9" s="69"/>
      <c r="NZ9" s="69"/>
      <c r="OA9" s="69"/>
    </row>
    <row r="10" spans="1:393" x14ac:dyDescent="0.25">
      <c r="B10" s="5"/>
      <c r="C10" s="5"/>
      <c r="D10" s="5"/>
      <c r="F10" s="5" t="s">
        <v>33</v>
      </c>
      <c r="G10" s="51">
        <f t="shared" ref="G10:G16" si="51">H9+1</f>
        <v>43282</v>
      </c>
      <c r="H10" s="51">
        <f t="shared" si="49"/>
        <v>43646</v>
      </c>
      <c r="I10" s="50">
        <f t="shared" si="50"/>
        <v>52</v>
      </c>
      <c r="K10" s="7">
        <v>6</v>
      </c>
      <c r="M10" s="5" t="str" cm="1">
        <f t="array" ref="M10">LOOKUP(2,1/($G$19:$G$35&lt;=$V10)/($H$19:$H$35&gt;=$V10),$F$19:$F$35)</f>
        <v>2H17</v>
      </c>
      <c r="N10" s="5" t="str" cm="1">
        <f t="array" ref="N10">LOOKUP(2,1/($G$8:$G$16&lt;=$V10)/($H$8:$H$16&gt;=$V10),$F$8:$F$16)</f>
        <v>FY17</v>
      </c>
      <c r="O10" s="5" t="str">
        <f>IFERROR(N10&amp;"-"&amp;COUNTIF($N$10:N19,N10),NA())</f>
        <v>FY17-10</v>
      </c>
      <c r="P10" s="5">
        <f>COUNTIF(V$10:V19,"&gt;="&amp;MAX($V:$V)-183)</f>
        <v>0</v>
      </c>
      <c r="Q10" s="5">
        <f>COUNTIF(V$10:V19,"&gt;="&amp;MAX($V:$V)-365)</f>
        <v>0</v>
      </c>
      <c r="R10" s="5" cm="1">
        <f t="array" ref="R10">LOOKUP(2,1/($G$46:$G$50&lt;=$V10)/($H$46:$H$50&gt;=$V10),$F$46:$F$50)</f>
        <v>0</v>
      </c>
      <c r="S10" s="5" cm="1">
        <f t="array" ref="S10">LOOKUP(2,1/($G$53:$G$56&lt;=$V10)/($H$53:$H$56&gt;=$V10),$F$53:$F$56)</f>
        <v>0</v>
      </c>
      <c r="T10" s="5" t="e">
        <f>IFERROR(IF($R10&gt;0,$R10&amp;"-"&amp;COUNTIF($R$10:$R19,$R10),NA()),NA())</f>
        <v>#N/A</v>
      </c>
      <c r="U10" s="5" t="e">
        <f>IFERROR(IF($S10&gt;0,$S10&amp;"-"&amp;COUNTIF($S$10:$S19,$S10),NA()),NA())</f>
        <v>#N/A</v>
      </c>
      <c r="V10" s="10">
        <v>42775</v>
      </c>
      <c r="W10" s="101">
        <v>24381470.981542174</v>
      </c>
      <c r="X10" s="101">
        <v>22651605.615401756</v>
      </c>
      <c r="Y10" s="102">
        <v>15000000</v>
      </c>
      <c r="AA10" s="48">
        <f t="shared" si="44"/>
        <v>6</v>
      </c>
      <c r="AB10" s="12">
        <f t="shared" si="0"/>
        <v>45057</v>
      </c>
      <c r="AC10" s="103">
        <f t="shared" si="1"/>
        <v>19348700.760109454</v>
      </c>
      <c r="AD10" s="104">
        <f t="shared" si="2"/>
        <v>4000000</v>
      </c>
      <c r="AF10" s="104">
        <v>50000000</v>
      </c>
      <c r="AG10" s="1">
        <f t="shared" si="3"/>
        <v>0</v>
      </c>
      <c r="AI10" s="2" t="s">
        <v>41</v>
      </c>
      <c r="AJ10" s="2" t="s">
        <v>25</v>
      </c>
      <c r="AP10" s="2" t="s">
        <v>41</v>
      </c>
      <c r="AQ10" s="2" t="s">
        <v>25</v>
      </c>
      <c r="AW10" s="48">
        <f t="shared" si="45"/>
        <v>6</v>
      </c>
      <c r="AX10" s="12">
        <f t="shared" si="4"/>
        <v>44875</v>
      </c>
      <c r="AY10" s="103">
        <f t="shared" si="5"/>
        <v>44321005.290361807</v>
      </c>
      <c r="AZ10" s="104">
        <f t="shared" si="6"/>
        <v>20000000</v>
      </c>
      <c r="BB10" s="104">
        <v>40000000</v>
      </c>
      <c r="BC10" s="1">
        <f t="shared" si="7"/>
        <v>6</v>
      </c>
      <c r="BD10" s="104">
        <f t="shared" si="46"/>
        <v>59007872.198663272</v>
      </c>
      <c r="BF10" s="2" t="s">
        <v>41</v>
      </c>
      <c r="BG10" s="2" t="s">
        <v>25</v>
      </c>
      <c r="BM10" s="2" t="s">
        <v>41</v>
      </c>
      <c r="BN10" s="2" t="s">
        <v>25</v>
      </c>
      <c r="BT10" s="48" t="str">
        <f t="shared" si="8"/>
        <v>N1-6</v>
      </c>
      <c r="BU10" s="12">
        <f t="shared" si="9"/>
        <v>44147</v>
      </c>
      <c r="BV10" s="103">
        <f t="shared" si="10"/>
        <v>17490034.417756159</v>
      </c>
      <c r="BW10" s="104">
        <f t="shared" si="11"/>
        <v>3000000</v>
      </c>
      <c r="BY10" s="104"/>
      <c r="CB10" s="2" t="s">
        <v>41</v>
      </c>
      <c r="CC10" s="2" t="s">
        <v>25</v>
      </c>
      <c r="CI10" s="48" t="str">
        <f t="shared" si="12"/>
        <v>A1-6</v>
      </c>
      <c r="CJ10" s="12">
        <f t="shared" si="13"/>
        <v>44259</v>
      </c>
      <c r="CK10" s="105">
        <f t="shared" si="14"/>
        <v>37058402.918820314</v>
      </c>
      <c r="CL10" s="105">
        <f t="shared" si="15"/>
        <v>20000000</v>
      </c>
      <c r="CN10" s="104" t="s">
        <v>107</v>
      </c>
      <c r="CO10" s="1">
        <f>SUM(CO5:CO9)</f>
        <v>16</v>
      </c>
      <c r="CQ10" s="2" t="s">
        <v>41</v>
      </c>
      <c r="CR10" s="2" t="s">
        <v>25</v>
      </c>
      <c r="CX10" s="48" t="str">
        <f t="shared" si="16"/>
        <v>N2-6</v>
      </c>
      <c r="CY10" s="12">
        <f t="shared" si="17"/>
        <v>44742</v>
      </c>
      <c r="CZ10" s="103">
        <f t="shared" si="18"/>
        <v>77836461.903314069</v>
      </c>
      <c r="DA10" s="104">
        <f t="shared" si="19"/>
        <v>60000000</v>
      </c>
      <c r="DC10" s="104" t="s">
        <v>107</v>
      </c>
      <c r="DD10" s="1">
        <f>SUM(DD5:DD9)</f>
        <v>16</v>
      </c>
      <c r="DF10" s="2" t="s">
        <v>41</v>
      </c>
      <c r="DG10" s="2" t="s">
        <v>25</v>
      </c>
      <c r="DM10" s="48" t="str">
        <f t="shared" si="20"/>
        <v>A2-6</v>
      </c>
      <c r="DN10" s="12">
        <f t="shared" si="21"/>
        <v>44854</v>
      </c>
      <c r="DO10" s="103">
        <f t="shared" si="22"/>
        <v>183084473.09212527</v>
      </c>
      <c r="DP10" s="104">
        <f t="shared" si="23"/>
        <v>100000000</v>
      </c>
      <c r="DR10" s="104">
        <v>160000000</v>
      </c>
      <c r="DS10" s="1">
        <f t="shared" si="24"/>
        <v>1</v>
      </c>
      <c r="DU10" s="2" t="s">
        <v>41</v>
      </c>
      <c r="DV10" s="2" t="s">
        <v>25</v>
      </c>
      <c r="EB10" s="2" t="s">
        <v>41</v>
      </c>
      <c r="EC10" s="2" t="s">
        <v>25</v>
      </c>
      <c r="EI10" s="47" t="str">
        <f t="shared" si="25"/>
        <v>FY18-6</v>
      </c>
      <c r="EJ10" s="16">
        <v>42957</v>
      </c>
      <c r="EK10" s="103">
        <v>13797288.766603414</v>
      </c>
      <c r="EL10" s="104">
        <f t="shared" si="26"/>
        <v>3000000</v>
      </c>
      <c r="EN10" s="104">
        <v>15000000</v>
      </c>
      <c r="EO10" s="1">
        <f t="shared" si="27"/>
        <v>4</v>
      </c>
      <c r="EQ10" s="2" t="s">
        <v>41</v>
      </c>
      <c r="ER10" s="2" t="s">
        <v>25</v>
      </c>
      <c r="EX10" s="16" t="s">
        <v>33</v>
      </c>
      <c r="EY10" s="16">
        <v>43321</v>
      </c>
      <c r="EZ10" s="103">
        <v>89658851.621106133</v>
      </c>
      <c r="FA10" s="104">
        <v>80000000</v>
      </c>
      <c r="FC10" s="104">
        <v>30000000</v>
      </c>
      <c r="FD10" s="1">
        <f t="shared" si="28"/>
        <v>7</v>
      </c>
      <c r="FF10" s="2" t="s">
        <v>41</v>
      </c>
      <c r="FG10" s="2" t="s">
        <v>25</v>
      </c>
      <c r="FM10" s="2" t="s">
        <v>41</v>
      </c>
      <c r="FN10" s="2" t="s">
        <v>25</v>
      </c>
      <c r="FT10" s="16" t="s">
        <v>39</v>
      </c>
      <c r="FU10" s="16">
        <v>43685</v>
      </c>
      <c r="FV10" s="103">
        <v>22977947.397735007</v>
      </c>
      <c r="FW10" s="104">
        <v>12000000</v>
      </c>
      <c r="FY10" s="104">
        <v>25000000</v>
      </c>
      <c r="FZ10" s="1">
        <f t="shared" si="29"/>
        <v>0</v>
      </c>
      <c r="GB10" s="2" t="s">
        <v>41</v>
      </c>
      <c r="GC10" s="2" t="s">
        <v>25</v>
      </c>
      <c r="GI10" s="2" t="s">
        <v>41</v>
      </c>
      <c r="GJ10" s="2" t="s">
        <v>25</v>
      </c>
      <c r="GP10" s="16" t="s">
        <v>38</v>
      </c>
      <c r="GQ10" s="16">
        <v>44049</v>
      </c>
      <c r="GR10" s="103">
        <v>19730848.28215263</v>
      </c>
      <c r="GS10" s="104">
        <v>3000000</v>
      </c>
      <c r="GU10" s="104">
        <v>50000000</v>
      </c>
      <c r="GV10" s="1">
        <f t="shared" si="30"/>
        <v>4</v>
      </c>
      <c r="GX10" s="2" t="s">
        <v>41</v>
      </c>
      <c r="GY10" s="2" t="s">
        <v>25</v>
      </c>
      <c r="HE10" s="16" t="s">
        <v>35</v>
      </c>
      <c r="HF10" s="16">
        <v>44413</v>
      </c>
      <c r="HG10" s="103">
        <v>80092385.770750985</v>
      </c>
      <c r="HH10" s="104">
        <v>60000000</v>
      </c>
      <c r="HJ10" s="104">
        <v>40000000</v>
      </c>
      <c r="HK10" s="1">
        <f t="shared" si="31"/>
        <v>6</v>
      </c>
      <c r="HM10" s="2" t="s">
        <v>41</v>
      </c>
      <c r="HN10" s="2" t="s">
        <v>25</v>
      </c>
      <c r="HT10" s="2" t="s">
        <v>41</v>
      </c>
      <c r="HU10" s="2" t="s">
        <v>25</v>
      </c>
      <c r="IA10" s="16" t="s">
        <v>37</v>
      </c>
      <c r="IB10" s="16">
        <v>44784</v>
      </c>
      <c r="IC10" s="103">
        <v>39456376.284584977</v>
      </c>
      <c r="ID10" s="104">
        <v>20000000</v>
      </c>
      <c r="IF10" s="104">
        <v>40000000</v>
      </c>
      <c r="IG10" s="1">
        <f t="shared" si="47"/>
        <v>4</v>
      </c>
      <c r="II10" s="2" t="s">
        <v>41</v>
      </c>
      <c r="IJ10" s="2" t="s">
        <v>25</v>
      </c>
      <c r="IP10" s="2" t="s">
        <v>41</v>
      </c>
      <c r="IQ10" s="2" t="s">
        <v>25</v>
      </c>
      <c r="IW10" s="16" t="s">
        <v>169</v>
      </c>
      <c r="IX10" s="12">
        <v>44049</v>
      </c>
      <c r="IY10" s="103">
        <v>19730848.28215263</v>
      </c>
      <c r="IZ10" s="104">
        <v>3000000</v>
      </c>
      <c r="JB10" s="104">
        <v>40000000</v>
      </c>
      <c r="JC10" s="1">
        <f t="shared" si="48"/>
        <v>4</v>
      </c>
      <c r="JE10" s="2" t="s">
        <v>41</v>
      </c>
      <c r="JF10" s="2" t="s">
        <v>25</v>
      </c>
      <c r="JN10" s="2" t="s">
        <v>41</v>
      </c>
      <c r="JO10" s="2" t="s">
        <v>25</v>
      </c>
      <c r="JY10" s="16" t="s">
        <v>83</v>
      </c>
      <c r="JZ10" s="16">
        <v>42957</v>
      </c>
      <c r="KA10" s="103">
        <v>13752860</v>
      </c>
      <c r="KB10" s="104">
        <v>3000000</v>
      </c>
      <c r="KD10" s="104">
        <v>30000000</v>
      </c>
      <c r="KE10" s="1">
        <f t="shared" si="32"/>
        <v>1</v>
      </c>
      <c r="KG10" s="16" t="s">
        <v>82</v>
      </c>
      <c r="KH10" s="16">
        <v>43139</v>
      </c>
      <c r="KI10" s="103">
        <v>16166920</v>
      </c>
      <c r="KJ10" s="104">
        <v>6000000</v>
      </c>
      <c r="KL10" s="104">
        <v>15000000</v>
      </c>
      <c r="KM10" s="1">
        <f t="shared" si="33"/>
        <v>1</v>
      </c>
      <c r="KO10" s="16" t="s">
        <v>81</v>
      </c>
      <c r="KP10" s="16">
        <v>43321</v>
      </c>
      <c r="KQ10" s="103">
        <v>90542232</v>
      </c>
      <c r="KR10" s="104">
        <v>80000000</v>
      </c>
      <c r="KT10" s="104">
        <v>30000000</v>
      </c>
      <c r="KU10" s="1">
        <f t="shared" si="34"/>
        <v>4</v>
      </c>
      <c r="KW10" s="16" t="s">
        <v>79</v>
      </c>
      <c r="KX10" s="16">
        <v>43503</v>
      </c>
      <c r="KY10" s="103">
        <v>25782900</v>
      </c>
      <c r="KZ10" s="104">
        <v>12000000</v>
      </c>
      <c r="LB10" s="104">
        <v>40000000</v>
      </c>
      <c r="LC10" s="1">
        <f t="shared" si="35"/>
        <v>2</v>
      </c>
      <c r="LE10" s="16" t="s">
        <v>78</v>
      </c>
      <c r="LF10" s="16">
        <v>43685</v>
      </c>
      <c r="LG10" s="103">
        <v>24165636</v>
      </c>
      <c r="LH10" s="104">
        <v>12000000</v>
      </c>
      <c r="LJ10" s="104">
        <v>25000000</v>
      </c>
      <c r="LK10" s="1">
        <f t="shared" si="36"/>
        <v>1</v>
      </c>
      <c r="LM10" s="16" t="s">
        <v>77</v>
      </c>
      <c r="LN10" s="16">
        <v>43867</v>
      </c>
      <c r="LO10" s="103">
        <v>66948090</v>
      </c>
      <c r="LP10" s="104">
        <v>60000000</v>
      </c>
      <c r="LR10" s="104">
        <v>30000000</v>
      </c>
      <c r="LS10" s="1">
        <f t="shared" si="37"/>
        <v>1</v>
      </c>
      <c r="LU10" s="16" t="s">
        <v>70</v>
      </c>
      <c r="LV10" s="16">
        <v>44049</v>
      </c>
      <c r="LW10" s="103">
        <v>21741192</v>
      </c>
      <c r="LX10" s="104">
        <v>3000000</v>
      </c>
      <c r="LZ10" s="104">
        <v>60000000</v>
      </c>
      <c r="MA10" s="1">
        <f t="shared" si="38"/>
        <v>1</v>
      </c>
      <c r="MC10" s="16" t="s">
        <v>86</v>
      </c>
      <c r="MD10" s="16">
        <v>44238</v>
      </c>
      <c r="ME10" s="103">
        <v>48254778</v>
      </c>
      <c r="MF10" s="104">
        <v>30000000</v>
      </c>
      <c r="MH10" s="104">
        <v>50000000</v>
      </c>
      <c r="MI10" s="1">
        <f t="shared" si="39"/>
        <v>3</v>
      </c>
      <c r="MK10" s="16" t="s">
        <v>69</v>
      </c>
      <c r="ML10" s="16">
        <v>44413</v>
      </c>
      <c r="MM10" s="103">
        <v>81825282</v>
      </c>
      <c r="MN10" s="104">
        <v>60000000</v>
      </c>
      <c r="MP10" s="104">
        <v>60000000</v>
      </c>
      <c r="MQ10" s="1">
        <f t="shared" si="40"/>
        <v>4</v>
      </c>
      <c r="MS10" s="16" t="s">
        <v>76</v>
      </c>
      <c r="MT10" s="16">
        <v>44602</v>
      </c>
      <c r="MU10" s="103">
        <v>79079748</v>
      </c>
      <c r="MV10" s="104">
        <v>60000000</v>
      </c>
      <c r="MX10" s="104">
        <v>60000000</v>
      </c>
      <c r="MY10" s="1">
        <f t="shared" si="41"/>
        <v>4</v>
      </c>
      <c r="NA10" s="16" t="s">
        <v>110</v>
      </c>
      <c r="NB10" s="16">
        <v>42873</v>
      </c>
      <c r="NC10" s="103">
        <v>13684880</v>
      </c>
      <c r="ND10" s="104">
        <v>3000000</v>
      </c>
      <c r="NF10" s="104">
        <v>30000000</v>
      </c>
      <c r="NG10" s="1">
        <f t="shared" si="42"/>
        <v>4</v>
      </c>
      <c r="NI10" s="2" t="s">
        <v>41</v>
      </c>
      <c r="NJ10" s="2" t="s">
        <v>25</v>
      </c>
      <c r="NP10" s="16" t="s">
        <v>34</v>
      </c>
      <c r="NQ10" s="16">
        <v>43244</v>
      </c>
      <c r="NR10" s="103">
        <v>36245220</v>
      </c>
      <c r="NS10" s="104">
        <v>30000000</v>
      </c>
      <c r="NU10" s="104">
        <v>30000000</v>
      </c>
      <c r="NV10" s="1">
        <f t="shared" si="43"/>
        <v>6</v>
      </c>
      <c r="NX10" s="2" t="s">
        <v>41</v>
      </c>
      <c r="NY10" s="2" t="s">
        <v>25</v>
      </c>
    </row>
    <row r="11" spans="1:393" x14ac:dyDescent="0.25">
      <c r="B11" s="57" t="s">
        <v>116</v>
      </c>
      <c r="C11" s="57"/>
      <c r="D11" s="57"/>
      <c r="F11" s="5" t="s">
        <v>39</v>
      </c>
      <c r="G11" s="51">
        <f t="shared" si="51"/>
        <v>43647</v>
      </c>
      <c r="H11" s="51">
        <f t="shared" si="49"/>
        <v>44012</v>
      </c>
      <c r="I11" s="50">
        <f t="shared" si="50"/>
        <v>52</v>
      </c>
      <c r="K11" s="7">
        <v>7</v>
      </c>
      <c r="M11" s="5" t="str" cm="1">
        <f t="array" ref="M11">LOOKUP(2,1/($G$19:$G$35&lt;=$V11)/($H$19:$H$35&gt;=$V11),$F$19:$F$35)</f>
        <v>2H17</v>
      </c>
      <c r="N11" s="5" t="str" cm="1">
        <f t="array" ref="N11">LOOKUP(2,1/($G$8:$G$16&lt;=$V11)/($H$8:$H$16&gt;=$V11),$F$8:$F$16)</f>
        <v>FY17</v>
      </c>
      <c r="O11" s="5" t="str">
        <f>IFERROR(N11&amp;"-"&amp;COUNTIF($N$11:N19,N11),NA())</f>
        <v>FY17-9</v>
      </c>
      <c r="P11" s="5">
        <f>COUNTIF(V$11:V19,"&gt;="&amp;MAX($V:$V)-183)</f>
        <v>0</v>
      </c>
      <c r="Q11" s="5">
        <f>COUNTIF(V$11:V19,"&gt;="&amp;MAX($V:$V)-365)</f>
        <v>0</v>
      </c>
      <c r="R11" s="5" cm="1">
        <f t="array" ref="R11">LOOKUP(2,1/($G$46:$G$50&lt;=$V11)/($H$46:$H$50&gt;=$V11),$F$46:$F$50)</f>
        <v>0</v>
      </c>
      <c r="S11" s="5" cm="1">
        <f t="array" ref="S11">LOOKUP(2,1/($G$53:$G$56&lt;=$V11)/($H$53:$H$56&gt;=$V11),$F$53:$F$56)</f>
        <v>0</v>
      </c>
      <c r="T11" s="5" t="e">
        <f>IFERROR(IF($R11&gt;0,$R11&amp;"-"&amp;COUNTIF($R$11:$R19,$R11),NA()),NA())</f>
        <v>#N/A</v>
      </c>
      <c r="U11" s="5" t="e">
        <f>IFERROR(IF($S11&gt;0,$S11&amp;"-"&amp;COUNTIF($S$11:$S19,$S11),NA()),NA())</f>
        <v>#N/A</v>
      </c>
      <c r="V11" s="10">
        <v>42782</v>
      </c>
      <c r="W11" s="101">
        <v>12555901.364498878</v>
      </c>
      <c r="X11" s="101">
        <v>11665060.162687682</v>
      </c>
      <c r="Y11" s="102">
        <v>3000000</v>
      </c>
      <c r="AA11" s="48">
        <f t="shared" si="44"/>
        <v>7</v>
      </c>
      <c r="AB11" s="12">
        <f t="shared" si="0"/>
        <v>45064</v>
      </c>
      <c r="AC11" s="103">
        <f t="shared" si="1"/>
        <v>19409982.487078138</v>
      </c>
      <c r="AD11" s="104">
        <f t="shared" si="2"/>
        <v>4000000</v>
      </c>
      <c r="AF11" s="104">
        <v>60000000</v>
      </c>
      <c r="AG11" s="1">
        <f t="shared" si="3"/>
        <v>3</v>
      </c>
      <c r="AI11" s="40">
        <v>60</v>
      </c>
      <c r="AJ11" s="39">
        <f t="shared" ref="AJ11:AJ25" si="52">($AJ$8*AI11^2+$AK$8*AI11+$AL$8)*1000000</f>
        <v>107435800</v>
      </c>
      <c r="AK11" s="40">
        <v>210</v>
      </c>
      <c r="AL11" s="39">
        <f t="shared" ref="AL11:AL25" si="53">($AJ$8*AK11^2+$AK$8*AK11+$AL$8)*1000000</f>
        <v>356795800.00000006</v>
      </c>
      <c r="AP11" s="40">
        <v>60</v>
      </c>
      <c r="AQ11" s="39">
        <f t="shared" ref="AQ11:AQ25" si="54">($AQ$8*AP11^2+$AR$8*AP11+$AS$8)*1000000</f>
        <v>84815999.999999985</v>
      </c>
      <c r="AR11" s="40">
        <v>210</v>
      </c>
      <c r="AS11" s="39">
        <f t="shared" ref="AS11:AS25" si="55">($AQ$8*AR11^2+$AR$8*AR11+$AS$8)*1000000</f>
        <v>254601000</v>
      </c>
      <c r="AW11" s="48">
        <f t="shared" si="45"/>
        <v>7</v>
      </c>
      <c r="AX11" s="12">
        <f t="shared" si="4"/>
        <v>44882</v>
      </c>
      <c r="AY11" s="103">
        <f t="shared" si="5"/>
        <v>51026175.37245363</v>
      </c>
      <c r="AZ11" s="104">
        <f t="shared" si="6"/>
        <v>30000000</v>
      </c>
      <c r="BB11" s="104">
        <v>50000000</v>
      </c>
      <c r="BC11" s="1">
        <f t="shared" si="7"/>
        <v>3</v>
      </c>
      <c r="BD11" s="104">
        <f t="shared" si="46"/>
        <v>74897735.887301102</v>
      </c>
      <c r="BF11" s="40">
        <v>60</v>
      </c>
      <c r="BG11" s="39">
        <f t="shared" ref="BG11:BG25" si="56">($BG$8*BF11^2+$BH$8*BF11+$BI$8)*1000000</f>
        <v>103108800</v>
      </c>
      <c r="BH11" s="40">
        <v>210</v>
      </c>
      <c r="BI11" s="39">
        <f t="shared" ref="BI11:BI25" si="57">($BG$8*BH11^2+$BH$8*BH11+$BI$8)*1000000</f>
        <v>340873799.99999994</v>
      </c>
      <c r="BM11" s="40">
        <v>60</v>
      </c>
      <c r="BN11" s="39">
        <f t="shared" ref="BN11:BN25" si="58">($BN$8*BM11^2+$BO$8*BM11+$BP$8)*1000000</f>
        <v>85455000.000000015</v>
      </c>
      <c r="BO11" s="40">
        <v>210</v>
      </c>
      <c r="BP11" s="39">
        <f t="shared" ref="BP11:BP25" si="59">($BN$8*BO11^2+$BO$8*BO11+$BP$8)*1000000</f>
        <v>258404999.99999997</v>
      </c>
      <c r="BT11" s="48" t="str">
        <f t="shared" si="8"/>
        <v>N1-7</v>
      </c>
      <c r="BU11" s="12">
        <f t="shared" si="9"/>
        <v>44154</v>
      </c>
      <c r="BV11" s="103">
        <f t="shared" si="10"/>
        <v>23485624.323502589</v>
      </c>
      <c r="BW11" s="104">
        <f t="shared" si="11"/>
        <v>8000000</v>
      </c>
      <c r="BY11" s="55" t="s">
        <v>16</v>
      </c>
      <c r="BZ11" s="54"/>
      <c r="CB11" s="40">
        <v>10</v>
      </c>
      <c r="CC11" s="39">
        <f t="shared" ref="CC11:CC25" si="60">($CC$8*CB11^2+$CD$8*CB11+$CE$8)*1000000</f>
        <v>27847000</v>
      </c>
      <c r="CD11" s="40">
        <v>210</v>
      </c>
      <c r="CE11" s="39">
        <f t="shared" ref="CE11:CE25" si="61">($CC$8*CD11^2+$CD$8*CD11+$CE$8)*1000000</f>
        <v>282547000</v>
      </c>
      <c r="CI11" s="48" t="str">
        <f t="shared" si="12"/>
        <v>A1-7</v>
      </c>
      <c r="CJ11" s="12">
        <f t="shared" si="13"/>
        <v>44266</v>
      </c>
      <c r="CK11" s="105">
        <f t="shared" si="14"/>
        <v>45393461.35603527</v>
      </c>
      <c r="CL11" s="105">
        <f t="shared" si="15"/>
        <v>30000000</v>
      </c>
      <c r="CN11" s="104"/>
      <c r="CQ11" s="40">
        <v>10</v>
      </c>
      <c r="CR11" s="39">
        <f t="shared" ref="CR11:CR25" si="62">($CR$8*CQ11^2+$CS$8*CQ11+$CT$8)*1000000</f>
        <v>24445000</v>
      </c>
      <c r="CS11" s="40">
        <v>210</v>
      </c>
      <c r="CT11" s="39">
        <f t="shared" ref="CT11:CT25" si="63">($CR$8*CS11^2+$CS$8*CS11+$CT$8)*1000000</f>
        <v>268065000</v>
      </c>
      <c r="CX11" s="48" t="str">
        <f t="shared" si="16"/>
        <v>N2-7</v>
      </c>
      <c r="CY11" s="12">
        <f t="shared" si="17"/>
        <v>44749</v>
      </c>
      <c r="CZ11" s="103">
        <f t="shared" si="18"/>
        <v>20096787.838248707</v>
      </c>
      <c r="DA11" s="104">
        <f t="shared" si="19"/>
        <v>4000000</v>
      </c>
      <c r="DC11" s="104"/>
      <c r="DF11" s="40">
        <v>10</v>
      </c>
      <c r="DG11" s="39">
        <f t="shared" ref="DG11:DG25" si="64">($DG$8*DF11^2+$DH$8*DF11+$DI$8)*1000000</f>
        <v>28310000</v>
      </c>
      <c r="DH11" s="40">
        <v>210</v>
      </c>
      <c r="DI11" s="39">
        <f t="shared" ref="DI11:DI25" si="65">($DG$8*DH11^2+$DH$8*DH11+$DI$8)*1000000</f>
        <v>238250000</v>
      </c>
      <c r="DM11" s="48" t="str">
        <f t="shared" si="20"/>
        <v>A2-7</v>
      </c>
      <c r="DN11" s="12">
        <f t="shared" si="21"/>
        <v>44861</v>
      </c>
      <c r="DO11" s="103">
        <f t="shared" si="22"/>
        <v>284837413.80358768</v>
      </c>
      <c r="DP11" s="104">
        <f t="shared" si="23"/>
        <v>160000000</v>
      </c>
      <c r="DR11" s="104" t="s">
        <v>107</v>
      </c>
      <c r="DS11" s="1">
        <f>SUM(DS5:DS10)</f>
        <v>16</v>
      </c>
      <c r="DU11" s="40">
        <v>10</v>
      </c>
      <c r="DV11" s="39">
        <f t="shared" ref="DV11:DV25" si="66">($CR$8*DU11^2+$CS$8*DU11+$CT$8)*1000000</f>
        <v>24445000</v>
      </c>
      <c r="DW11" s="40">
        <v>210</v>
      </c>
      <c r="DX11" s="39">
        <f t="shared" ref="DX11:DX25" si="67">($CR$8*DW11^2+$CS$8*DW11+$CT$8)*1000000</f>
        <v>268065000</v>
      </c>
      <c r="EB11" s="40">
        <v>10</v>
      </c>
      <c r="EC11" s="39">
        <f t="shared" ref="EC11:EC25" si="68">($GJ$8*EB11^2+$GK$8*EB11+$GL$8)*1000000</f>
        <v>23126000</v>
      </c>
      <c r="ED11" s="40">
        <v>210</v>
      </c>
      <c r="EE11" s="39">
        <f t="shared" ref="EE11:EE25" si="69">($GJ$8*ED11^2+$GK$8*ED11+$GL$8)*1000000</f>
        <v>181426000.00000003</v>
      </c>
      <c r="EI11" s="47" t="str">
        <f t="shared" si="25"/>
        <v>FY18-7</v>
      </c>
      <c r="EJ11" s="16">
        <v>42964</v>
      </c>
      <c r="EK11" s="103">
        <v>13187465.068138691</v>
      </c>
      <c r="EL11" s="104">
        <f t="shared" si="26"/>
        <v>3000000</v>
      </c>
      <c r="EN11" s="104">
        <v>20000000</v>
      </c>
      <c r="EO11" s="1">
        <f t="shared" si="27"/>
        <v>1</v>
      </c>
      <c r="EQ11" s="40">
        <v>60</v>
      </c>
      <c r="ER11" s="39">
        <f t="shared" ref="ER11:ER25" si="70">($ER$8*EQ11^2+$ES$8*EQ11+$ET$8)*1000000</f>
        <v>73783200.000000015</v>
      </c>
      <c r="ES11" s="40">
        <v>210</v>
      </c>
      <c r="ET11" s="39">
        <f t="shared" ref="ET11:ET25" si="71">($ER$8*ES11^2+$ES$8*ES11+$ET$8)*1000000</f>
        <v>233668200</v>
      </c>
      <c r="EX11" s="16" t="s">
        <v>33</v>
      </c>
      <c r="EY11" s="16">
        <v>43328</v>
      </c>
      <c r="EZ11" s="103">
        <v>169384236.4907819</v>
      </c>
      <c r="FA11" s="104">
        <v>100000000</v>
      </c>
      <c r="FC11" s="104">
        <v>40000000</v>
      </c>
      <c r="FD11" s="1">
        <f t="shared" si="28"/>
        <v>4</v>
      </c>
      <c r="FF11" s="40">
        <v>60</v>
      </c>
      <c r="FG11" s="39">
        <f t="shared" ref="FG11:FG25" si="72">($FG$8*FF11^2+$FH$8*FF11+$FI$8)*1000000</f>
        <v>82378900</v>
      </c>
      <c r="FH11" s="40">
        <v>210</v>
      </c>
      <c r="FI11" s="39">
        <f t="shared" ref="FI11:FI25" si="73">($FG$8*FH11^2+$FH$8*FH11+$FI$8)*1000000</f>
        <v>280828900</v>
      </c>
      <c r="FM11" s="40">
        <v>60</v>
      </c>
      <c r="FN11" s="39">
        <f t="shared" ref="FN11:FN25" si="74">($FN$8*FM11^2+$FO$8*FM11+$FP$8)*1000000</f>
        <v>68371400</v>
      </c>
      <c r="FO11" s="40">
        <v>210</v>
      </c>
      <c r="FP11" s="39">
        <f t="shared" ref="FP11:FP25" si="75">($FN$8*FO11^2+$FO$8*FO11+$FP$8)*1000000</f>
        <v>219001400.00000003</v>
      </c>
      <c r="FT11" s="16" t="s">
        <v>39</v>
      </c>
      <c r="FU11" s="16">
        <v>43692</v>
      </c>
      <c r="FV11" s="103">
        <v>29967446.995482393</v>
      </c>
      <c r="FW11" s="104">
        <v>20000000</v>
      </c>
      <c r="FY11" s="104">
        <v>30000000</v>
      </c>
      <c r="FZ11" s="1">
        <f t="shared" si="29"/>
        <v>2</v>
      </c>
      <c r="GB11" s="40">
        <v>60</v>
      </c>
      <c r="GC11" s="39">
        <f t="shared" ref="GC11:GC25" si="76">($GC$8*GB11^2+$GD$8*GB11+$GE$8)*1000000</f>
        <v>75767000</v>
      </c>
      <c r="GD11" s="40">
        <v>210</v>
      </c>
      <c r="GE11" s="39">
        <f t="shared" ref="GE11:GE25" si="77">($GC$8*GD11^2+$GD$8*GD11+$GE$8)*1000000</f>
        <v>239522000</v>
      </c>
      <c r="GI11" s="40">
        <v>60</v>
      </c>
      <c r="GJ11" s="39">
        <f t="shared" ref="GJ11:GJ25" si="78">($GJ$8*GI11^2+$GK$8*GI11+$GL$8)*1000000</f>
        <v>62701000</v>
      </c>
      <c r="GK11" s="40">
        <v>210</v>
      </c>
      <c r="GL11" s="39">
        <f t="shared" ref="GL11:GL25" si="79">($GJ$8*GK11^2+$GK$8*GK11+$GL$8)*1000000</f>
        <v>181426000.00000003</v>
      </c>
      <c r="GP11" s="16" t="s">
        <v>38</v>
      </c>
      <c r="GQ11" s="16">
        <v>44056</v>
      </c>
      <c r="GR11" s="103">
        <v>26811783.764062021</v>
      </c>
      <c r="GS11" s="104">
        <v>8000000</v>
      </c>
      <c r="GU11" s="104">
        <v>60000000</v>
      </c>
      <c r="GV11" s="1">
        <f t="shared" si="30"/>
        <v>1</v>
      </c>
      <c r="GX11" s="40">
        <v>60</v>
      </c>
      <c r="GY11" s="39">
        <f t="shared" ref="GY11:GY25" si="80">($GY$8*GX11^2+$GZ$8*GX11+$HA$8)*1000000</f>
        <v>84283000</v>
      </c>
      <c r="GZ11" s="40">
        <v>210</v>
      </c>
      <c r="HA11" s="39">
        <f t="shared" ref="HA11:HA25" si="81">($GY$8*GZ11^2+$GZ$8*GZ11+$HA$8)*1000000</f>
        <v>255567999.99999997</v>
      </c>
      <c r="HE11" s="16" t="s">
        <v>35</v>
      </c>
      <c r="HF11" s="16">
        <v>44420</v>
      </c>
      <c r="HG11" s="103">
        <v>125405739.86013986</v>
      </c>
      <c r="HH11" s="104">
        <v>80000000</v>
      </c>
      <c r="HJ11" s="104">
        <v>60000000</v>
      </c>
      <c r="HK11" s="1">
        <f t="shared" si="31"/>
        <v>8</v>
      </c>
      <c r="HM11" s="40">
        <v>60</v>
      </c>
      <c r="HN11" s="39">
        <f t="shared" ref="HN11:HN25" si="82">($HN$8*HM11^2+$HO$8*HM11+$HP$8)*1000000</f>
        <v>94830000</v>
      </c>
      <c r="HO11" s="40">
        <v>210</v>
      </c>
      <c r="HP11" s="39">
        <f t="shared" ref="HP11:HP25" si="83">($HN$8*HO11^2+$HO$8*HO11+$HP$8)*1000000</f>
        <v>302250000.00000006</v>
      </c>
      <c r="HT11" s="40">
        <v>60</v>
      </c>
      <c r="HU11" s="39">
        <f t="shared" ref="HU11:HU25" si="84">($HU$8*HT11^2+$HV$8*HT11+$HW$8)*1000000</f>
        <v>84738999.999999985</v>
      </c>
      <c r="HV11" s="40">
        <v>210</v>
      </c>
      <c r="HW11" s="39">
        <f t="shared" ref="HW11:HW25" si="85">($HU$8*HV11^2+$HV$8*HV11+$HW$8)*1000000</f>
        <v>256923999.99999997</v>
      </c>
      <c r="IA11" s="16" t="s">
        <v>37</v>
      </c>
      <c r="IB11" s="16">
        <v>44791</v>
      </c>
      <c r="IC11" s="103">
        <v>20023645.36333232</v>
      </c>
      <c r="ID11" s="104">
        <v>4000000</v>
      </c>
      <c r="IF11" s="104">
        <v>50000000</v>
      </c>
      <c r="IG11" s="1">
        <f t="shared" si="47"/>
        <v>3</v>
      </c>
      <c r="II11" s="40">
        <v>60</v>
      </c>
      <c r="IJ11" s="39">
        <f t="shared" ref="IJ11:IJ25" si="86">($IJ$8*II11^2+$IK$8*II11+$IL$8)*1000000</f>
        <v>102041000</v>
      </c>
      <c r="IK11" s="40">
        <v>210</v>
      </c>
      <c r="IL11" s="39">
        <f t="shared" ref="IL11:IL25" si="87">($IJ$8*IK11^2+$IK$8*IK11+$IL$8)*1000000</f>
        <v>331346000</v>
      </c>
      <c r="IP11" s="40">
        <v>60</v>
      </c>
      <c r="IQ11" s="39">
        <f t="shared" ref="IQ11:IQ25" si="88">($IQ$8*IP11^2+$IR$8*IP11+$IS$8)*1000000</f>
        <v>85210000</v>
      </c>
      <c r="IR11" s="40">
        <v>210</v>
      </c>
      <c r="IS11" s="39">
        <f t="shared" ref="IS11:IS25" si="89">($IQ$8*IR11^2+$IR$8*IR11+$IS$8)*1000000</f>
        <v>257050000</v>
      </c>
      <c r="IW11" s="16" t="s">
        <v>169</v>
      </c>
      <c r="IX11" s="12">
        <v>44056</v>
      </c>
      <c r="IY11" s="103">
        <v>26811783.764062021</v>
      </c>
      <c r="IZ11" s="104">
        <v>8000000</v>
      </c>
      <c r="JB11" s="104">
        <v>50000000</v>
      </c>
      <c r="JC11" s="1">
        <f t="shared" si="48"/>
        <v>3</v>
      </c>
      <c r="JE11" s="40">
        <v>60</v>
      </c>
      <c r="JF11" s="39">
        <f t="shared" ref="JF11:JF25" si="90">($IJ$8*JE11^2+$IK$8*JE11+$IL$8)*1000000</f>
        <v>102041000</v>
      </c>
      <c r="JG11" s="40">
        <v>210</v>
      </c>
      <c r="JH11" s="39">
        <f t="shared" ref="JH11:JH25" si="91">($IJ$8*JG11^2+$IK$8*JG11+$IL$8)*1000000</f>
        <v>331346000</v>
      </c>
      <c r="JI11" s="39"/>
      <c r="JJ11" s="39"/>
      <c r="JN11" s="40">
        <v>4</v>
      </c>
      <c r="JO11" s="39">
        <f t="shared" ref="JO11:JO25" si="92">($IQ$8*JN11^2+$IR$8*JN11+$IS$8)*1000000</f>
        <v>21056400</v>
      </c>
      <c r="JP11" s="40">
        <v>210</v>
      </c>
      <c r="JQ11" s="39">
        <f t="shared" ref="JQ11:JQ25" si="93">($IQ$8*JP11^2+$IR$8*JP11+$IS$8)*1000000</f>
        <v>257050000</v>
      </c>
      <c r="JR11" s="39"/>
      <c r="JS11" s="39"/>
      <c r="JT11" s="39"/>
      <c r="JU11" s="39"/>
      <c r="JY11" s="16" t="s">
        <v>83</v>
      </c>
      <c r="JZ11" s="16">
        <v>42964</v>
      </c>
      <c r="KA11" s="103">
        <v>13145000</v>
      </c>
      <c r="KB11" s="104">
        <v>3000000</v>
      </c>
      <c r="KD11" s="104">
        <v>50000000</v>
      </c>
      <c r="KE11" s="1">
        <f t="shared" si="32"/>
        <v>1</v>
      </c>
      <c r="KG11" s="16" t="s">
        <v>82</v>
      </c>
      <c r="KH11" s="16">
        <v>43146</v>
      </c>
      <c r="KI11" s="103">
        <v>14281960</v>
      </c>
      <c r="KJ11" s="104">
        <v>3000000</v>
      </c>
      <c r="KL11" s="104">
        <v>20000000</v>
      </c>
      <c r="KM11" s="1">
        <f t="shared" si="33"/>
        <v>1</v>
      </c>
      <c r="KO11" s="16" t="s">
        <v>81</v>
      </c>
      <c r="KP11" s="16">
        <v>43328</v>
      </c>
      <c r="KQ11" s="103">
        <v>168618912</v>
      </c>
      <c r="KR11" s="104">
        <v>100000000</v>
      </c>
      <c r="KT11" s="104">
        <v>40000000</v>
      </c>
      <c r="KU11" s="1">
        <f t="shared" si="34"/>
        <v>2</v>
      </c>
      <c r="KW11" s="16" t="s">
        <v>79</v>
      </c>
      <c r="KX11" s="16">
        <v>43510</v>
      </c>
      <c r="KY11" s="103">
        <v>32237898</v>
      </c>
      <c r="KZ11" s="104">
        <v>20000000</v>
      </c>
      <c r="LB11" s="104">
        <v>50000000</v>
      </c>
      <c r="LC11" s="1">
        <f t="shared" si="35"/>
        <v>1</v>
      </c>
      <c r="LE11" s="16" t="s">
        <v>78</v>
      </c>
      <c r="LF11" s="16">
        <v>43692</v>
      </c>
      <c r="LG11" s="103">
        <v>31541862</v>
      </c>
      <c r="LH11" s="104">
        <v>20000000</v>
      </c>
      <c r="LJ11" s="104">
        <v>30000000</v>
      </c>
      <c r="LK11" s="1">
        <f t="shared" si="36"/>
        <v>1</v>
      </c>
      <c r="LM11" s="16" t="s">
        <v>77</v>
      </c>
      <c r="LN11" s="16">
        <v>43874</v>
      </c>
      <c r="LO11" s="103">
        <v>14306754</v>
      </c>
      <c r="LP11" s="104">
        <v>3000000</v>
      </c>
      <c r="LR11" s="104">
        <v>40000000</v>
      </c>
      <c r="LS11" s="1">
        <f t="shared" si="37"/>
        <v>2</v>
      </c>
      <c r="LU11" s="16" t="s">
        <v>70</v>
      </c>
      <c r="LV11" s="16">
        <v>44056</v>
      </c>
      <c r="LW11" s="103">
        <v>26878566</v>
      </c>
      <c r="LX11" s="104">
        <v>8000000</v>
      </c>
      <c r="LZ11" s="104">
        <v>80000000</v>
      </c>
      <c r="MA11" s="1">
        <f t="shared" si="38"/>
        <v>1</v>
      </c>
      <c r="MC11" s="16" t="s">
        <v>86</v>
      </c>
      <c r="MD11" s="16">
        <v>44245</v>
      </c>
      <c r="ME11" s="103">
        <v>78563760</v>
      </c>
      <c r="MF11" s="104">
        <v>50000000</v>
      </c>
      <c r="MH11" s="104">
        <v>80000000</v>
      </c>
      <c r="MI11" s="1">
        <f t="shared" si="39"/>
        <v>1</v>
      </c>
      <c r="MK11" s="16" t="s">
        <v>69</v>
      </c>
      <c r="ML11" s="16">
        <v>44420</v>
      </c>
      <c r="MM11" s="103">
        <v>132260436</v>
      </c>
      <c r="MN11" s="104">
        <v>80000000</v>
      </c>
      <c r="MP11" s="104">
        <v>80000000</v>
      </c>
      <c r="MQ11" s="1">
        <f t="shared" si="40"/>
        <v>2</v>
      </c>
      <c r="MS11" s="16" t="s">
        <v>76</v>
      </c>
      <c r="MT11" s="16">
        <v>44609</v>
      </c>
      <c r="MU11" s="103">
        <v>116751360</v>
      </c>
      <c r="MV11" s="104">
        <v>80000000</v>
      </c>
      <c r="MX11" s="104">
        <v>80000000</v>
      </c>
      <c r="MY11" s="1">
        <f t="shared" si="41"/>
        <v>2</v>
      </c>
      <c r="NA11" s="16" t="s">
        <v>110</v>
      </c>
      <c r="NB11" s="16">
        <v>42880</v>
      </c>
      <c r="NC11" s="103">
        <v>16170660</v>
      </c>
      <c r="ND11" s="104">
        <v>6000000</v>
      </c>
      <c r="NF11" s="104">
        <v>35000000</v>
      </c>
      <c r="NG11" s="1">
        <f t="shared" si="42"/>
        <v>1</v>
      </c>
      <c r="NH11" s="68"/>
      <c r="NI11" s="40">
        <v>60</v>
      </c>
      <c r="NJ11" s="39">
        <f t="shared" ref="NJ11:NJ25" si="94">($NJ$8*NI11^2+$NK$8*NI11+$NL$8)*1000000</f>
        <v>79003999.999999985</v>
      </c>
      <c r="NK11" s="40">
        <v>210</v>
      </c>
      <c r="NL11" s="39">
        <f t="shared" ref="NL11:NL25" si="95">($NJ$8*NK11^2+$NK$8*NK11+$NL$8)*1000000</f>
        <v>251218999.99999997</v>
      </c>
      <c r="NP11" s="16" t="s">
        <v>34</v>
      </c>
      <c r="NQ11" s="16">
        <v>43251</v>
      </c>
      <c r="NR11" s="103">
        <v>46268706</v>
      </c>
      <c r="NS11" s="104">
        <v>40000000</v>
      </c>
      <c r="NU11" s="104">
        <v>40000000</v>
      </c>
      <c r="NV11" s="1">
        <f t="shared" si="43"/>
        <v>4</v>
      </c>
      <c r="NX11" s="40">
        <v>60</v>
      </c>
      <c r="NY11" s="39">
        <f t="shared" ref="NY11:NY25" si="96">($NY$8*NX11^2+$NZ$8*NX11+$OA$8)*1000000</f>
        <v>77213200</v>
      </c>
      <c r="NZ11" s="40">
        <v>210</v>
      </c>
      <c r="OA11" s="39">
        <f t="shared" ref="OA11:OA25" si="97">($NY$8*NZ11^2+$NZ$8*NZ11+$OA$8)*1000000</f>
        <v>258083199.99999997</v>
      </c>
    </row>
    <row r="12" spans="1:393" x14ac:dyDescent="0.25">
      <c r="B12" s="53">
        <v>35208</v>
      </c>
      <c r="C12" s="53">
        <v>40237</v>
      </c>
      <c r="D12" s="66">
        <v>0.6</v>
      </c>
      <c r="F12" s="5" t="s">
        <v>38</v>
      </c>
      <c r="G12" s="51">
        <f t="shared" si="51"/>
        <v>44013</v>
      </c>
      <c r="H12" s="51">
        <f t="shared" si="49"/>
        <v>44377</v>
      </c>
      <c r="I12" s="50">
        <f t="shared" si="50"/>
        <v>52</v>
      </c>
      <c r="K12" s="7">
        <v>8</v>
      </c>
      <c r="M12" s="5" t="str" cm="1">
        <f t="array" ref="M12">LOOKUP(2,1/($G$19:$G$35&lt;=$V12)/($H$19:$H$35&gt;=$V12),$F$19:$F$35)</f>
        <v>2H17</v>
      </c>
      <c r="N12" s="5" t="str" cm="1">
        <f t="array" ref="N12">LOOKUP(2,1/($G$8:$G$16&lt;=$V12)/($H$8:$H$16&gt;=$V12),$F$8:$F$16)</f>
        <v>FY17</v>
      </c>
      <c r="O12" s="5" t="str">
        <f>IFERROR(N12&amp;"-"&amp;COUNTIF($N$12:N19,N12),NA())</f>
        <v>FY17-8</v>
      </c>
      <c r="P12" s="5">
        <f>COUNTIF(V$12:V19,"&gt;="&amp;MAX($V:$V)-183)</f>
        <v>0</v>
      </c>
      <c r="Q12" s="5">
        <f>COUNTIF(V$12:V19,"&gt;="&amp;MAX($V:$V)-365)</f>
        <v>0</v>
      </c>
      <c r="R12" s="5" cm="1">
        <f t="array" ref="R12">LOOKUP(2,1/($G$46:$G$50&lt;=$V12)/($H$46:$H$50&gt;=$V12),$F$46:$F$50)</f>
        <v>0</v>
      </c>
      <c r="S12" s="5" cm="1">
        <f t="array" ref="S12">LOOKUP(2,1/($G$53:$G$56&lt;=$V12)/($H$53:$H$56&gt;=$V12),$F$53:$F$56)</f>
        <v>0</v>
      </c>
      <c r="T12" s="5" t="e">
        <f>IFERROR(IF($R12&gt;0,$R12&amp;"-"&amp;COUNTIF($R$12:$R19,$R12),NA()),NA())</f>
        <v>#N/A</v>
      </c>
      <c r="U12" s="5" t="e">
        <f>IFERROR(IF($S12&gt;0,$S12&amp;"-"&amp;COUNTIF($S$12:$S19,$S12),NA()),NA())</f>
        <v>#N/A</v>
      </c>
      <c r="V12" s="10">
        <v>42789</v>
      </c>
      <c r="W12" s="101">
        <v>17076608.531999309</v>
      </c>
      <c r="X12" s="101">
        <v>15865023.156653956</v>
      </c>
      <c r="Y12" s="102">
        <v>6000000</v>
      </c>
      <c r="AA12" s="48">
        <f t="shared" si="44"/>
        <v>8</v>
      </c>
      <c r="AB12" s="12">
        <f t="shared" si="0"/>
        <v>45071</v>
      </c>
      <c r="AC12" s="103">
        <f t="shared" si="1"/>
        <v>30887849.079219788</v>
      </c>
      <c r="AD12" s="104">
        <f t="shared" si="2"/>
        <v>12000000</v>
      </c>
      <c r="AF12" s="104">
        <v>80000000</v>
      </c>
      <c r="AG12" s="1">
        <f t="shared" si="3"/>
        <v>0</v>
      </c>
      <c r="AI12" s="40">
        <v>70</v>
      </c>
      <c r="AJ12" s="39">
        <f t="shared" si="52"/>
        <v>124059800.00000001</v>
      </c>
      <c r="AK12" s="40">
        <v>220</v>
      </c>
      <c r="AL12" s="39">
        <f t="shared" si="53"/>
        <v>373419800</v>
      </c>
      <c r="AP12" s="40">
        <v>70</v>
      </c>
      <c r="AQ12" s="39">
        <f t="shared" si="54"/>
        <v>96134999.999999985</v>
      </c>
      <c r="AR12" s="40">
        <v>220</v>
      </c>
      <c r="AS12" s="39">
        <f t="shared" si="55"/>
        <v>265919999.99999997</v>
      </c>
      <c r="AW12" s="48">
        <f t="shared" si="45"/>
        <v>8</v>
      </c>
      <c r="AX12" s="12">
        <f t="shared" si="4"/>
        <v>44889</v>
      </c>
      <c r="AY12" s="103">
        <f t="shared" si="5"/>
        <v>71266594.101550624</v>
      </c>
      <c r="AZ12" s="104">
        <f t="shared" si="6"/>
        <v>50000000</v>
      </c>
      <c r="BB12" s="104">
        <v>60000000</v>
      </c>
      <c r="BC12" s="1">
        <f t="shared" si="7"/>
        <v>3</v>
      </c>
      <c r="BD12" s="104">
        <f t="shared" si="46"/>
        <v>85918721.622897819</v>
      </c>
      <c r="BF12" s="40">
        <v>70</v>
      </c>
      <c r="BG12" s="39">
        <f t="shared" si="56"/>
        <v>118959800</v>
      </c>
      <c r="BH12" s="40">
        <v>220</v>
      </c>
      <c r="BI12" s="39">
        <f t="shared" si="57"/>
        <v>356724799.99999994</v>
      </c>
      <c r="BM12" s="40">
        <v>70</v>
      </c>
      <c r="BN12" s="39">
        <f t="shared" si="58"/>
        <v>96985000.000000015</v>
      </c>
      <c r="BO12" s="40">
        <v>220</v>
      </c>
      <c r="BP12" s="39">
        <f t="shared" si="59"/>
        <v>269935000</v>
      </c>
      <c r="BT12" s="48" t="str">
        <f t="shared" si="8"/>
        <v>N1-8</v>
      </c>
      <c r="BU12" s="12">
        <f t="shared" si="9"/>
        <v>44161</v>
      </c>
      <c r="BV12" s="103">
        <f t="shared" si="10"/>
        <v>40190379.81149286</v>
      </c>
      <c r="BW12" s="104">
        <f t="shared" si="11"/>
        <v>20000000</v>
      </c>
      <c r="BY12" s="52" t="s">
        <v>42</v>
      </c>
      <c r="BZ12" s="52" t="s">
        <v>41</v>
      </c>
      <c r="CB12" s="40">
        <v>20</v>
      </c>
      <c r="CC12" s="39">
        <f t="shared" si="60"/>
        <v>40582000</v>
      </c>
      <c r="CD12" s="40">
        <v>220</v>
      </c>
      <c r="CE12" s="39">
        <f t="shared" si="61"/>
        <v>295282000.00000006</v>
      </c>
      <c r="CI12" s="48" t="str">
        <f t="shared" si="12"/>
        <v>A1-8</v>
      </c>
      <c r="CJ12" s="12">
        <f t="shared" si="13"/>
        <v>44273</v>
      </c>
      <c r="CK12" s="105">
        <f t="shared" si="14"/>
        <v>69997466.46397081</v>
      </c>
      <c r="CL12" s="105">
        <f t="shared" si="15"/>
        <v>50000000</v>
      </c>
      <c r="CN12" s="55" t="s">
        <v>16</v>
      </c>
      <c r="CO12" s="54"/>
      <c r="CQ12" s="40">
        <v>20</v>
      </c>
      <c r="CR12" s="39">
        <f t="shared" si="62"/>
        <v>36626000</v>
      </c>
      <c r="CS12" s="40">
        <v>220</v>
      </c>
      <c r="CT12" s="39">
        <f t="shared" si="63"/>
        <v>280246000</v>
      </c>
      <c r="CX12" s="48" t="str">
        <f t="shared" si="16"/>
        <v>N2-8</v>
      </c>
      <c r="CY12" s="12">
        <f t="shared" si="17"/>
        <v>44756</v>
      </c>
      <c r="CZ12" s="103">
        <f t="shared" si="18"/>
        <v>27258635.451505017</v>
      </c>
      <c r="DA12" s="104">
        <f t="shared" si="19"/>
        <v>8000000</v>
      </c>
      <c r="DC12" s="55" t="s">
        <v>16</v>
      </c>
      <c r="DD12" s="54"/>
      <c r="DF12" s="40">
        <v>20</v>
      </c>
      <c r="DG12" s="39">
        <f t="shared" si="64"/>
        <v>38807000</v>
      </c>
      <c r="DH12" s="40">
        <v>220</v>
      </c>
      <c r="DI12" s="39">
        <f t="shared" si="65"/>
        <v>248747000</v>
      </c>
      <c r="DM12" s="48" t="str">
        <f t="shared" si="20"/>
        <v>A2-8</v>
      </c>
      <c r="DN12" s="12">
        <f t="shared" si="21"/>
        <v>44868</v>
      </c>
      <c r="DO12" s="103">
        <f t="shared" si="22"/>
        <v>27003392.885375496</v>
      </c>
      <c r="DP12" s="104">
        <f t="shared" si="23"/>
        <v>8000000</v>
      </c>
      <c r="DR12" s="104"/>
      <c r="DU12" s="40">
        <v>20</v>
      </c>
      <c r="DV12" s="39">
        <f t="shared" si="66"/>
        <v>36626000</v>
      </c>
      <c r="DW12" s="40">
        <v>220</v>
      </c>
      <c r="DX12" s="39">
        <f t="shared" si="67"/>
        <v>280246000</v>
      </c>
      <c r="EB12" s="40">
        <v>20</v>
      </c>
      <c r="EC12" s="39">
        <f t="shared" si="68"/>
        <v>31041000</v>
      </c>
      <c r="ED12" s="40">
        <v>220</v>
      </c>
      <c r="EE12" s="39">
        <f t="shared" si="69"/>
        <v>189341000</v>
      </c>
      <c r="EI12" s="47" t="str">
        <f t="shared" si="25"/>
        <v>FY18-8</v>
      </c>
      <c r="EJ12" s="16">
        <v>42971</v>
      </c>
      <c r="EK12" s="103">
        <v>16172577.45385544</v>
      </c>
      <c r="EL12" s="104">
        <f t="shared" si="26"/>
        <v>6000000</v>
      </c>
      <c r="EN12" s="104">
        <v>25000000</v>
      </c>
      <c r="EO12" s="1">
        <f t="shared" si="27"/>
        <v>1</v>
      </c>
      <c r="EQ12" s="40">
        <v>70</v>
      </c>
      <c r="ER12" s="39">
        <f t="shared" si="70"/>
        <v>84442200</v>
      </c>
      <c r="ES12" s="40">
        <v>220</v>
      </c>
      <c r="ET12" s="39">
        <f t="shared" si="71"/>
        <v>244327200</v>
      </c>
      <c r="EX12" s="16" t="s">
        <v>33</v>
      </c>
      <c r="EY12" s="16">
        <v>43335</v>
      </c>
      <c r="EZ12" s="103">
        <v>14031852.256834073</v>
      </c>
      <c r="FA12" s="104">
        <v>3000000</v>
      </c>
      <c r="FC12" s="104">
        <v>50000000</v>
      </c>
      <c r="FD12" s="1">
        <f t="shared" si="28"/>
        <v>2</v>
      </c>
      <c r="FF12" s="40">
        <v>70</v>
      </c>
      <c r="FG12" s="39">
        <f t="shared" si="72"/>
        <v>95608900</v>
      </c>
      <c r="FH12" s="40">
        <v>220</v>
      </c>
      <c r="FI12" s="39">
        <f t="shared" si="73"/>
        <v>294058900</v>
      </c>
      <c r="FM12" s="40">
        <v>70</v>
      </c>
      <c r="FN12" s="39">
        <f t="shared" si="74"/>
        <v>78413400</v>
      </c>
      <c r="FO12" s="40">
        <v>220</v>
      </c>
      <c r="FP12" s="39">
        <f t="shared" si="75"/>
        <v>229043400.00000003</v>
      </c>
      <c r="FT12" s="16" t="s">
        <v>39</v>
      </c>
      <c r="FU12" s="16">
        <v>43699</v>
      </c>
      <c r="FV12" s="103">
        <v>39864962.683334358</v>
      </c>
      <c r="FW12" s="104">
        <v>40000000</v>
      </c>
      <c r="FY12" s="104">
        <v>40000000</v>
      </c>
      <c r="FZ12" s="1">
        <f t="shared" si="29"/>
        <v>4</v>
      </c>
      <c r="GB12" s="40">
        <v>70</v>
      </c>
      <c r="GC12" s="39">
        <f t="shared" si="76"/>
        <v>86684000</v>
      </c>
      <c r="GD12" s="40">
        <v>220</v>
      </c>
      <c r="GE12" s="39">
        <f t="shared" si="77"/>
        <v>250438999.99999997</v>
      </c>
      <c r="GI12" s="40">
        <v>70</v>
      </c>
      <c r="GJ12" s="39">
        <f t="shared" si="78"/>
        <v>70616000</v>
      </c>
      <c r="GK12" s="40">
        <v>220</v>
      </c>
      <c r="GL12" s="39">
        <f t="shared" si="79"/>
        <v>189341000</v>
      </c>
      <c r="GP12" s="16" t="s">
        <v>38</v>
      </c>
      <c r="GQ12" s="16">
        <v>44063</v>
      </c>
      <c r="GR12" s="103">
        <v>18946345.758589238</v>
      </c>
      <c r="GS12" s="104">
        <v>3000000</v>
      </c>
      <c r="GU12" s="104">
        <v>80000000</v>
      </c>
      <c r="GV12" s="1">
        <f t="shared" si="30"/>
        <v>2</v>
      </c>
      <c r="GX12" s="40">
        <v>70</v>
      </c>
      <c r="GY12" s="39">
        <f t="shared" si="80"/>
        <v>95702000</v>
      </c>
      <c r="GZ12" s="40">
        <v>220</v>
      </c>
      <c r="HA12" s="39">
        <f t="shared" si="81"/>
        <v>266986999.99999997</v>
      </c>
      <c r="HE12" s="16" t="s">
        <v>35</v>
      </c>
      <c r="HF12" s="16">
        <v>44427</v>
      </c>
      <c r="HG12" s="103">
        <v>20220383.581635755</v>
      </c>
      <c r="HH12" s="104">
        <v>3000000</v>
      </c>
      <c r="HJ12" s="104">
        <v>80000000</v>
      </c>
      <c r="HK12" s="1">
        <f t="shared" si="31"/>
        <v>4</v>
      </c>
      <c r="HM12" s="40">
        <v>70</v>
      </c>
      <c r="HN12" s="39">
        <f t="shared" si="82"/>
        <v>108658000</v>
      </c>
      <c r="HO12" s="40">
        <v>220</v>
      </c>
      <c r="HP12" s="39">
        <f t="shared" si="83"/>
        <v>316078000.00000006</v>
      </c>
      <c r="HT12" s="40">
        <v>70</v>
      </c>
      <c r="HU12" s="39">
        <f t="shared" si="84"/>
        <v>96217999.999999985</v>
      </c>
      <c r="HV12" s="40">
        <v>220</v>
      </c>
      <c r="HW12" s="39">
        <f t="shared" si="85"/>
        <v>268402999.99999997</v>
      </c>
      <c r="IA12" s="16" t="s">
        <v>37</v>
      </c>
      <c r="IB12" s="16">
        <v>44798</v>
      </c>
      <c r="IC12" s="103">
        <v>25454583.399209488</v>
      </c>
      <c r="ID12" s="104">
        <v>8000000</v>
      </c>
      <c r="IF12" s="104">
        <v>60000000</v>
      </c>
      <c r="IG12" s="1">
        <f>COUNTIF($ID:$ID,IF12)</f>
        <v>1</v>
      </c>
      <c r="II12" s="40">
        <v>70</v>
      </c>
      <c r="IJ12" s="39">
        <f t="shared" si="86"/>
        <v>117328000</v>
      </c>
      <c r="IK12" s="40">
        <v>220</v>
      </c>
      <c r="IL12" s="39">
        <f t="shared" si="87"/>
        <v>346633000</v>
      </c>
      <c r="IP12" s="40">
        <v>70</v>
      </c>
      <c r="IQ12" s="39">
        <f t="shared" si="88"/>
        <v>96666000</v>
      </c>
      <c r="IR12" s="40">
        <v>220</v>
      </c>
      <c r="IS12" s="39">
        <f t="shared" si="89"/>
        <v>268506000</v>
      </c>
      <c r="IW12" s="16" t="s">
        <v>169</v>
      </c>
      <c r="IX12" s="12">
        <v>44063</v>
      </c>
      <c r="IY12" s="103">
        <v>18946345.758589238</v>
      </c>
      <c r="IZ12" s="104">
        <v>3000000</v>
      </c>
      <c r="JB12" s="104">
        <v>60000000</v>
      </c>
      <c r="JC12" s="1">
        <f t="shared" si="48"/>
        <v>1</v>
      </c>
      <c r="JE12" s="40">
        <v>70</v>
      </c>
      <c r="JF12" s="39">
        <f t="shared" si="90"/>
        <v>117328000</v>
      </c>
      <c r="JG12" s="40">
        <v>220</v>
      </c>
      <c r="JH12" s="39">
        <f t="shared" si="91"/>
        <v>346633000</v>
      </c>
      <c r="JI12" s="39"/>
      <c r="JJ12" s="39"/>
      <c r="JN12" s="40">
        <v>5</v>
      </c>
      <c r="JO12" s="39">
        <f t="shared" si="92"/>
        <v>22202000</v>
      </c>
      <c r="JP12" s="40">
        <v>220</v>
      </c>
      <c r="JQ12" s="39">
        <f t="shared" si="93"/>
        <v>268506000</v>
      </c>
      <c r="JR12" s="39"/>
      <c r="JS12" s="39"/>
      <c r="JT12" s="39"/>
      <c r="JU12" s="39"/>
      <c r="JY12" s="16" t="s">
        <v>83</v>
      </c>
      <c r="JZ12" s="16">
        <v>42971</v>
      </c>
      <c r="KA12" s="103">
        <v>16120500</v>
      </c>
      <c r="KB12" s="104">
        <v>6000000</v>
      </c>
      <c r="KE12" s="1">
        <f>SUM(KE5:KE11)</f>
        <v>26</v>
      </c>
      <c r="KG12" s="16" t="s">
        <v>82</v>
      </c>
      <c r="KH12" s="16">
        <v>43153</v>
      </c>
      <c r="KI12" s="103">
        <v>17130740</v>
      </c>
      <c r="KJ12" s="104">
        <v>6000000</v>
      </c>
      <c r="KL12" s="104">
        <v>30000000</v>
      </c>
      <c r="KM12" s="1">
        <f t="shared" si="33"/>
        <v>2</v>
      </c>
      <c r="KO12" s="16" t="s">
        <v>81</v>
      </c>
      <c r="KP12" s="16">
        <v>43335</v>
      </c>
      <c r="KQ12" s="103">
        <v>14740044</v>
      </c>
      <c r="KR12" s="104">
        <v>3000000</v>
      </c>
      <c r="KT12" s="104">
        <v>50000000</v>
      </c>
      <c r="KU12" s="1">
        <f t="shared" si="34"/>
        <v>1</v>
      </c>
      <c r="KW12" s="16" t="s">
        <v>79</v>
      </c>
      <c r="KX12" s="16">
        <v>43517</v>
      </c>
      <c r="KY12" s="103">
        <v>39329268</v>
      </c>
      <c r="KZ12" s="104">
        <v>30000000</v>
      </c>
      <c r="LB12" s="104">
        <v>80000000</v>
      </c>
      <c r="LC12" s="1">
        <f t="shared" si="35"/>
        <v>1</v>
      </c>
      <c r="LE12" s="16" t="s">
        <v>78</v>
      </c>
      <c r="LF12" s="16">
        <v>43699</v>
      </c>
      <c r="LG12" s="103">
        <v>41150472</v>
      </c>
      <c r="LH12" s="104">
        <v>40000000</v>
      </c>
      <c r="LJ12" s="104">
        <v>40000000</v>
      </c>
      <c r="LK12" s="1">
        <f t="shared" si="36"/>
        <v>2</v>
      </c>
      <c r="LM12" s="16" t="s">
        <v>77</v>
      </c>
      <c r="LN12" s="16">
        <v>43881</v>
      </c>
      <c r="LO12" s="103">
        <v>21567018</v>
      </c>
      <c r="LP12" s="104">
        <v>8000000</v>
      </c>
      <c r="LR12" s="104">
        <v>60000000</v>
      </c>
      <c r="LS12" s="1">
        <f t="shared" si="37"/>
        <v>2</v>
      </c>
      <c r="LU12" s="16" t="s">
        <v>70</v>
      </c>
      <c r="LV12" s="16">
        <v>44063</v>
      </c>
      <c r="LW12" s="103">
        <v>18147492</v>
      </c>
      <c r="LX12" s="104">
        <v>3000000</v>
      </c>
      <c r="MA12" s="1">
        <f>SUM(MA5:MA11)</f>
        <v>27</v>
      </c>
      <c r="MC12" s="16" t="s">
        <v>86</v>
      </c>
      <c r="MD12" s="16">
        <v>44252</v>
      </c>
      <c r="ME12" s="103">
        <v>23798214</v>
      </c>
      <c r="MF12" s="104">
        <v>8000000</v>
      </c>
      <c r="MI12" s="1">
        <f>SUM(MI5:MI11)</f>
        <v>25</v>
      </c>
      <c r="MK12" s="16" t="s">
        <v>69</v>
      </c>
      <c r="ML12" s="16">
        <v>44427</v>
      </c>
      <c r="MM12" s="103">
        <v>21131154</v>
      </c>
      <c r="MN12" s="104">
        <v>3000000</v>
      </c>
      <c r="MQ12" s="1">
        <f>SUM(MQ5:MQ11)</f>
        <v>27</v>
      </c>
      <c r="MS12" s="16" t="s">
        <v>76</v>
      </c>
      <c r="MT12" s="16">
        <v>44616</v>
      </c>
      <c r="MU12" s="103">
        <v>248544846</v>
      </c>
      <c r="MV12" s="104">
        <v>120000000</v>
      </c>
      <c r="MX12" s="104">
        <v>120000000</v>
      </c>
      <c r="MY12" s="1">
        <f t="shared" si="41"/>
        <v>1</v>
      </c>
      <c r="NA12" s="16" t="s">
        <v>110</v>
      </c>
      <c r="NB12" s="16">
        <v>42887</v>
      </c>
      <c r="NC12" s="103">
        <v>23254440</v>
      </c>
      <c r="ND12" s="104">
        <v>10000000</v>
      </c>
      <c r="NF12" s="104">
        <v>40000000</v>
      </c>
      <c r="NG12" s="1">
        <f t="shared" si="42"/>
        <v>1</v>
      </c>
      <c r="NI12" s="40">
        <v>70</v>
      </c>
      <c r="NJ12" s="39">
        <f t="shared" si="94"/>
        <v>90484999.999999985</v>
      </c>
      <c r="NK12" s="40">
        <v>220</v>
      </c>
      <c r="NL12" s="39">
        <f t="shared" si="95"/>
        <v>262700000</v>
      </c>
      <c r="NP12" s="16" t="s">
        <v>34</v>
      </c>
      <c r="NQ12" s="16">
        <v>43258</v>
      </c>
      <c r="NR12" s="103">
        <v>56733600</v>
      </c>
      <c r="NS12" s="104">
        <v>50000000</v>
      </c>
      <c r="NU12" s="104">
        <v>50000000</v>
      </c>
      <c r="NV12" s="1">
        <f t="shared" si="43"/>
        <v>3</v>
      </c>
      <c r="NX12" s="40">
        <v>70</v>
      </c>
      <c r="NY12" s="39">
        <f t="shared" si="96"/>
        <v>89271200</v>
      </c>
      <c r="NZ12" s="40">
        <v>220</v>
      </c>
      <c r="OA12" s="39">
        <f t="shared" si="97"/>
        <v>270141200</v>
      </c>
    </row>
    <row r="13" spans="1:393" x14ac:dyDescent="0.25">
      <c r="B13" s="53">
        <v>40238</v>
      </c>
      <c r="C13" s="53">
        <v>40694</v>
      </c>
      <c r="D13" s="66">
        <v>0.65</v>
      </c>
      <c r="F13" s="5" t="s">
        <v>35</v>
      </c>
      <c r="G13" s="51">
        <f t="shared" si="51"/>
        <v>44378</v>
      </c>
      <c r="H13" s="51">
        <f t="shared" si="49"/>
        <v>44742</v>
      </c>
      <c r="I13" s="50">
        <f t="shared" si="50"/>
        <v>53</v>
      </c>
      <c r="K13" s="7">
        <v>9</v>
      </c>
      <c r="M13" s="5" t="str" cm="1">
        <f t="array" ref="M13">LOOKUP(2,1/($G$19:$G$35&lt;=$V13)/($H$19:$H$35&gt;=$V13),$F$19:$F$35)</f>
        <v>2H17</v>
      </c>
      <c r="N13" s="5" t="str" cm="1">
        <f t="array" ref="N13">LOOKUP(2,1/($G$8:$G$16&lt;=$V13)/($H$8:$H$16&gt;=$V13),$F$8:$F$16)</f>
        <v>FY17</v>
      </c>
      <c r="O13" s="5" t="str">
        <f>IFERROR(N13&amp;"-"&amp;COUNTIF($N$13:N19,N13),NA())</f>
        <v>FY17-7</v>
      </c>
      <c r="P13" s="5">
        <f>COUNTIF(V$13:V19,"&gt;="&amp;MAX($V:$V)-183)</f>
        <v>0</v>
      </c>
      <c r="Q13" s="5">
        <f>COUNTIF(V$13:V19,"&gt;="&amp;MAX($V:$V)-365)</f>
        <v>0</v>
      </c>
      <c r="R13" s="5" cm="1">
        <f t="array" ref="R13">LOOKUP(2,1/($G$46:$G$50&lt;=$V13)/($H$46:$H$50&gt;=$V13),$F$46:$F$50)</f>
        <v>0</v>
      </c>
      <c r="S13" s="5" cm="1">
        <f t="array" ref="S13">LOOKUP(2,1/($G$53:$G$56&lt;=$V13)/($H$53:$H$56&gt;=$V13),$F$53:$F$56)</f>
        <v>0</v>
      </c>
      <c r="T13" s="5" t="e">
        <f>IFERROR(IF($R13&gt;0,$R13&amp;"-"&amp;COUNTIF($R$13:$R19,$R13),NA()),NA())</f>
        <v>#N/A</v>
      </c>
      <c r="U13" s="5" t="e">
        <f>IFERROR(IF($S13&gt;0,$S13&amp;"-"&amp;COUNTIF($S$13:$S19,$S13),NA()),NA())</f>
        <v>#N/A</v>
      </c>
      <c r="V13" s="10">
        <v>42796</v>
      </c>
      <c r="W13" s="101">
        <v>23325921.999309987</v>
      </c>
      <c r="X13" s="101">
        <v>21670947.833458941</v>
      </c>
      <c r="Y13" s="102">
        <v>10000000</v>
      </c>
      <c r="AA13" s="48">
        <f t="shared" si="44"/>
        <v>9</v>
      </c>
      <c r="AB13" s="12">
        <f t="shared" si="0"/>
        <v>45078</v>
      </c>
      <c r="AC13" s="103">
        <f t="shared" si="1"/>
        <v>40719506.810504526</v>
      </c>
      <c r="AD13" s="104">
        <f t="shared" si="2"/>
        <v>20000000</v>
      </c>
      <c r="AF13" s="104">
        <v>100000000</v>
      </c>
      <c r="AG13" s="1">
        <f t="shared" si="3"/>
        <v>2</v>
      </c>
      <c r="AI13" s="40">
        <v>80</v>
      </c>
      <c r="AJ13" s="39">
        <f t="shared" si="52"/>
        <v>140683800.00000003</v>
      </c>
      <c r="AK13" s="40">
        <v>230</v>
      </c>
      <c r="AL13" s="39">
        <f t="shared" si="53"/>
        <v>390043800.00000006</v>
      </c>
      <c r="AP13" s="40">
        <v>80</v>
      </c>
      <c r="AQ13" s="39">
        <f t="shared" si="54"/>
        <v>107454000</v>
      </c>
      <c r="AR13" s="40">
        <v>230</v>
      </c>
      <c r="AS13" s="39">
        <f t="shared" si="55"/>
        <v>277239000</v>
      </c>
      <c r="AW13" s="48">
        <f t="shared" si="45"/>
        <v>9</v>
      </c>
      <c r="AX13" s="12">
        <f t="shared" si="4"/>
        <v>44896</v>
      </c>
      <c r="AY13" s="103">
        <f t="shared" si="5"/>
        <v>25213057.950744905</v>
      </c>
      <c r="AZ13" s="104">
        <f t="shared" si="6"/>
        <v>8000000</v>
      </c>
      <c r="BB13" s="104">
        <v>80000000</v>
      </c>
      <c r="BC13" s="1">
        <f t="shared" si="7"/>
        <v>0</v>
      </c>
      <c r="BD13" s="104" t="e">
        <f t="shared" si="46"/>
        <v>#DIV/0!</v>
      </c>
      <c r="BF13" s="40">
        <v>80</v>
      </c>
      <c r="BG13" s="39">
        <f t="shared" si="56"/>
        <v>134810800</v>
      </c>
      <c r="BH13" s="40">
        <v>230</v>
      </c>
      <c r="BI13" s="39">
        <f t="shared" si="57"/>
        <v>372575799.99999994</v>
      </c>
      <c r="BM13" s="40">
        <v>80</v>
      </c>
      <c r="BN13" s="39">
        <f t="shared" si="58"/>
        <v>108515000.00000001</v>
      </c>
      <c r="BO13" s="40">
        <v>230</v>
      </c>
      <c r="BP13" s="39">
        <f t="shared" si="59"/>
        <v>281465000</v>
      </c>
      <c r="BT13" s="48" t="str">
        <f t="shared" si="8"/>
        <v>N1-9</v>
      </c>
      <c r="BU13" s="12">
        <f t="shared" si="9"/>
        <v>44168</v>
      </c>
      <c r="BV13" s="103">
        <f t="shared" si="10"/>
        <v>17815226.512617815</v>
      </c>
      <c r="BW13" s="104">
        <f t="shared" si="11"/>
        <v>3000000</v>
      </c>
      <c r="BY13" s="1">
        <v>1</v>
      </c>
      <c r="BZ13" s="1">
        <v>3</v>
      </c>
      <c r="CB13" s="40">
        <v>30</v>
      </c>
      <c r="CC13" s="39">
        <f t="shared" si="60"/>
        <v>53317000.000000007</v>
      </c>
      <c r="CD13" s="40">
        <v>230</v>
      </c>
      <c r="CE13" s="39">
        <f t="shared" si="61"/>
        <v>308017000.00000006</v>
      </c>
      <c r="CI13" s="48" t="str">
        <f t="shared" si="12"/>
        <v>A1-9</v>
      </c>
      <c r="CJ13" s="12">
        <f t="shared" si="13"/>
        <v>44280</v>
      </c>
      <c r="CK13" s="105">
        <f t="shared" si="14"/>
        <v>23504738.218303431</v>
      </c>
      <c r="CL13" s="105">
        <f t="shared" si="15"/>
        <v>8000000</v>
      </c>
      <c r="CN13" s="52" t="s">
        <v>42</v>
      </c>
      <c r="CO13" s="52" t="s">
        <v>41</v>
      </c>
      <c r="CQ13" s="40">
        <v>30</v>
      </c>
      <c r="CR13" s="39">
        <f t="shared" si="62"/>
        <v>48807000</v>
      </c>
      <c r="CS13" s="40">
        <v>230</v>
      </c>
      <c r="CT13" s="39">
        <f t="shared" si="63"/>
        <v>292427000</v>
      </c>
      <c r="CX13" s="48" t="str">
        <f t="shared" si="16"/>
        <v>N2-9</v>
      </c>
      <c r="CY13" s="12">
        <f t="shared" si="17"/>
        <v>44763</v>
      </c>
      <c r="CZ13" s="103">
        <f t="shared" si="18"/>
        <v>20968405.71602311</v>
      </c>
      <c r="DA13" s="104">
        <f t="shared" si="19"/>
        <v>4000000</v>
      </c>
      <c r="DC13" s="52" t="s">
        <v>42</v>
      </c>
      <c r="DD13" s="52" t="s">
        <v>41</v>
      </c>
      <c r="DF13" s="40">
        <v>30</v>
      </c>
      <c r="DG13" s="39">
        <f t="shared" si="64"/>
        <v>49304000</v>
      </c>
      <c r="DH13" s="40">
        <v>230</v>
      </c>
      <c r="DI13" s="39">
        <f t="shared" si="65"/>
        <v>259244000.00000003</v>
      </c>
      <c r="DM13" s="48" t="str">
        <f t="shared" si="20"/>
        <v>A2-9</v>
      </c>
      <c r="DN13" s="12">
        <f t="shared" si="21"/>
        <v>44875</v>
      </c>
      <c r="DO13" s="103">
        <f t="shared" si="22"/>
        <v>44321005.290361807</v>
      </c>
      <c r="DP13" s="104">
        <f t="shared" si="23"/>
        <v>20000000</v>
      </c>
      <c r="DR13" s="55" t="s">
        <v>16</v>
      </c>
      <c r="DS13" s="54"/>
      <c r="DU13" s="40">
        <v>30</v>
      </c>
      <c r="DV13" s="39">
        <f t="shared" si="66"/>
        <v>48807000</v>
      </c>
      <c r="DW13" s="40">
        <v>230</v>
      </c>
      <c r="DX13" s="39">
        <f t="shared" si="67"/>
        <v>292427000</v>
      </c>
      <c r="EB13" s="40">
        <v>30</v>
      </c>
      <c r="EC13" s="39">
        <f t="shared" si="68"/>
        <v>38956000</v>
      </c>
      <c r="ED13" s="40">
        <v>230</v>
      </c>
      <c r="EE13" s="39">
        <f t="shared" si="69"/>
        <v>197256000</v>
      </c>
      <c r="EI13" s="47" t="str">
        <f t="shared" si="25"/>
        <v>FY18-9</v>
      </c>
      <c r="EJ13" s="16">
        <v>42978</v>
      </c>
      <c r="EK13" s="103">
        <v>18730835.321718127</v>
      </c>
      <c r="EL13" s="104">
        <f t="shared" si="26"/>
        <v>10000000</v>
      </c>
      <c r="EN13" s="104">
        <v>30000000</v>
      </c>
      <c r="EO13" s="1">
        <f t="shared" si="27"/>
        <v>3</v>
      </c>
      <c r="EQ13" s="40">
        <v>80</v>
      </c>
      <c r="ER13" s="39">
        <f t="shared" si="70"/>
        <v>95101200</v>
      </c>
      <c r="ES13" s="40">
        <v>230</v>
      </c>
      <c r="ET13" s="39">
        <f t="shared" si="71"/>
        <v>254986200</v>
      </c>
      <c r="EX13" s="16" t="s">
        <v>33</v>
      </c>
      <c r="EY13" s="16">
        <v>43342</v>
      </c>
      <c r="EZ13" s="103">
        <v>16733295.359186264</v>
      </c>
      <c r="FA13" s="104">
        <v>8000000</v>
      </c>
      <c r="FC13" s="104">
        <v>60000000</v>
      </c>
      <c r="FD13" s="1">
        <f t="shared" si="28"/>
        <v>1</v>
      </c>
      <c r="FF13" s="40">
        <v>80</v>
      </c>
      <c r="FG13" s="39">
        <f t="shared" si="72"/>
        <v>108838900.00000001</v>
      </c>
      <c r="FH13" s="40">
        <v>230</v>
      </c>
      <c r="FI13" s="39">
        <f t="shared" si="73"/>
        <v>307288899.99999994</v>
      </c>
      <c r="FM13" s="40">
        <v>80</v>
      </c>
      <c r="FN13" s="39">
        <f t="shared" si="74"/>
        <v>88455400</v>
      </c>
      <c r="FO13" s="40">
        <v>230</v>
      </c>
      <c r="FP13" s="39">
        <f t="shared" si="75"/>
        <v>239085400.00000003</v>
      </c>
      <c r="FT13" s="16" t="s">
        <v>39</v>
      </c>
      <c r="FU13" s="16">
        <v>43706</v>
      </c>
      <c r="FV13" s="103">
        <v>55027958.16572807</v>
      </c>
      <c r="FW13" s="104">
        <v>60000000</v>
      </c>
      <c r="FY13" s="104">
        <v>60000000</v>
      </c>
      <c r="FZ13" s="1">
        <f t="shared" si="29"/>
        <v>4</v>
      </c>
      <c r="GB13" s="40">
        <v>80</v>
      </c>
      <c r="GC13" s="39">
        <f t="shared" si="76"/>
        <v>97600999.999999985</v>
      </c>
      <c r="GD13" s="40">
        <v>230</v>
      </c>
      <c r="GE13" s="39">
        <f t="shared" si="77"/>
        <v>261356000</v>
      </c>
      <c r="GI13" s="40">
        <v>80</v>
      </c>
      <c r="GJ13" s="39">
        <f t="shared" si="78"/>
        <v>78531000</v>
      </c>
      <c r="GK13" s="40">
        <v>230</v>
      </c>
      <c r="GL13" s="39">
        <f t="shared" si="79"/>
        <v>197256000</v>
      </c>
      <c r="GP13" s="16" t="s">
        <v>38</v>
      </c>
      <c r="GQ13" s="16">
        <v>44070</v>
      </c>
      <c r="GR13" s="103">
        <v>26767640.01216175</v>
      </c>
      <c r="GS13" s="104">
        <v>8000000</v>
      </c>
      <c r="GU13" s="104" t="s">
        <v>107</v>
      </c>
      <c r="GV13" s="1">
        <f>SUM(GV4:GV12)</f>
        <v>52</v>
      </c>
      <c r="GX13" s="40">
        <v>80</v>
      </c>
      <c r="GY13" s="39">
        <f t="shared" si="80"/>
        <v>107121000</v>
      </c>
      <c r="GZ13" s="40">
        <v>230</v>
      </c>
      <c r="HA13" s="39">
        <f t="shared" si="81"/>
        <v>278406000</v>
      </c>
      <c r="HE13" s="16" t="s">
        <v>35</v>
      </c>
      <c r="HF13" s="16">
        <v>44434</v>
      </c>
      <c r="HG13" s="103">
        <v>29212562.35937975</v>
      </c>
      <c r="HH13" s="104">
        <v>8000000</v>
      </c>
      <c r="HJ13" s="104">
        <v>120000000</v>
      </c>
      <c r="HK13" s="1">
        <f t="shared" si="31"/>
        <v>1</v>
      </c>
      <c r="HM13" s="40">
        <v>80</v>
      </c>
      <c r="HN13" s="39">
        <f t="shared" si="82"/>
        <v>122485999.99999999</v>
      </c>
      <c r="HO13" s="40">
        <v>230</v>
      </c>
      <c r="HP13" s="39">
        <f t="shared" si="83"/>
        <v>329906000</v>
      </c>
      <c r="HT13" s="40">
        <v>80</v>
      </c>
      <c r="HU13" s="39">
        <f t="shared" si="84"/>
        <v>107696999.99999999</v>
      </c>
      <c r="HV13" s="40">
        <v>230</v>
      </c>
      <c r="HW13" s="39">
        <f t="shared" si="85"/>
        <v>279882000</v>
      </c>
      <c r="IA13" s="16" t="s">
        <v>37</v>
      </c>
      <c r="IB13" s="16">
        <v>44805</v>
      </c>
      <c r="IC13" s="103">
        <v>39743730.009121314</v>
      </c>
      <c r="ID13" s="104">
        <v>20000000</v>
      </c>
      <c r="IF13" s="104">
        <v>100000000</v>
      </c>
      <c r="IG13" s="1">
        <f>COUNTIF($ID:$ID,IF13)</f>
        <v>3</v>
      </c>
      <c r="II13" s="40">
        <v>80</v>
      </c>
      <c r="IJ13" s="39">
        <f t="shared" si="86"/>
        <v>132614999.99999999</v>
      </c>
      <c r="IK13" s="40">
        <v>230</v>
      </c>
      <c r="IL13" s="39">
        <f t="shared" si="87"/>
        <v>361920000</v>
      </c>
      <c r="IP13" s="40">
        <v>80</v>
      </c>
      <c r="IQ13" s="39">
        <f t="shared" si="88"/>
        <v>108122000</v>
      </c>
      <c r="IR13" s="40">
        <v>230</v>
      </c>
      <c r="IS13" s="39">
        <f t="shared" si="89"/>
        <v>279962000</v>
      </c>
      <c r="IW13" s="16" t="s">
        <v>169</v>
      </c>
      <c r="IX13" s="12">
        <v>44070</v>
      </c>
      <c r="IY13" s="103">
        <v>26767640.01216175</v>
      </c>
      <c r="IZ13" s="104">
        <v>8000000</v>
      </c>
      <c r="JB13" s="104">
        <v>100000000</v>
      </c>
      <c r="JC13" s="1">
        <f t="shared" si="48"/>
        <v>3</v>
      </c>
      <c r="JE13" s="40">
        <v>80</v>
      </c>
      <c r="JF13" s="39">
        <f t="shared" si="90"/>
        <v>132614999.99999999</v>
      </c>
      <c r="JG13" s="40">
        <v>230</v>
      </c>
      <c r="JH13" s="39">
        <f t="shared" si="91"/>
        <v>361920000</v>
      </c>
      <c r="JI13" s="39"/>
      <c r="JJ13" s="39"/>
      <c r="JN13" s="40">
        <v>8</v>
      </c>
      <c r="JO13" s="39">
        <f t="shared" si="92"/>
        <v>25638800</v>
      </c>
      <c r="JP13" s="40">
        <v>230</v>
      </c>
      <c r="JQ13" s="39">
        <f t="shared" si="93"/>
        <v>279962000</v>
      </c>
      <c r="JR13" s="39"/>
      <c r="JS13" s="39"/>
      <c r="JT13" s="39"/>
      <c r="JU13" s="39"/>
      <c r="JY13" s="16" t="s">
        <v>83</v>
      </c>
      <c r="JZ13" s="16">
        <v>42978</v>
      </c>
      <c r="KA13" s="103">
        <v>18670520</v>
      </c>
      <c r="KB13" s="104">
        <v>10000000</v>
      </c>
      <c r="KG13" s="16" t="s">
        <v>82</v>
      </c>
      <c r="KH13" s="16">
        <v>43160</v>
      </c>
      <c r="KI13" s="103">
        <v>21616100</v>
      </c>
      <c r="KJ13" s="104">
        <v>10000000</v>
      </c>
      <c r="KL13" s="104">
        <v>35000000</v>
      </c>
      <c r="KM13" s="1">
        <f t="shared" si="33"/>
        <v>1</v>
      </c>
      <c r="KO13" s="16" t="s">
        <v>81</v>
      </c>
      <c r="KP13" s="16">
        <v>43342</v>
      </c>
      <c r="KQ13" s="103">
        <v>17328102</v>
      </c>
      <c r="KR13" s="104">
        <v>8000000</v>
      </c>
      <c r="KT13" s="104">
        <v>60000000</v>
      </c>
      <c r="KU13" s="1">
        <f t="shared" si="34"/>
        <v>1</v>
      </c>
      <c r="KW13" s="16" t="s">
        <v>79</v>
      </c>
      <c r="KX13" s="16">
        <v>43524</v>
      </c>
      <c r="KY13" s="103">
        <v>45325170</v>
      </c>
      <c r="KZ13" s="104">
        <v>40000000</v>
      </c>
      <c r="LB13" s="104">
        <v>100000000</v>
      </c>
      <c r="LC13" s="1">
        <f t="shared" si="35"/>
        <v>1</v>
      </c>
      <c r="LE13" s="16" t="s">
        <v>78</v>
      </c>
      <c r="LF13" s="16">
        <v>43706</v>
      </c>
      <c r="LG13" s="103">
        <v>56344926</v>
      </c>
      <c r="LH13" s="104">
        <v>60000000</v>
      </c>
      <c r="LJ13" s="104">
        <v>60000000</v>
      </c>
      <c r="LK13" s="1">
        <f t="shared" si="36"/>
        <v>2</v>
      </c>
      <c r="LM13" s="16" t="s">
        <v>77</v>
      </c>
      <c r="LN13" s="16">
        <v>43888</v>
      </c>
      <c r="LO13" s="103">
        <v>27308490</v>
      </c>
      <c r="LP13" s="104">
        <v>12000000</v>
      </c>
      <c r="LR13" s="104">
        <v>80000000</v>
      </c>
      <c r="LS13" s="1">
        <f t="shared" si="37"/>
        <v>1</v>
      </c>
      <c r="LU13" s="16" t="s">
        <v>70</v>
      </c>
      <c r="LV13" s="16">
        <v>44070</v>
      </c>
      <c r="LW13" s="103">
        <v>27339840</v>
      </c>
      <c r="LX13" s="104">
        <v>8000000</v>
      </c>
      <c r="MC13" s="16" t="s">
        <v>86</v>
      </c>
      <c r="MD13" s="16">
        <v>44259</v>
      </c>
      <c r="ME13" s="103">
        <v>37335606</v>
      </c>
      <c r="MF13" s="104">
        <v>20000000</v>
      </c>
      <c r="MK13" s="16" t="s">
        <v>69</v>
      </c>
      <c r="ML13" s="16">
        <v>44434</v>
      </c>
      <c r="MM13" s="103">
        <v>29259912</v>
      </c>
      <c r="MN13" s="104">
        <v>8000000</v>
      </c>
      <c r="MS13" s="16" t="s">
        <v>76</v>
      </c>
      <c r="MT13" s="16">
        <v>44623</v>
      </c>
      <c r="MU13" s="103">
        <v>20028162</v>
      </c>
      <c r="MV13" s="104">
        <v>3000000</v>
      </c>
      <c r="MY13" s="1">
        <f>SUM(MY5:MY12)</f>
        <v>26</v>
      </c>
      <c r="NA13" s="16" t="s">
        <v>110</v>
      </c>
      <c r="NB13" s="16">
        <v>42894</v>
      </c>
      <c r="NC13" s="103">
        <v>30271340</v>
      </c>
      <c r="ND13" s="104">
        <v>15000000</v>
      </c>
      <c r="NF13" s="104">
        <v>50000000</v>
      </c>
      <c r="NG13" s="1">
        <f t="shared" si="42"/>
        <v>2</v>
      </c>
      <c r="NI13" s="40">
        <v>80</v>
      </c>
      <c r="NJ13" s="39">
        <f t="shared" si="94"/>
        <v>101965999.99999999</v>
      </c>
      <c r="NK13" s="40">
        <v>230</v>
      </c>
      <c r="NL13" s="39">
        <f t="shared" si="95"/>
        <v>274181000</v>
      </c>
      <c r="NP13" s="16" t="s">
        <v>34</v>
      </c>
      <c r="NQ13" s="16">
        <v>43265</v>
      </c>
      <c r="NR13" s="103">
        <v>11832018</v>
      </c>
      <c r="NS13" s="104">
        <v>3000000</v>
      </c>
      <c r="NU13" s="104">
        <v>60000000</v>
      </c>
      <c r="NV13" s="1">
        <f t="shared" si="43"/>
        <v>1</v>
      </c>
      <c r="NX13" s="40">
        <v>80</v>
      </c>
      <c r="NY13" s="39">
        <f t="shared" si="96"/>
        <v>101329200</v>
      </c>
      <c r="NZ13" s="40">
        <v>230</v>
      </c>
      <c r="OA13" s="39">
        <f t="shared" si="97"/>
        <v>282199200</v>
      </c>
    </row>
    <row r="14" spans="1:393" x14ac:dyDescent="0.25">
      <c r="B14" s="53">
        <v>40695</v>
      </c>
      <c r="C14" s="53">
        <v>41339</v>
      </c>
      <c r="D14" s="66">
        <v>0.75</v>
      </c>
      <c r="F14" s="5" t="s">
        <v>37</v>
      </c>
      <c r="G14" s="51">
        <f t="shared" si="51"/>
        <v>44743</v>
      </c>
      <c r="H14" s="51">
        <f t="shared" si="49"/>
        <v>45107</v>
      </c>
      <c r="I14" s="50">
        <f t="shared" si="50"/>
        <v>52</v>
      </c>
      <c r="K14" s="7">
        <v>10</v>
      </c>
      <c r="M14" s="5" t="str" cm="1">
        <f t="array" ref="M14">LOOKUP(2,1/($G$19:$G$35&lt;=$V14)/($H$19:$H$35&gt;=$V14),$F$19:$F$35)</f>
        <v>2H17</v>
      </c>
      <c r="N14" s="5" t="str" cm="1">
        <f t="array" ref="N14">LOOKUP(2,1/($G$8:$G$16&lt;=$V14)/($H$8:$H$16&gt;=$V14),$F$8:$F$16)</f>
        <v>FY17</v>
      </c>
      <c r="O14" s="5" t="str">
        <f>IFERROR(N14&amp;"-"&amp;COUNTIF($N$14:N19,N14),NA())</f>
        <v>FY17-6</v>
      </c>
      <c r="P14" s="5">
        <f>COUNTIF(V$14:V19,"&gt;="&amp;MAX($V:$V)-183)</f>
        <v>0</v>
      </c>
      <c r="Q14" s="5">
        <f>COUNTIF(V$14:V19,"&gt;="&amp;MAX($V:$V)-365)</f>
        <v>0</v>
      </c>
      <c r="R14" s="5" cm="1">
        <f t="array" ref="R14">LOOKUP(2,1/($G$46:$G$50&lt;=$V14)/($H$46:$H$50&gt;=$V14),$F$46:$F$50)</f>
        <v>0</v>
      </c>
      <c r="S14" s="5" cm="1">
        <f t="array" ref="S14">LOOKUP(2,1/($G$53:$G$56&lt;=$V14)/($H$53:$H$56&gt;=$V14),$F$53:$F$56)</f>
        <v>0</v>
      </c>
      <c r="T14" s="5" t="e">
        <f>IFERROR(IF($R14&gt;0,$R14&amp;"-"&amp;COUNTIF($R$14:$R19,$R14),NA()),NA())</f>
        <v>#N/A</v>
      </c>
      <c r="U14" s="5" t="e">
        <f>IFERROR(IF($S14&gt;0,$S14&amp;"-"&amp;COUNTIF($S$14:$S19,$S14),NA()),NA())</f>
        <v>#N/A</v>
      </c>
      <c r="V14" s="10">
        <v>42803</v>
      </c>
      <c r="W14" s="101">
        <v>14291791.117819561</v>
      </c>
      <c r="X14" s="101">
        <v>13277788.538010262</v>
      </c>
      <c r="Y14" s="102">
        <v>3000000</v>
      </c>
      <c r="AA14" s="48">
        <f t="shared" si="44"/>
        <v>10</v>
      </c>
      <c r="AB14" s="12">
        <f t="shared" si="0"/>
        <v>45085</v>
      </c>
      <c r="AC14" s="103">
        <f t="shared" si="1"/>
        <v>56400732.701318517</v>
      </c>
      <c r="AD14" s="104">
        <f t="shared" si="2"/>
        <v>40000000</v>
      </c>
      <c r="AF14" s="104">
        <v>160000000</v>
      </c>
      <c r="AG14" s="1">
        <f t="shared" si="3"/>
        <v>0</v>
      </c>
      <c r="AI14" s="40">
        <v>90</v>
      </c>
      <c r="AJ14" s="39">
        <f t="shared" si="52"/>
        <v>157307800</v>
      </c>
      <c r="AK14" s="40">
        <v>240</v>
      </c>
      <c r="AL14" s="39">
        <f t="shared" si="53"/>
        <v>406667800</v>
      </c>
      <c r="AP14" s="40">
        <v>90</v>
      </c>
      <c r="AQ14" s="39">
        <f t="shared" si="54"/>
        <v>118773000</v>
      </c>
      <c r="AR14" s="40">
        <v>240</v>
      </c>
      <c r="AS14" s="39">
        <f t="shared" si="55"/>
        <v>288557999.99999994</v>
      </c>
      <c r="AW14" s="48">
        <f t="shared" si="45"/>
        <v>10</v>
      </c>
      <c r="AX14" s="12">
        <f t="shared" si="4"/>
        <v>44903</v>
      </c>
      <c r="AY14" s="103">
        <f t="shared" si="5"/>
        <v>38341626.147765279</v>
      </c>
      <c r="AZ14" s="104">
        <f t="shared" si="6"/>
        <v>20000000</v>
      </c>
      <c r="BB14" s="104">
        <v>100000000</v>
      </c>
      <c r="BC14" s="1">
        <f t="shared" si="7"/>
        <v>4</v>
      </c>
      <c r="BD14" s="104">
        <f t="shared" si="46"/>
        <v>161652597.24139324</v>
      </c>
      <c r="BF14" s="40">
        <v>90</v>
      </c>
      <c r="BG14" s="39">
        <f t="shared" si="56"/>
        <v>150661800</v>
      </c>
      <c r="BH14" s="40">
        <v>240</v>
      </c>
      <c r="BI14" s="39">
        <f t="shared" si="57"/>
        <v>388426799.99999994</v>
      </c>
      <c r="BM14" s="40">
        <v>90</v>
      </c>
      <c r="BN14" s="39">
        <f t="shared" si="58"/>
        <v>120044999.99999999</v>
      </c>
      <c r="BO14" s="40">
        <v>240</v>
      </c>
      <c r="BP14" s="39">
        <f t="shared" si="59"/>
        <v>292995000</v>
      </c>
      <c r="BT14" s="48" t="str">
        <f t="shared" si="8"/>
        <v>N1-10</v>
      </c>
      <c r="BU14" s="12">
        <f t="shared" si="9"/>
        <v>44175</v>
      </c>
      <c r="BV14" s="103">
        <f t="shared" si="10"/>
        <v>25066381.757373061</v>
      </c>
      <c r="BW14" s="104">
        <f t="shared" si="11"/>
        <v>8000000</v>
      </c>
      <c r="BY14" s="1">
        <v>2</v>
      </c>
      <c r="BZ14" s="1">
        <v>8</v>
      </c>
      <c r="CB14" s="40">
        <v>40</v>
      </c>
      <c r="CC14" s="39">
        <f t="shared" si="60"/>
        <v>66052000.000000007</v>
      </c>
      <c r="CD14" s="40">
        <v>240</v>
      </c>
      <c r="CE14" s="39">
        <f t="shared" si="61"/>
        <v>320752000.00000006</v>
      </c>
      <c r="CI14" s="48" t="str">
        <f t="shared" si="12"/>
        <v>A1-10</v>
      </c>
      <c r="CJ14" s="12">
        <f t="shared" si="13"/>
        <v>44287</v>
      </c>
      <c r="CK14" s="105">
        <f t="shared" si="14"/>
        <v>37212500.334448159</v>
      </c>
      <c r="CL14" s="105">
        <f t="shared" si="15"/>
        <v>20000000</v>
      </c>
      <c r="CN14" s="1">
        <v>1</v>
      </c>
      <c r="CO14" s="1">
        <v>8</v>
      </c>
      <c r="CQ14" s="40">
        <v>40</v>
      </c>
      <c r="CR14" s="39">
        <f t="shared" si="62"/>
        <v>60988000</v>
      </c>
      <c r="CS14" s="40">
        <v>240</v>
      </c>
      <c r="CT14" s="39">
        <f t="shared" si="63"/>
        <v>304608000</v>
      </c>
      <c r="CX14" s="48" t="str">
        <f t="shared" si="16"/>
        <v>N2-10</v>
      </c>
      <c r="CY14" s="12">
        <f t="shared" si="17"/>
        <v>44770</v>
      </c>
      <c r="CZ14" s="103">
        <f t="shared" si="18"/>
        <v>19329129.096989967</v>
      </c>
      <c r="DA14" s="104">
        <f t="shared" si="19"/>
        <v>4000000</v>
      </c>
      <c r="DC14" s="1">
        <v>1</v>
      </c>
      <c r="DD14" s="1">
        <v>4</v>
      </c>
      <c r="DF14" s="40">
        <v>40</v>
      </c>
      <c r="DG14" s="39">
        <f t="shared" si="64"/>
        <v>59801000</v>
      </c>
      <c r="DH14" s="40">
        <v>240</v>
      </c>
      <c r="DI14" s="39">
        <f t="shared" si="65"/>
        <v>269741000.00000006</v>
      </c>
      <c r="DM14" s="48" t="str">
        <f t="shared" si="20"/>
        <v>A2-10</v>
      </c>
      <c r="DN14" s="12">
        <f t="shared" si="21"/>
        <v>44882</v>
      </c>
      <c r="DO14" s="103">
        <f t="shared" si="22"/>
        <v>51026175.37245363</v>
      </c>
      <c r="DP14" s="104">
        <f t="shared" si="23"/>
        <v>30000000</v>
      </c>
      <c r="DR14" s="52" t="s">
        <v>42</v>
      </c>
      <c r="DS14" s="52" t="s">
        <v>41</v>
      </c>
      <c r="DU14" s="40">
        <v>40</v>
      </c>
      <c r="DV14" s="39">
        <f t="shared" si="66"/>
        <v>60988000</v>
      </c>
      <c r="DW14" s="40">
        <v>240</v>
      </c>
      <c r="DX14" s="39">
        <f t="shared" si="67"/>
        <v>304608000</v>
      </c>
      <c r="EB14" s="40">
        <v>40</v>
      </c>
      <c r="EC14" s="39">
        <f t="shared" si="68"/>
        <v>46871000</v>
      </c>
      <c r="ED14" s="40">
        <v>240</v>
      </c>
      <c r="EE14" s="39">
        <f t="shared" si="69"/>
        <v>205171000.00000003</v>
      </c>
      <c r="EI14" s="47" t="str">
        <f t="shared" si="25"/>
        <v>FY18-10</v>
      </c>
      <c r="EJ14" s="16">
        <v>42985</v>
      </c>
      <c r="EK14" s="103">
        <v>25735862.268414695</v>
      </c>
      <c r="EL14" s="104">
        <f t="shared" si="26"/>
        <v>15000000</v>
      </c>
      <c r="EN14" s="104">
        <v>35000000</v>
      </c>
      <c r="EO14" s="1">
        <f t="shared" si="27"/>
        <v>1</v>
      </c>
      <c r="EQ14" s="40">
        <v>90</v>
      </c>
      <c r="ER14" s="39">
        <f t="shared" si="70"/>
        <v>105760200.00000001</v>
      </c>
      <c r="ES14" s="40">
        <v>240</v>
      </c>
      <c r="ET14" s="39">
        <f t="shared" si="71"/>
        <v>265645200.00000006</v>
      </c>
      <c r="EX14" s="16" t="s">
        <v>33</v>
      </c>
      <c r="EY14" s="16">
        <v>43349</v>
      </c>
      <c r="EZ14" s="103">
        <v>21606582.835346464</v>
      </c>
      <c r="FA14" s="104">
        <v>12000000</v>
      </c>
      <c r="FC14" s="104">
        <v>80000000</v>
      </c>
      <c r="FD14" s="1">
        <f t="shared" si="28"/>
        <v>2</v>
      </c>
      <c r="FF14" s="40">
        <v>90</v>
      </c>
      <c r="FG14" s="39">
        <f t="shared" si="72"/>
        <v>122068900</v>
      </c>
      <c r="FH14" s="40">
        <v>240</v>
      </c>
      <c r="FI14" s="39">
        <f t="shared" si="73"/>
        <v>320518900</v>
      </c>
      <c r="FM14" s="40">
        <v>90</v>
      </c>
      <c r="FN14" s="39">
        <f t="shared" si="74"/>
        <v>98497400</v>
      </c>
      <c r="FO14" s="40">
        <v>240</v>
      </c>
      <c r="FP14" s="39">
        <f t="shared" si="75"/>
        <v>249127400</v>
      </c>
      <c r="FT14" s="16" t="s">
        <v>39</v>
      </c>
      <c r="FU14" s="16">
        <v>43713</v>
      </c>
      <c r="FV14" s="103">
        <v>82565532.768116847</v>
      </c>
      <c r="FW14" s="104">
        <v>80000000</v>
      </c>
      <c r="FY14" s="104">
        <v>80000000</v>
      </c>
      <c r="FZ14" s="1">
        <f t="shared" si="29"/>
        <v>3</v>
      </c>
      <c r="GB14" s="40">
        <v>90</v>
      </c>
      <c r="GC14" s="39">
        <f t="shared" si="76"/>
        <v>108517999.99999999</v>
      </c>
      <c r="GD14" s="40">
        <v>240</v>
      </c>
      <c r="GE14" s="39">
        <f t="shared" si="77"/>
        <v>272272999.99999994</v>
      </c>
      <c r="GI14" s="40">
        <v>90</v>
      </c>
      <c r="GJ14" s="39">
        <f t="shared" si="78"/>
        <v>86446000</v>
      </c>
      <c r="GK14" s="40">
        <v>240</v>
      </c>
      <c r="GL14" s="39">
        <f t="shared" si="79"/>
        <v>205171000.00000003</v>
      </c>
      <c r="GP14" s="16" t="s">
        <v>38</v>
      </c>
      <c r="GQ14" s="16">
        <v>44077</v>
      </c>
      <c r="GR14" s="103">
        <v>40517600.243235022</v>
      </c>
      <c r="GS14" s="104">
        <v>20000000</v>
      </c>
      <c r="GX14" s="40">
        <v>90</v>
      </c>
      <c r="GY14" s="39">
        <f t="shared" si="80"/>
        <v>118539999.99999999</v>
      </c>
      <c r="GZ14" s="40">
        <v>240</v>
      </c>
      <c r="HA14" s="39">
        <f t="shared" si="81"/>
        <v>289825000</v>
      </c>
      <c r="HE14" s="16" t="s">
        <v>35</v>
      </c>
      <c r="HF14" s="16">
        <v>44441</v>
      </c>
      <c r="HG14" s="103">
        <v>43186218.060200661</v>
      </c>
      <c r="HH14" s="104">
        <v>20000000</v>
      </c>
      <c r="HK14" s="1">
        <f>SUM(HK5:HK13)</f>
        <v>53</v>
      </c>
      <c r="HM14" s="40">
        <v>90</v>
      </c>
      <c r="HN14" s="39">
        <f t="shared" si="82"/>
        <v>136314000</v>
      </c>
      <c r="HO14" s="40">
        <v>240</v>
      </c>
      <c r="HP14" s="39">
        <f t="shared" si="83"/>
        <v>343734000.00000006</v>
      </c>
      <c r="HT14" s="40">
        <v>90</v>
      </c>
      <c r="HU14" s="39">
        <f t="shared" si="84"/>
        <v>119175999.99999999</v>
      </c>
      <c r="HV14" s="40">
        <v>240</v>
      </c>
      <c r="HW14" s="39">
        <f t="shared" si="85"/>
        <v>291361000</v>
      </c>
      <c r="IA14" s="16" t="s">
        <v>37</v>
      </c>
      <c r="IB14" s="16">
        <v>44812</v>
      </c>
      <c r="IC14" s="103">
        <v>61420572.818485856</v>
      </c>
      <c r="ID14" s="104">
        <v>40000000</v>
      </c>
      <c r="IF14" s="104">
        <v>160000000</v>
      </c>
      <c r="IG14" s="1">
        <f>COUNTIF($ID:$ID,IF14)</f>
        <v>1</v>
      </c>
      <c r="II14" s="40">
        <v>90</v>
      </c>
      <c r="IJ14" s="39">
        <f t="shared" si="86"/>
        <v>147902000</v>
      </c>
      <c r="IK14" s="40">
        <v>240</v>
      </c>
      <c r="IL14" s="39">
        <f t="shared" si="87"/>
        <v>377207000</v>
      </c>
      <c r="IP14" s="40">
        <v>90</v>
      </c>
      <c r="IQ14" s="39">
        <f t="shared" si="88"/>
        <v>119578000</v>
      </c>
      <c r="IR14" s="40">
        <v>240</v>
      </c>
      <c r="IS14" s="39">
        <f t="shared" si="89"/>
        <v>291417999.99999994</v>
      </c>
      <c r="IW14" s="16" t="s">
        <v>169</v>
      </c>
      <c r="IX14" s="12">
        <v>44077</v>
      </c>
      <c r="IY14" s="103">
        <v>40517600.243235022</v>
      </c>
      <c r="IZ14" s="104">
        <v>20000000</v>
      </c>
      <c r="JB14" s="104">
        <v>160000000</v>
      </c>
      <c r="JC14" s="1">
        <f t="shared" si="48"/>
        <v>1</v>
      </c>
      <c r="JE14" s="40">
        <v>90</v>
      </c>
      <c r="JF14" s="39">
        <f t="shared" si="90"/>
        <v>147902000</v>
      </c>
      <c r="JG14" s="40">
        <v>240</v>
      </c>
      <c r="JH14" s="39">
        <f t="shared" si="91"/>
        <v>377207000</v>
      </c>
      <c r="JI14" s="39"/>
      <c r="JJ14" s="39"/>
      <c r="JN14" s="40">
        <v>10</v>
      </c>
      <c r="JO14" s="39">
        <f t="shared" si="92"/>
        <v>27930000</v>
      </c>
      <c r="JP14" s="40">
        <v>240</v>
      </c>
      <c r="JQ14" s="39">
        <f t="shared" si="93"/>
        <v>291417999.99999994</v>
      </c>
      <c r="JR14" s="39"/>
      <c r="JS14" s="39"/>
      <c r="JT14" s="39"/>
      <c r="JU14" s="39"/>
      <c r="JY14" s="16" t="s">
        <v>83</v>
      </c>
      <c r="JZ14" s="16">
        <v>42985</v>
      </c>
      <c r="KA14" s="103">
        <v>25652990</v>
      </c>
      <c r="KB14" s="104">
        <v>15000000</v>
      </c>
      <c r="KD14" s="55" t="s">
        <v>83</v>
      </c>
      <c r="KE14" s="54"/>
      <c r="KG14" s="16" t="s">
        <v>82</v>
      </c>
      <c r="KH14" s="16">
        <v>43167</v>
      </c>
      <c r="KI14" s="103">
        <v>27324110</v>
      </c>
      <c r="KJ14" s="104">
        <v>15000000</v>
      </c>
      <c r="KL14" s="104">
        <v>40000000</v>
      </c>
      <c r="KM14" s="1">
        <f t="shared" si="33"/>
        <v>2</v>
      </c>
      <c r="KO14" s="16" t="s">
        <v>81</v>
      </c>
      <c r="KP14" s="16">
        <v>43349</v>
      </c>
      <c r="KQ14" s="103">
        <v>21834252</v>
      </c>
      <c r="KR14" s="104">
        <v>12000000</v>
      </c>
      <c r="KT14" s="104">
        <v>80000000</v>
      </c>
      <c r="KU14" s="1">
        <f t="shared" si="34"/>
        <v>1</v>
      </c>
      <c r="KW14" s="16" t="s">
        <v>79</v>
      </c>
      <c r="KX14" s="16">
        <v>43531</v>
      </c>
      <c r="KY14" s="103">
        <v>12844326</v>
      </c>
      <c r="KZ14" s="104">
        <v>3000000</v>
      </c>
      <c r="LC14" s="1">
        <f>SUM(LC5:LC13)</f>
        <v>26</v>
      </c>
      <c r="LE14" s="16" t="s">
        <v>78</v>
      </c>
      <c r="LF14" s="16">
        <v>43713</v>
      </c>
      <c r="LG14" s="103">
        <v>85553622</v>
      </c>
      <c r="LH14" s="104">
        <v>80000000</v>
      </c>
      <c r="LJ14" s="104">
        <v>80000000</v>
      </c>
      <c r="LK14" s="1">
        <f t="shared" si="36"/>
        <v>2</v>
      </c>
      <c r="LM14" s="16" t="s">
        <v>77</v>
      </c>
      <c r="LN14" s="16">
        <v>43895</v>
      </c>
      <c r="LO14" s="103">
        <v>36963366</v>
      </c>
      <c r="LP14" s="104">
        <v>20000000</v>
      </c>
      <c r="LS14" s="1">
        <f>SUM(LS5:LS13)</f>
        <v>26</v>
      </c>
      <c r="LU14" s="16" t="s">
        <v>70</v>
      </c>
      <c r="LV14" s="16">
        <v>44077</v>
      </c>
      <c r="LW14" s="103">
        <v>41614452</v>
      </c>
      <c r="LX14" s="104">
        <v>20000000</v>
      </c>
      <c r="LZ14" s="55" t="s">
        <v>70</v>
      </c>
      <c r="MA14" s="54"/>
      <c r="MC14" s="16" t="s">
        <v>86</v>
      </c>
      <c r="MD14" s="16">
        <v>44266</v>
      </c>
      <c r="ME14" s="103">
        <v>45732786</v>
      </c>
      <c r="MF14" s="104">
        <v>30000000</v>
      </c>
      <c r="MH14" s="55" t="s">
        <v>86</v>
      </c>
      <c r="MI14" s="54"/>
      <c r="MK14" s="16" t="s">
        <v>69</v>
      </c>
      <c r="ML14" s="16">
        <v>44441</v>
      </c>
      <c r="MM14" s="103">
        <v>43910988</v>
      </c>
      <c r="MN14" s="104">
        <v>20000000</v>
      </c>
      <c r="MP14" s="55" t="s">
        <v>69</v>
      </c>
      <c r="MQ14" s="54"/>
      <c r="MS14" s="16" t="s">
        <v>76</v>
      </c>
      <c r="MT14" s="16">
        <v>44630</v>
      </c>
      <c r="MU14" s="103">
        <v>25568532</v>
      </c>
      <c r="MV14" s="104">
        <v>8000000</v>
      </c>
      <c r="NA14" s="16" t="s">
        <v>110</v>
      </c>
      <c r="NB14" s="16">
        <v>42901</v>
      </c>
      <c r="NC14" s="103">
        <v>43455060</v>
      </c>
      <c r="ND14" s="104">
        <v>30000000</v>
      </c>
      <c r="NF14" s="104">
        <v>55000000</v>
      </c>
      <c r="NG14" s="1">
        <f t="shared" si="42"/>
        <v>1</v>
      </c>
      <c r="NI14" s="40">
        <v>90</v>
      </c>
      <c r="NJ14" s="39">
        <f t="shared" si="94"/>
        <v>113446999.99999999</v>
      </c>
      <c r="NK14" s="40">
        <v>240</v>
      </c>
      <c r="NL14" s="39">
        <f t="shared" si="95"/>
        <v>285662000</v>
      </c>
      <c r="NP14" s="16" t="s">
        <v>34</v>
      </c>
      <c r="NQ14" s="16">
        <v>43272</v>
      </c>
      <c r="NR14" s="103">
        <v>11013750</v>
      </c>
      <c r="NS14" s="104">
        <v>3000000</v>
      </c>
      <c r="NU14" s="104">
        <v>80000000</v>
      </c>
      <c r="NV14" s="1">
        <f t="shared" si="43"/>
        <v>2</v>
      </c>
      <c r="NX14" s="40">
        <v>90</v>
      </c>
      <c r="NY14" s="39">
        <f t="shared" si="96"/>
        <v>113387200</v>
      </c>
      <c r="NZ14" s="40">
        <v>240</v>
      </c>
      <c r="OA14" s="39">
        <f t="shared" si="97"/>
        <v>294257200</v>
      </c>
    </row>
    <row r="15" spans="1:393" x14ac:dyDescent="0.25">
      <c r="B15" s="53">
        <v>41340</v>
      </c>
      <c r="C15" s="53">
        <v>43208</v>
      </c>
      <c r="D15" s="66">
        <v>0.85</v>
      </c>
      <c r="F15" s="5" t="s">
        <v>115</v>
      </c>
      <c r="G15" s="51">
        <f t="shared" si="51"/>
        <v>45108</v>
      </c>
      <c r="H15" s="51">
        <f t="shared" si="49"/>
        <v>45473</v>
      </c>
      <c r="I15" s="50">
        <f t="shared" si="50"/>
        <v>52</v>
      </c>
      <c r="K15" s="7">
        <v>11</v>
      </c>
      <c r="M15" s="5" t="str" cm="1">
        <f t="array" ref="M15">LOOKUP(2,1/($G$19:$G$35&lt;=$V15)/($H$19:$H$35&gt;=$V15),$F$19:$F$35)</f>
        <v>2H17</v>
      </c>
      <c r="N15" s="5" t="str" cm="1">
        <f t="array" ref="N15">LOOKUP(2,1/($G$8:$G$16&lt;=$V15)/($H$8:$H$16&gt;=$V15),$F$8:$F$16)</f>
        <v>FY17</v>
      </c>
      <c r="O15" s="5" t="str">
        <f>IFERROR(N15&amp;"-"&amp;COUNTIF($N$15:N19,N15),NA())</f>
        <v>FY17-5</v>
      </c>
      <c r="P15" s="5">
        <f>COUNTIF(V$15:V19,"&gt;="&amp;MAX($V:$V)-183)</f>
        <v>0</v>
      </c>
      <c r="Q15" s="5">
        <f>COUNTIF(V$15:V19,"&gt;="&amp;MAX($V:$V)-365)</f>
        <v>0</v>
      </c>
      <c r="R15" s="5" cm="1">
        <f t="array" ref="R15">LOOKUP(2,1/($G$46:$G$50&lt;=$V15)/($H$46:$H$50&gt;=$V15),$F$46:$F$50)</f>
        <v>0</v>
      </c>
      <c r="S15" s="5" cm="1">
        <f t="array" ref="S15">LOOKUP(2,1/($G$53:$G$56&lt;=$V15)/($H$53:$H$56&gt;=$V15),$F$53:$F$56)</f>
        <v>0</v>
      </c>
      <c r="T15" s="5" t="e">
        <f>IFERROR(IF($R15&gt;0,$R15&amp;"-"&amp;COUNTIF($R$15:$R19,$R15),NA()),NA())</f>
        <v>#N/A</v>
      </c>
      <c r="U15" s="5" t="e">
        <f>IFERROR(IF($S15&gt;0,$S15&amp;"-"&amp;COUNTIF($S$15:$S19,$S15),NA()),NA())</f>
        <v>#N/A</v>
      </c>
      <c r="V15" s="10">
        <v>42810</v>
      </c>
      <c r="W15" s="101">
        <v>15912028.45782301</v>
      </c>
      <c r="X15" s="101">
        <v>14783070.038740467</v>
      </c>
      <c r="Y15" s="102">
        <v>6000000</v>
      </c>
      <c r="AA15" s="48">
        <f t="shared" si="44"/>
        <v>11</v>
      </c>
      <c r="AB15" s="12">
        <f t="shared" si="0"/>
        <v>45092</v>
      </c>
      <c r="AC15" s="103">
        <f t="shared" si="1"/>
        <v>87731429.334205076</v>
      </c>
      <c r="AD15" s="104">
        <f t="shared" si="2"/>
        <v>60000000</v>
      </c>
      <c r="AF15" s="104" t="s">
        <v>107</v>
      </c>
      <c r="AG15" s="1">
        <f>SUM(AG5:AG14)</f>
        <v>23</v>
      </c>
      <c r="AI15" s="40">
        <v>100</v>
      </c>
      <c r="AJ15" s="39">
        <f t="shared" si="52"/>
        <v>173931800</v>
      </c>
      <c r="AK15" s="40">
        <v>250</v>
      </c>
      <c r="AL15" s="39">
        <f t="shared" si="53"/>
        <v>423291800</v>
      </c>
      <c r="AN15" s="67"/>
      <c r="AO15" s="67"/>
      <c r="AP15" s="40">
        <v>100</v>
      </c>
      <c r="AQ15" s="39">
        <f t="shared" si="54"/>
        <v>130091999.99999999</v>
      </c>
      <c r="AR15" s="40">
        <v>250</v>
      </c>
      <c r="AS15" s="39">
        <f t="shared" si="55"/>
        <v>299876999.99999994</v>
      </c>
      <c r="AU15" s="67"/>
      <c r="AW15" s="48">
        <f t="shared" si="45"/>
        <v>11</v>
      </c>
      <c r="AX15" s="12">
        <f t="shared" si="4"/>
        <v>44910</v>
      </c>
      <c r="AY15" s="103">
        <f t="shared" si="5"/>
        <v>50094358.163575552</v>
      </c>
      <c r="AZ15" s="104">
        <f t="shared" si="6"/>
        <v>30000000</v>
      </c>
      <c r="BB15" s="104">
        <v>120000000</v>
      </c>
      <c r="BC15" s="1">
        <f t="shared" si="7"/>
        <v>0</v>
      </c>
      <c r="BD15" s="104" t="e">
        <f t="shared" si="46"/>
        <v>#DIV/0!</v>
      </c>
      <c r="BF15" s="40">
        <v>100</v>
      </c>
      <c r="BG15" s="39">
        <f t="shared" si="56"/>
        <v>166512800</v>
      </c>
      <c r="BH15" s="40">
        <v>250</v>
      </c>
      <c r="BI15" s="39">
        <f t="shared" si="57"/>
        <v>404277799.99999994</v>
      </c>
      <c r="BK15" s="67"/>
      <c r="BL15" s="67"/>
      <c r="BM15" s="40">
        <v>100</v>
      </c>
      <c r="BN15" s="39">
        <f t="shared" si="58"/>
        <v>131574999.99999999</v>
      </c>
      <c r="BO15" s="40">
        <v>250</v>
      </c>
      <c r="BP15" s="39">
        <f t="shared" si="59"/>
        <v>304525000</v>
      </c>
      <c r="BR15" s="67"/>
      <c r="BT15" s="48" t="str">
        <f t="shared" si="8"/>
        <v>N1-11</v>
      </c>
      <c r="BU15" s="12">
        <f t="shared" si="9"/>
        <v>44182</v>
      </c>
      <c r="BV15" s="103">
        <f t="shared" si="10"/>
        <v>40397165.825478874</v>
      </c>
      <c r="BW15" s="104">
        <f t="shared" si="11"/>
        <v>20000000</v>
      </c>
      <c r="BY15" s="1">
        <v>3</v>
      </c>
      <c r="BZ15" s="1">
        <v>20</v>
      </c>
      <c r="CB15" s="40">
        <v>50</v>
      </c>
      <c r="CC15" s="39">
        <f t="shared" si="60"/>
        <v>78787000</v>
      </c>
      <c r="CD15" s="40">
        <v>250</v>
      </c>
      <c r="CE15" s="39">
        <f t="shared" si="61"/>
        <v>333487000</v>
      </c>
      <c r="CG15" s="67"/>
      <c r="CH15" s="67"/>
      <c r="CI15" s="48" t="str">
        <f t="shared" si="12"/>
        <v>A1-11</v>
      </c>
      <c r="CJ15" s="12">
        <f t="shared" si="13"/>
        <v>44294</v>
      </c>
      <c r="CK15" s="105">
        <f t="shared" si="14"/>
        <v>41866552.508361198</v>
      </c>
      <c r="CL15" s="105">
        <f t="shared" si="15"/>
        <v>30000000</v>
      </c>
      <c r="CN15" s="1">
        <v>2</v>
      </c>
      <c r="CO15" s="1">
        <v>20</v>
      </c>
      <c r="CQ15" s="40">
        <v>50</v>
      </c>
      <c r="CR15" s="39">
        <f t="shared" si="62"/>
        <v>73169000</v>
      </c>
      <c r="CS15" s="40">
        <v>250</v>
      </c>
      <c r="CT15" s="39">
        <f t="shared" si="63"/>
        <v>316789000</v>
      </c>
      <c r="CV15" s="67"/>
      <c r="CX15" s="48" t="str">
        <f t="shared" si="16"/>
        <v>N2-11</v>
      </c>
      <c r="CY15" s="12">
        <f t="shared" si="17"/>
        <v>44777</v>
      </c>
      <c r="CZ15" s="103">
        <f t="shared" si="18"/>
        <v>24328928.428093642</v>
      </c>
      <c r="DA15" s="104">
        <f t="shared" si="19"/>
        <v>8000000</v>
      </c>
      <c r="DC15" s="1">
        <v>2</v>
      </c>
      <c r="DD15" s="1">
        <v>8</v>
      </c>
      <c r="DF15" s="40">
        <v>50</v>
      </c>
      <c r="DG15" s="39">
        <f t="shared" si="64"/>
        <v>70298000</v>
      </c>
      <c r="DH15" s="40">
        <v>250</v>
      </c>
      <c r="DI15" s="39">
        <f t="shared" si="65"/>
        <v>280238000</v>
      </c>
      <c r="DK15" s="67"/>
      <c r="DL15" s="67"/>
      <c r="DM15" s="48" t="str">
        <f t="shared" si="20"/>
        <v>A2-11</v>
      </c>
      <c r="DN15" s="12">
        <f t="shared" si="21"/>
        <v>44889</v>
      </c>
      <c r="DO15" s="103">
        <f t="shared" si="22"/>
        <v>71266594.101550624</v>
      </c>
      <c r="DP15" s="104">
        <f t="shared" si="23"/>
        <v>50000000</v>
      </c>
      <c r="DR15" s="1">
        <v>1</v>
      </c>
      <c r="DS15" s="1">
        <v>8</v>
      </c>
      <c r="DU15" s="40">
        <v>50</v>
      </c>
      <c r="DV15" s="39">
        <f t="shared" si="66"/>
        <v>73169000</v>
      </c>
      <c r="DW15" s="40">
        <v>250</v>
      </c>
      <c r="DX15" s="39">
        <f t="shared" si="67"/>
        <v>316789000</v>
      </c>
      <c r="DZ15" s="67"/>
      <c r="EA15" s="67"/>
      <c r="EB15" s="40">
        <v>50</v>
      </c>
      <c r="EC15" s="39">
        <f t="shared" si="68"/>
        <v>54785999.999999993</v>
      </c>
      <c r="ED15" s="40">
        <v>250</v>
      </c>
      <c r="EE15" s="39">
        <f t="shared" si="69"/>
        <v>213086000</v>
      </c>
      <c r="EG15" s="67"/>
      <c r="EH15" s="67"/>
      <c r="EI15" s="47" t="str">
        <f t="shared" si="25"/>
        <v>FY18-11</v>
      </c>
      <c r="EJ15" s="16">
        <v>42992</v>
      </c>
      <c r="EK15" s="103">
        <v>42955932.763498358</v>
      </c>
      <c r="EL15" s="104">
        <f t="shared" si="26"/>
        <v>30000000</v>
      </c>
      <c r="EN15" s="104">
        <v>40000000</v>
      </c>
      <c r="EO15" s="1">
        <f t="shared" si="27"/>
        <v>2</v>
      </c>
      <c r="EQ15" s="40">
        <v>100</v>
      </c>
      <c r="ER15" s="39">
        <f t="shared" si="70"/>
        <v>116419200</v>
      </c>
      <c r="ES15" s="40">
        <v>250</v>
      </c>
      <c r="ET15" s="39">
        <f t="shared" si="71"/>
        <v>276304200.00000006</v>
      </c>
      <c r="EU15" s="67"/>
      <c r="EV15" s="67"/>
      <c r="EW15" s="67"/>
      <c r="EX15" s="16" t="s">
        <v>33</v>
      </c>
      <c r="EY15" s="16">
        <v>43356</v>
      </c>
      <c r="EZ15" s="103">
        <v>27308763.127781302</v>
      </c>
      <c r="FA15" s="104">
        <v>20000000</v>
      </c>
      <c r="FC15" s="104">
        <v>100000000</v>
      </c>
      <c r="FD15" s="1">
        <f t="shared" si="28"/>
        <v>2</v>
      </c>
      <c r="FF15" s="40">
        <v>100</v>
      </c>
      <c r="FG15" s="39">
        <f t="shared" si="72"/>
        <v>135298899.99999997</v>
      </c>
      <c r="FH15" s="40">
        <v>250</v>
      </c>
      <c r="FI15" s="39">
        <f t="shared" si="73"/>
        <v>333748900</v>
      </c>
      <c r="FK15" s="67"/>
      <c r="FL15" s="67"/>
      <c r="FM15" s="40">
        <v>100</v>
      </c>
      <c r="FN15" s="39">
        <f t="shared" si="74"/>
        <v>108539400</v>
      </c>
      <c r="FO15" s="40">
        <v>250</v>
      </c>
      <c r="FP15" s="39">
        <f t="shared" si="75"/>
        <v>259169400</v>
      </c>
      <c r="FR15" s="67"/>
      <c r="FS15" s="67"/>
      <c r="FT15" s="16" t="s">
        <v>39</v>
      </c>
      <c r="FU15" s="16">
        <v>43720</v>
      </c>
      <c r="FV15" s="103">
        <v>124361859.2734699</v>
      </c>
      <c r="FW15" s="104">
        <v>100000000</v>
      </c>
      <c r="FY15" s="104">
        <v>100000000</v>
      </c>
      <c r="FZ15" s="1">
        <f t="shared" si="29"/>
        <v>1</v>
      </c>
      <c r="GB15" s="40">
        <v>100</v>
      </c>
      <c r="GC15" s="39">
        <f t="shared" si="76"/>
        <v>119434999.99999999</v>
      </c>
      <c r="GD15" s="40">
        <v>250</v>
      </c>
      <c r="GE15" s="39">
        <f t="shared" si="77"/>
        <v>283189999.99999994</v>
      </c>
      <c r="GG15" s="67"/>
      <c r="GH15" s="67"/>
      <c r="GI15" s="40">
        <v>100</v>
      </c>
      <c r="GJ15" s="39">
        <f t="shared" si="78"/>
        <v>94360999.999999985</v>
      </c>
      <c r="GK15" s="40">
        <v>250</v>
      </c>
      <c r="GL15" s="39">
        <f t="shared" si="79"/>
        <v>213086000</v>
      </c>
      <c r="GN15" s="67"/>
      <c r="GO15" s="67"/>
      <c r="GP15" s="16" t="s">
        <v>38</v>
      </c>
      <c r="GQ15" s="16">
        <v>44084</v>
      </c>
      <c r="GR15" s="103">
        <v>59511774.76436606</v>
      </c>
      <c r="GS15" s="104">
        <v>40000000</v>
      </c>
      <c r="GU15" s="55" t="s">
        <v>114</v>
      </c>
      <c r="GV15" s="54"/>
      <c r="GX15" s="40">
        <v>100</v>
      </c>
      <c r="GY15" s="39">
        <f t="shared" si="80"/>
        <v>129959000</v>
      </c>
      <c r="GZ15" s="40">
        <v>250</v>
      </c>
      <c r="HA15" s="39">
        <f t="shared" si="81"/>
        <v>301244000</v>
      </c>
      <c r="HC15" s="67"/>
      <c r="HD15" s="67"/>
      <c r="HE15" s="16" t="s">
        <v>35</v>
      </c>
      <c r="HF15" s="16">
        <v>44448</v>
      </c>
      <c r="HG15" s="103">
        <v>19506276.92307692</v>
      </c>
      <c r="HH15" s="104">
        <v>3000000</v>
      </c>
      <c r="HM15" s="40">
        <v>100</v>
      </c>
      <c r="HN15" s="39">
        <f t="shared" si="82"/>
        <v>150142000</v>
      </c>
      <c r="HO15" s="40">
        <v>250</v>
      </c>
      <c r="HP15" s="39">
        <f t="shared" si="83"/>
        <v>357562000</v>
      </c>
      <c r="HR15" s="67"/>
      <c r="HS15" s="67"/>
      <c r="HT15" s="40">
        <v>100</v>
      </c>
      <c r="HU15" s="39">
        <f t="shared" si="84"/>
        <v>130655000</v>
      </c>
      <c r="HV15" s="40">
        <v>250</v>
      </c>
      <c r="HW15" s="39">
        <f t="shared" si="85"/>
        <v>302840000</v>
      </c>
      <c r="HY15" s="67"/>
      <c r="HZ15" s="67"/>
      <c r="IA15" s="16" t="s">
        <v>37</v>
      </c>
      <c r="IB15" s="16">
        <v>44819</v>
      </c>
      <c r="IC15" s="103">
        <v>25008818.485861961</v>
      </c>
      <c r="ID15" s="104">
        <v>8000000</v>
      </c>
      <c r="IG15" s="1">
        <f>SUM(IG5:IG14)</f>
        <v>52</v>
      </c>
      <c r="II15" s="40">
        <v>100</v>
      </c>
      <c r="IJ15" s="39">
        <f t="shared" si="86"/>
        <v>163189000</v>
      </c>
      <c r="IK15" s="40">
        <v>250</v>
      </c>
      <c r="IL15" s="39">
        <f t="shared" si="87"/>
        <v>392494000</v>
      </c>
      <c r="IN15" s="67"/>
      <c r="IO15" s="67"/>
      <c r="IP15" s="40">
        <v>100</v>
      </c>
      <c r="IQ15" s="39">
        <f t="shared" si="88"/>
        <v>131033999.99999999</v>
      </c>
      <c r="IR15" s="40">
        <v>250</v>
      </c>
      <c r="IS15" s="39">
        <f t="shared" si="89"/>
        <v>302873999.99999994</v>
      </c>
      <c r="IU15" s="67"/>
      <c r="IV15" s="67"/>
      <c r="IW15" s="16" t="s">
        <v>169</v>
      </c>
      <c r="IX15" s="12">
        <v>44084</v>
      </c>
      <c r="IY15" s="103">
        <v>59511774.76436606</v>
      </c>
      <c r="IZ15" s="104">
        <v>40000000</v>
      </c>
      <c r="JC15" s="1">
        <f>SUM(JC5:JC14)</f>
        <v>52</v>
      </c>
      <c r="JE15" s="40">
        <v>100</v>
      </c>
      <c r="JF15" s="39">
        <f t="shared" si="90"/>
        <v>163189000</v>
      </c>
      <c r="JG15" s="40">
        <v>250</v>
      </c>
      <c r="JH15" s="39">
        <f t="shared" si="91"/>
        <v>392494000</v>
      </c>
      <c r="JI15" s="39"/>
      <c r="JJ15" s="39"/>
      <c r="JL15" s="67"/>
      <c r="JM15" s="67"/>
      <c r="JN15" s="40">
        <v>12</v>
      </c>
      <c r="JO15" s="39">
        <f t="shared" si="92"/>
        <v>30221200</v>
      </c>
      <c r="JP15" s="40">
        <v>250</v>
      </c>
      <c r="JQ15" s="39">
        <f t="shared" si="93"/>
        <v>302873999.99999994</v>
      </c>
      <c r="JR15" s="39"/>
      <c r="JS15" s="39"/>
      <c r="JT15" s="39"/>
      <c r="JU15" s="39"/>
      <c r="JW15" s="67"/>
      <c r="JX15" s="67"/>
      <c r="JY15" s="16" t="s">
        <v>83</v>
      </c>
      <c r="JZ15" s="16">
        <v>42992</v>
      </c>
      <c r="KA15" s="103">
        <v>42817610</v>
      </c>
      <c r="KB15" s="104">
        <v>30000000</v>
      </c>
      <c r="KD15" s="52" t="s">
        <v>42</v>
      </c>
      <c r="KE15" s="52" t="s">
        <v>41</v>
      </c>
      <c r="KG15" s="16" t="s">
        <v>82</v>
      </c>
      <c r="KH15" s="16">
        <v>43174</v>
      </c>
      <c r="KI15" s="103">
        <v>41905380</v>
      </c>
      <c r="KJ15" s="104">
        <v>30000000</v>
      </c>
      <c r="KL15" s="104">
        <v>50000000</v>
      </c>
      <c r="KM15" s="1">
        <f t="shared" si="33"/>
        <v>1</v>
      </c>
      <c r="KO15" s="16" t="s">
        <v>81</v>
      </c>
      <c r="KP15" s="16">
        <v>43356</v>
      </c>
      <c r="KQ15" s="103">
        <v>28533780</v>
      </c>
      <c r="KR15" s="104">
        <v>20000000</v>
      </c>
      <c r="KT15" s="104">
        <v>100000000</v>
      </c>
      <c r="KU15" s="1">
        <f t="shared" si="34"/>
        <v>1</v>
      </c>
      <c r="KW15" s="16" t="s">
        <v>79</v>
      </c>
      <c r="KX15" s="16">
        <v>43538</v>
      </c>
      <c r="KY15" s="103">
        <v>16368594</v>
      </c>
      <c r="KZ15" s="104">
        <v>8000000</v>
      </c>
      <c r="LE15" s="16" t="s">
        <v>78</v>
      </c>
      <c r="LF15" s="16">
        <v>43720</v>
      </c>
      <c r="LG15" s="103">
        <v>123193752</v>
      </c>
      <c r="LH15" s="104">
        <v>100000000</v>
      </c>
      <c r="LJ15" s="104">
        <v>100000000</v>
      </c>
      <c r="LK15" s="1">
        <f t="shared" si="36"/>
        <v>1</v>
      </c>
      <c r="LM15" s="16" t="s">
        <v>77</v>
      </c>
      <c r="LN15" s="16">
        <v>43902</v>
      </c>
      <c r="LO15" s="103">
        <v>46469544</v>
      </c>
      <c r="LP15" s="104">
        <v>40000000</v>
      </c>
      <c r="LU15" s="16" t="s">
        <v>70</v>
      </c>
      <c r="LV15" s="16">
        <v>44084</v>
      </c>
      <c r="LW15" s="103">
        <v>60768708</v>
      </c>
      <c r="LX15" s="104">
        <v>40000000</v>
      </c>
      <c r="LZ15" s="52" t="s">
        <v>42</v>
      </c>
      <c r="MA15" s="52" t="s">
        <v>41</v>
      </c>
      <c r="MC15" s="16" t="s">
        <v>86</v>
      </c>
      <c r="MD15" s="16">
        <v>44273</v>
      </c>
      <c r="ME15" s="103">
        <v>68623038</v>
      </c>
      <c r="MF15" s="104">
        <v>50000000</v>
      </c>
      <c r="MH15" s="52" t="s">
        <v>42</v>
      </c>
      <c r="MI15" s="52" t="s">
        <v>41</v>
      </c>
      <c r="MK15" s="16" t="s">
        <v>69</v>
      </c>
      <c r="ML15" s="16">
        <v>44448</v>
      </c>
      <c r="MM15" s="103">
        <v>19176894</v>
      </c>
      <c r="MN15" s="104">
        <v>3000000</v>
      </c>
      <c r="MP15" s="52" t="s">
        <v>42</v>
      </c>
      <c r="MQ15" s="52" t="s">
        <v>41</v>
      </c>
      <c r="MS15" s="16" t="s">
        <v>76</v>
      </c>
      <c r="MT15" s="16">
        <v>44637</v>
      </c>
      <c r="MU15" s="103">
        <v>43218450</v>
      </c>
      <c r="MV15" s="104">
        <v>20000000</v>
      </c>
      <c r="MX15" s="55" t="s">
        <v>113</v>
      </c>
      <c r="MY15" s="54"/>
      <c r="NA15" s="16" t="s">
        <v>110</v>
      </c>
      <c r="NB15" s="16">
        <v>42908</v>
      </c>
      <c r="NC15" s="103">
        <v>12797510</v>
      </c>
      <c r="ND15" s="104">
        <v>3000000</v>
      </c>
      <c r="NG15" s="1">
        <f>SUM(NG5:NG14)</f>
        <v>53</v>
      </c>
      <c r="NI15" s="40">
        <v>100</v>
      </c>
      <c r="NJ15" s="39">
        <f t="shared" si="94"/>
        <v>124927999.99999999</v>
      </c>
      <c r="NK15" s="40">
        <v>250</v>
      </c>
      <c r="NL15" s="39">
        <f t="shared" si="95"/>
        <v>297143000</v>
      </c>
      <c r="NN15" s="67"/>
      <c r="NP15" s="16" t="s">
        <v>34</v>
      </c>
      <c r="NQ15" s="16">
        <v>43279</v>
      </c>
      <c r="NR15" s="103">
        <v>16538214</v>
      </c>
      <c r="NS15" s="104">
        <v>8000000</v>
      </c>
      <c r="NU15" s="104">
        <v>100000000</v>
      </c>
      <c r="NV15" s="1">
        <f t="shared" si="43"/>
        <v>2</v>
      </c>
      <c r="NX15" s="40">
        <v>100</v>
      </c>
      <c r="NY15" s="39">
        <f t="shared" si="96"/>
        <v>125445200</v>
      </c>
      <c r="NZ15" s="40">
        <v>250</v>
      </c>
      <c r="OA15" s="39">
        <f t="shared" si="97"/>
        <v>306315200</v>
      </c>
      <c r="OC15" s="67"/>
    </row>
    <row r="16" spans="1:393" x14ac:dyDescent="0.25">
      <c r="B16" s="53">
        <v>43209</v>
      </c>
      <c r="C16" s="51">
        <f>EOMONTH(MAX($V:$V),0)</f>
        <v>45230</v>
      </c>
      <c r="D16" s="66">
        <v>1.1000000000000001</v>
      </c>
      <c r="F16" s="5" t="s">
        <v>112</v>
      </c>
      <c r="G16" s="51">
        <f t="shared" si="51"/>
        <v>45474</v>
      </c>
      <c r="H16" s="51">
        <f t="shared" si="49"/>
        <v>45838</v>
      </c>
      <c r="I16" s="50">
        <f t="shared" si="50"/>
        <v>52</v>
      </c>
      <c r="K16" s="7">
        <v>12</v>
      </c>
      <c r="M16" s="5" t="str" cm="1">
        <f t="array" ref="M16">LOOKUP(2,1/($G$19:$G$35&lt;=$V16)/($H$19:$H$35&gt;=$V16),$F$19:$F$35)</f>
        <v>2H17</v>
      </c>
      <c r="N16" s="5" t="str" cm="1">
        <f t="array" ref="N16">LOOKUP(2,1/($G$8:$G$16&lt;=$V16)/($H$8:$H$16&gt;=$V16),$F$8:$F$16)</f>
        <v>FY17</v>
      </c>
      <c r="O16" s="5" t="str">
        <f>IFERROR(N16&amp;"-"&amp;COUNTIF($N$16:N19,N16),NA())</f>
        <v>FY17-4</v>
      </c>
      <c r="P16" s="5">
        <f>COUNTIF(V$16:V19,"&gt;="&amp;MAX($V:$V)-183)</f>
        <v>0</v>
      </c>
      <c r="Q16" s="5">
        <f>COUNTIF(V$16:V19,"&gt;="&amp;MAX($V:$V)-365)</f>
        <v>0</v>
      </c>
      <c r="R16" s="5" cm="1">
        <f t="array" ref="R16">LOOKUP(2,1/($G$46:$G$50&lt;=$V16)/($H$46:$H$50&gt;=$V16),$F$46:$F$50)</f>
        <v>0</v>
      </c>
      <c r="S16" s="5" cm="1">
        <f t="array" ref="S16">LOOKUP(2,1/($G$53:$G$56&lt;=$V16)/($H$53:$H$56&gt;=$V16),$F$53:$F$56)</f>
        <v>0</v>
      </c>
      <c r="T16" s="5" t="e">
        <f>IFERROR(IF($R16&gt;0,$R16&amp;"-"&amp;COUNTIF($R$16:$R19,$R16),NA()),NA())</f>
        <v>#N/A</v>
      </c>
      <c r="U16" s="5" t="e">
        <f>IFERROR(IF($S16&gt;0,$S16&amp;"-"&amp;COUNTIF($S$16:$S19,$S16),NA()),NA())</f>
        <v>#N/A</v>
      </c>
      <c r="V16" s="10">
        <v>42817</v>
      </c>
      <c r="W16" s="101">
        <v>20376564.749008104</v>
      </c>
      <c r="X16" s="101">
        <v>18930847.480065979</v>
      </c>
      <c r="Y16" s="102">
        <v>10000000</v>
      </c>
      <c r="AA16" s="48">
        <f t="shared" si="44"/>
        <v>12</v>
      </c>
      <c r="AB16" s="12">
        <f t="shared" si="0"/>
        <v>45099</v>
      </c>
      <c r="AC16" s="103">
        <f t="shared" si="1"/>
        <v>169147583.30609131</v>
      </c>
      <c r="AD16" s="104">
        <f t="shared" si="2"/>
        <v>100000000</v>
      </c>
      <c r="AF16" s="104"/>
      <c r="AI16" s="40">
        <v>110</v>
      </c>
      <c r="AJ16" s="39">
        <f t="shared" si="52"/>
        <v>190555800</v>
      </c>
      <c r="AK16" s="40">
        <v>260</v>
      </c>
      <c r="AL16" s="39">
        <f t="shared" si="53"/>
        <v>439915800.00000006</v>
      </c>
      <c r="AN16" s="106"/>
      <c r="AO16" s="106"/>
      <c r="AP16" s="40">
        <v>110</v>
      </c>
      <c r="AQ16" s="39">
        <f t="shared" si="54"/>
        <v>141411000</v>
      </c>
      <c r="AR16" s="40">
        <v>260</v>
      </c>
      <c r="AS16" s="39">
        <f t="shared" si="55"/>
        <v>311195999.99999994</v>
      </c>
      <c r="AU16" s="106"/>
      <c r="AW16" s="48">
        <f t="shared" si="45"/>
        <v>12</v>
      </c>
      <c r="AX16" s="12">
        <f t="shared" si="4"/>
        <v>44917</v>
      </c>
      <c r="AY16" s="103">
        <f t="shared" si="5"/>
        <v>75733957.798723027</v>
      </c>
      <c r="AZ16" s="104">
        <f t="shared" si="6"/>
        <v>50000000</v>
      </c>
      <c r="BB16" s="104">
        <v>160000000</v>
      </c>
      <c r="BC16" s="1">
        <f t="shared" si="7"/>
        <v>1</v>
      </c>
      <c r="BD16" s="104">
        <f t="shared" si="46"/>
        <v>284837413.80358768</v>
      </c>
      <c r="BF16" s="40">
        <v>110</v>
      </c>
      <c r="BG16" s="39">
        <f t="shared" si="56"/>
        <v>182363800</v>
      </c>
      <c r="BH16" s="40">
        <v>260</v>
      </c>
      <c r="BI16" s="39">
        <f t="shared" si="57"/>
        <v>420128799.99999994</v>
      </c>
      <c r="BK16" s="106"/>
      <c r="BL16" s="106"/>
      <c r="BM16" s="40">
        <v>110</v>
      </c>
      <c r="BN16" s="39">
        <f t="shared" si="58"/>
        <v>143105000</v>
      </c>
      <c r="BO16" s="40">
        <v>260</v>
      </c>
      <c r="BP16" s="39">
        <f t="shared" si="59"/>
        <v>316055000</v>
      </c>
      <c r="BR16" s="106"/>
      <c r="BT16" s="48" t="str">
        <f t="shared" si="8"/>
        <v>N1-12</v>
      </c>
      <c r="BU16" s="12">
        <f t="shared" si="9"/>
        <v>44189</v>
      </c>
      <c r="BV16" s="103">
        <f t="shared" si="10"/>
        <v>19022130.495591365</v>
      </c>
      <c r="BW16" s="104">
        <f t="shared" si="11"/>
        <v>3000000</v>
      </c>
      <c r="BY16" s="1">
        <v>4</v>
      </c>
      <c r="BZ16" s="1">
        <v>50</v>
      </c>
      <c r="CB16" s="40">
        <v>60</v>
      </c>
      <c r="CC16" s="39">
        <f t="shared" si="60"/>
        <v>91522000</v>
      </c>
      <c r="CD16" s="40">
        <v>260</v>
      </c>
      <c r="CE16" s="39">
        <f t="shared" si="61"/>
        <v>346222000.00000006</v>
      </c>
      <c r="CG16" s="106"/>
      <c r="CH16" s="106"/>
      <c r="CI16" s="48" t="str">
        <f t="shared" si="12"/>
        <v>A1-12</v>
      </c>
      <c r="CJ16" s="12">
        <f t="shared" si="13"/>
        <v>44301</v>
      </c>
      <c r="CK16" s="105">
        <f t="shared" si="14"/>
        <v>63615309.698996648</v>
      </c>
      <c r="CL16" s="105">
        <f t="shared" si="15"/>
        <v>50000000</v>
      </c>
      <c r="CN16" s="1">
        <v>3</v>
      </c>
      <c r="CO16" s="1">
        <v>30</v>
      </c>
      <c r="CQ16" s="40">
        <v>60</v>
      </c>
      <c r="CR16" s="39">
        <f t="shared" si="62"/>
        <v>85350000</v>
      </c>
      <c r="CS16" s="40">
        <v>260</v>
      </c>
      <c r="CT16" s="39">
        <f t="shared" si="63"/>
        <v>328970000</v>
      </c>
      <c r="CV16" s="106"/>
      <c r="CX16" s="48" t="str">
        <f t="shared" si="16"/>
        <v>N2-12</v>
      </c>
      <c r="CY16" s="12">
        <f t="shared" si="17"/>
        <v>44784</v>
      </c>
      <c r="CZ16" s="103">
        <f t="shared" si="18"/>
        <v>39456376.284584977</v>
      </c>
      <c r="DA16" s="104">
        <f t="shared" si="19"/>
        <v>20000000</v>
      </c>
      <c r="DC16" s="1">
        <v>3</v>
      </c>
      <c r="DD16" s="1">
        <v>20</v>
      </c>
      <c r="DF16" s="40">
        <v>60</v>
      </c>
      <c r="DG16" s="39">
        <f t="shared" si="64"/>
        <v>80795000</v>
      </c>
      <c r="DH16" s="40">
        <v>260</v>
      </c>
      <c r="DI16" s="39">
        <f t="shared" si="65"/>
        <v>290735000</v>
      </c>
      <c r="DK16" s="106"/>
      <c r="DL16" s="106"/>
      <c r="DM16" s="48" t="str">
        <f t="shared" si="20"/>
        <v>A2-12</v>
      </c>
      <c r="DN16" s="12">
        <f t="shared" si="21"/>
        <v>44896</v>
      </c>
      <c r="DO16" s="103">
        <f t="shared" si="22"/>
        <v>25213057.950744905</v>
      </c>
      <c r="DP16" s="104">
        <f t="shared" si="23"/>
        <v>8000000</v>
      </c>
      <c r="DR16" s="1">
        <v>2</v>
      </c>
      <c r="DS16" s="1">
        <v>20</v>
      </c>
      <c r="DU16" s="40">
        <v>60</v>
      </c>
      <c r="DV16" s="39">
        <f t="shared" si="66"/>
        <v>85350000</v>
      </c>
      <c r="DW16" s="40">
        <v>260</v>
      </c>
      <c r="DX16" s="39">
        <f t="shared" si="67"/>
        <v>328970000</v>
      </c>
      <c r="DZ16" s="106"/>
      <c r="EA16" s="106"/>
      <c r="EB16" s="40">
        <v>60</v>
      </c>
      <c r="EC16" s="39">
        <f t="shared" si="68"/>
        <v>62701000</v>
      </c>
      <c r="ED16" s="40">
        <v>260</v>
      </c>
      <c r="EE16" s="39">
        <f t="shared" si="69"/>
        <v>221001000</v>
      </c>
      <c r="EG16" s="106"/>
      <c r="EH16" s="106"/>
      <c r="EI16" s="47" t="str">
        <f t="shared" si="25"/>
        <v>FY18-12</v>
      </c>
      <c r="EJ16" s="16">
        <v>42999</v>
      </c>
      <c r="EK16" s="103">
        <v>69849422.718647569</v>
      </c>
      <c r="EL16" s="104">
        <f t="shared" si="26"/>
        <v>50000000</v>
      </c>
      <c r="EN16" s="104">
        <v>50000000</v>
      </c>
      <c r="EO16" s="1">
        <f t="shared" si="27"/>
        <v>2</v>
      </c>
      <c r="EQ16" s="40">
        <v>110</v>
      </c>
      <c r="ER16" s="39">
        <f t="shared" si="70"/>
        <v>127078200.00000001</v>
      </c>
      <c r="ES16" s="40">
        <v>260</v>
      </c>
      <c r="ET16" s="39">
        <f t="shared" si="71"/>
        <v>286963200</v>
      </c>
      <c r="EU16" s="106"/>
      <c r="EV16" s="106"/>
      <c r="EW16" s="106"/>
      <c r="EX16" s="16" t="s">
        <v>33</v>
      </c>
      <c r="EY16" s="16">
        <v>43363</v>
      </c>
      <c r="EZ16" s="103">
        <v>36523512.523839787</v>
      </c>
      <c r="FA16" s="104">
        <v>30000000</v>
      </c>
      <c r="FC16" s="104" t="s">
        <v>107</v>
      </c>
      <c r="FD16" s="1">
        <f>SUM(FD5:FD15)</f>
        <v>52</v>
      </c>
      <c r="FF16" s="40">
        <v>110</v>
      </c>
      <c r="FG16" s="39">
        <f t="shared" si="72"/>
        <v>148528900</v>
      </c>
      <c r="FH16" s="40">
        <v>260</v>
      </c>
      <c r="FI16" s="39">
        <f t="shared" si="73"/>
        <v>346978899.99999994</v>
      </c>
      <c r="FK16" s="106"/>
      <c r="FL16" s="106"/>
      <c r="FM16" s="40">
        <v>110</v>
      </c>
      <c r="FN16" s="39">
        <f t="shared" si="74"/>
        <v>118581400</v>
      </c>
      <c r="FO16" s="40">
        <v>260</v>
      </c>
      <c r="FP16" s="39">
        <f t="shared" si="75"/>
        <v>269211399.99999994</v>
      </c>
      <c r="FR16" s="106"/>
      <c r="FS16" s="106"/>
      <c r="FT16" s="16" t="s">
        <v>39</v>
      </c>
      <c r="FU16" s="16">
        <v>43727</v>
      </c>
      <c r="FV16" s="103">
        <v>202664966.89151555</v>
      </c>
      <c r="FW16" s="104">
        <v>150000000</v>
      </c>
      <c r="FY16" s="104">
        <v>110000000</v>
      </c>
      <c r="FZ16" s="1">
        <f t="shared" si="29"/>
        <v>1</v>
      </c>
      <c r="GB16" s="40">
        <v>110</v>
      </c>
      <c r="GC16" s="39">
        <f t="shared" si="76"/>
        <v>130351999.99999997</v>
      </c>
      <c r="GD16" s="40">
        <v>260</v>
      </c>
      <c r="GE16" s="39">
        <f t="shared" si="77"/>
        <v>294107000</v>
      </c>
      <c r="GG16" s="106"/>
      <c r="GH16" s="106"/>
      <c r="GI16" s="40">
        <v>110</v>
      </c>
      <c r="GJ16" s="39">
        <f t="shared" si="78"/>
        <v>102276000</v>
      </c>
      <c r="GK16" s="40">
        <v>260</v>
      </c>
      <c r="GL16" s="39">
        <f t="shared" si="79"/>
        <v>221001000</v>
      </c>
      <c r="GN16" s="106"/>
      <c r="GO16" s="106"/>
      <c r="GP16" s="16" t="s">
        <v>38</v>
      </c>
      <c r="GQ16" s="16">
        <v>44091</v>
      </c>
      <c r="GR16" s="103">
        <v>82205458.680449992</v>
      </c>
      <c r="GS16" s="104">
        <v>60000000</v>
      </c>
      <c r="GU16" s="52" t="s">
        <v>42</v>
      </c>
      <c r="GV16" s="52" t="s">
        <v>41</v>
      </c>
      <c r="GX16" s="40">
        <v>110</v>
      </c>
      <c r="GY16" s="39">
        <f t="shared" si="80"/>
        <v>141378000</v>
      </c>
      <c r="GZ16" s="40">
        <v>260</v>
      </c>
      <c r="HA16" s="39">
        <f t="shared" si="81"/>
        <v>312663000</v>
      </c>
      <c r="HC16" s="106"/>
      <c r="HD16" s="106"/>
      <c r="HE16" s="16" t="s">
        <v>35</v>
      </c>
      <c r="HF16" s="16">
        <v>44455</v>
      </c>
      <c r="HG16" s="103">
        <v>25355454.910307083</v>
      </c>
      <c r="HH16" s="104">
        <v>8000000</v>
      </c>
      <c r="HJ16" s="55" t="s">
        <v>111</v>
      </c>
      <c r="HK16" s="54"/>
      <c r="HM16" s="40">
        <v>110</v>
      </c>
      <c r="HN16" s="39">
        <f t="shared" si="82"/>
        <v>163970000</v>
      </c>
      <c r="HO16" s="40">
        <v>260</v>
      </c>
      <c r="HP16" s="39">
        <f t="shared" si="83"/>
        <v>371390000.00000006</v>
      </c>
      <c r="HR16" s="106"/>
      <c r="HS16" s="106"/>
      <c r="HT16" s="40">
        <v>110</v>
      </c>
      <c r="HU16" s="39">
        <f t="shared" si="84"/>
        <v>142134000</v>
      </c>
      <c r="HV16" s="40">
        <v>260</v>
      </c>
      <c r="HW16" s="39">
        <f t="shared" si="85"/>
        <v>314318999.99999994</v>
      </c>
      <c r="HY16" s="106"/>
      <c r="HZ16" s="106"/>
      <c r="IA16" s="16" t="s">
        <v>37</v>
      </c>
      <c r="IB16" s="16">
        <v>44826</v>
      </c>
      <c r="IC16" s="103">
        <v>22659829.73548191</v>
      </c>
      <c r="ID16" s="104">
        <v>8000000</v>
      </c>
      <c r="II16" s="40">
        <v>110</v>
      </c>
      <c r="IJ16" s="39">
        <f t="shared" si="86"/>
        <v>178475999.99999997</v>
      </c>
      <c r="IK16" s="40">
        <v>260</v>
      </c>
      <c r="IL16" s="39">
        <f t="shared" si="87"/>
        <v>407781000</v>
      </c>
      <c r="IN16" s="106"/>
      <c r="IO16" s="106"/>
      <c r="IP16" s="40">
        <v>110</v>
      </c>
      <c r="IQ16" s="39">
        <f t="shared" si="88"/>
        <v>142489999.99999997</v>
      </c>
      <c r="IR16" s="40">
        <v>260</v>
      </c>
      <c r="IS16" s="39">
        <f t="shared" si="89"/>
        <v>314330000</v>
      </c>
      <c r="IU16" s="106"/>
      <c r="IV16" s="106"/>
      <c r="IW16" s="16" t="s">
        <v>169</v>
      </c>
      <c r="IX16" s="12">
        <v>44091</v>
      </c>
      <c r="IY16" s="103">
        <v>82205458.680449992</v>
      </c>
      <c r="IZ16" s="104">
        <v>60000000</v>
      </c>
      <c r="JE16" s="40">
        <v>110</v>
      </c>
      <c r="JF16" s="39">
        <f t="shared" si="90"/>
        <v>178475999.99999997</v>
      </c>
      <c r="JG16" s="40">
        <v>260</v>
      </c>
      <c r="JH16" s="39">
        <f t="shared" si="91"/>
        <v>407781000</v>
      </c>
      <c r="JI16" s="39"/>
      <c r="JJ16" s="39"/>
      <c r="JL16" s="106"/>
      <c r="JM16" s="106"/>
      <c r="JN16" s="40">
        <v>15</v>
      </c>
      <c r="JO16" s="39">
        <f t="shared" si="92"/>
        <v>33658000</v>
      </c>
      <c r="JP16" s="40">
        <v>260</v>
      </c>
      <c r="JQ16" s="39">
        <f t="shared" si="93"/>
        <v>314330000</v>
      </c>
      <c r="JR16" s="39"/>
      <c r="JS16" s="39"/>
      <c r="JT16" s="39"/>
      <c r="JU16" s="39"/>
      <c r="JW16" s="106"/>
      <c r="JX16" s="106"/>
      <c r="JY16" s="16" t="s">
        <v>83</v>
      </c>
      <c r="JZ16" s="16">
        <v>42999</v>
      </c>
      <c r="KA16" s="103">
        <v>69624500</v>
      </c>
      <c r="KB16" s="104">
        <v>50000000</v>
      </c>
      <c r="KD16" s="1">
        <v>1</v>
      </c>
      <c r="KE16" s="1">
        <v>3</v>
      </c>
      <c r="KG16" s="16" t="s">
        <v>82</v>
      </c>
      <c r="KH16" s="16">
        <v>43181</v>
      </c>
      <c r="KI16" s="103">
        <v>52143080</v>
      </c>
      <c r="KJ16" s="104">
        <v>40000000</v>
      </c>
      <c r="KL16" s="104">
        <v>55000000</v>
      </c>
      <c r="KM16" s="1">
        <f t="shared" si="33"/>
        <v>1</v>
      </c>
      <c r="KO16" s="16" t="s">
        <v>81</v>
      </c>
      <c r="KP16" s="16">
        <v>43363</v>
      </c>
      <c r="KQ16" s="103">
        <v>37562184</v>
      </c>
      <c r="KR16" s="104">
        <v>30000000</v>
      </c>
      <c r="KU16" s="1">
        <f>SUM(KU5:KU15)</f>
        <v>26</v>
      </c>
      <c r="KW16" s="16" t="s">
        <v>79</v>
      </c>
      <c r="KX16" s="16">
        <v>43545</v>
      </c>
      <c r="KY16" s="103">
        <v>21428220</v>
      </c>
      <c r="KZ16" s="104">
        <v>12000000</v>
      </c>
      <c r="LB16" s="55" t="s">
        <v>79</v>
      </c>
      <c r="LC16" s="54"/>
      <c r="LE16" s="16" t="s">
        <v>78</v>
      </c>
      <c r="LF16" s="16">
        <v>43727</v>
      </c>
      <c r="LG16" s="103">
        <v>207327384</v>
      </c>
      <c r="LH16" s="104">
        <v>150000000</v>
      </c>
      <c r="LJ16" s="104">
        <v>110000000</v>
      </c>
      <c r="LK16" s="1">
        <f t="shared" si="36"/>
        <v>1</v>
      </c>
      <c r="LM16" s="16" t="s">
        <v>77</v>
      </c>
      <c r="LN16" s="16">
        <v>43909</v>
      </c>
      <c r="LO16" s="103">
        <v>65573640</v>
      </c>
      <c r="LP16" s="104">
        <v>60000000</v>
      </c>
      <c r="LR16" s="55" t="s">
        <v>77</v>
      </c>
      <c r="LS16" s="54"/>
      <c r="LU16" s="16" t="s">
        <v>70</v>
      </c>
      <c r="LV16" s="16">
        <v>44091</v>
      </c>
      <c r="LW16" s="103">
        <v>83651040</v>
      </c>
      <c r="LX16" s="104">
        <v>60000000</v>
      </c>
      <c r="LZ16" s="1">
        <v>1</v>
      </c>
      <c r="MA16" s="1">
        <v>3</v>
      </c>
      <c r="MC16" s="16" t="s">
        <v>86</v>
      </c>
      <c r="MD16" s="16">
        <v>44280</v>
      </c>
      <c r="ME16" s="103">
        <v>23764554</v>
      </c>
      <c r="MF16" s="104">
        <v>8000000</v>
      </c>
      <c r="MH16" s="1">
        <v>1</v>
      </c>
      <c r="MI16" s="1">
        <v>3</v>
      </c>
      <c r="MK16" s="16" t="s">
        <v>69</v>
      </c>
      <c r="ML16" s="16">
        <v>44455</v>
      </c>
      <c r="MM16" s="103">
        <v>26151642</v>
      </c>
      <c r="MN16" s="104">
        <v>8000000</v>
      </c>
      <c r="MP16" s="1">
        <v>1</v>
      </c>
      <c r="MQ16" s="1">
        <v>3</v>
      </c>
      <c r="MS16" s="16" t="s">
        <v>76</v>
      </c>
      <c r="MT16" s="16">
        <v>44644</v>
      </c>
      <c r="MU16" s="103">
        <v>19707336</v>
      </c>
      <c r="MV16" s="104">
        <v>3000000</v>
      </c>
      <c r="MX16" s="52" t="s">
        <v>42</v>
      </c>
      <c r="MY16" s="52" t="s">
        <v>41</v>
      </c>
      <c r="NA16" s="16" t="s">
        <v>110</v>
      </c>
      <c r="NB16" s="16">
        <v>42915</v>
      </c>
      <c r="NC16" s="103">
        <v>17675350</v>
      </c>
      <c r="ND16" s="104">
        <v>6000000</v>
      </c>
      <c r="NI16" s="40">
        <v>110</v>
      </c>
      <c r="NJ16" s="39">
        <f t="shared" si="94"/>
        <v>136409000</v>
      </c>
      <c r="NK16" s="40">
        <v>260</v>
      </c>
      <c r="NL16" s="39">
        <f t="shared" si="95"/>
        <v>308623999.99999994</v>
      </c>
      <c r="NN16" s="106"/>
      <c r="NP16" s="16" t="s">
        <v>33</v>
      </c>
      <c r="NQ16" s="16">
        <v>43286</v>
      </c>
      <c r="NR16" s="103">
        <v>20156862</v>
      </c>
      <c r="NS16" s="104">
        <v>12000000</v>
      </c>
      <c r="NV16" s="1">
        <f>SUM(NV5:NV15)</f>
        <v>53</v>
      </c>
      <c r="NX16" s="40">
        <v>110</v>
      </c>
      <c r="NY16" s="39">
        <f t="shared" si="96"/>
        <v>137503200</v>
      </c>
      <c r="NZ16" s="40">
        <v>260</v>
      </c>
      <c r="OA16" s="39">
        <f t="shared" si="97"/>
        <v>318373200</v>
      </c>
      <c r="OC16" s="106"/>
    </row>
    <row r="17" spans="2:393" x14ac:dyDescent="0.25">
      <c r="B17" s="5"/>
      <c r="C17" s="5"/>
      <c r="D17" s="5"/>
      <c r="F17" s="5"/>
      <c r="G17" s="5"/>
      <c r="H17" s="5"/>
      <c r="I17" s="5"/>
      <c r="K17" s="7">
        <v>13</v>
      </c>
      <c r="M17" s="5" t="str" cm="1">
        <f t="array" ref="M17">LOOKUP(2,1/($G$19:$G$35&lt;=$V17)/($H$19:$H$35&gt;=$V17),$F$19:$F$35)</f>
        <v>2H17</v>
      </c>
      <c r="N17" s="5" t="str" cm="1">
        <f t="array" ref="N17">LOOKUP(2,1/($G$8:$G$16&lt;=$V17)/($H$8:$H$16&gt;=$V17),$F$8:$F$16)</f>
        <v>FY17</v>
      </c>
      <c r="O17" s="5" t="str">
        <f>IFERROR(N17&amp;"-"&amp;COUNTIF($N$17:N19,N17),NA())</f>
        <v>FY17-3</v>
      </c>
      <c r="P17" s="5">
        <f>COUNTIF(V$17:V19,"&gt;="&amp;MAX($V:$V)-183)</f>
        <v>0</v>
      </c>
      <c r="Q17" s="5">
        <f>COUNTIF(V$17:V19,"&gt;="&amp;MAX($V:$V)-365)</f>
        <v>0</v>
      </c>
      <c r="R17" s="5" cm="1">
        <f t="array" ref="R17">LOOKUP(2,1/($G$46:$G$50&lt;=$V17)/($H$46:$H$50&gt;=$V17),$F$46:$F$50)</f>
        <v>0</v>
      </c>
      <c r="S17" s="5" cm="1">
        <f t="array" ref="S17">LOOKUP(2,1/($G$53:$G$56&lt;=$V17)/($H$53:$H$56&gt;=$V17),$F$53:$F$56)</f>
        <v>0</v>
      </c>
      <c r="T17" s="5" t="e">
        <f>IFERROR(IF($R17&gt;0,$R17&amp;"-"&amp;COUNTIF($R$17:$R19,$R17),NA()),NA())</f>
        <v>#N/A</v>
      </c>
      <c r="U17" s="5" t="e">
        <f>IFERROR(IF($S17&gt;0,$S17&amp;"-"&amp;COUNTIF($S$17:$S19,$S17),NA()),NA())</f>
        <v>#N/A</v>
      </c>
      <c r="V17" s="10">
        <v>42824</v>
      </c>
      <c r="W17" s="101">
        <v>25394533.151630152</v>
      </c>
      <c r="X17" s="101">
        <v>23592791.024521992</v>
      </c>
      <c r="Y17" s="102">
        <v>15000000</v>
      </c>
      <c r="AA17" s="48">
        <f t="shared" si="44"/>
        <v>13</v>
      </c>
      <c r="AB17" s="12">
        <f t="shared" si="0"/>
        <v>45106</v>
      </c>
      <c r="AC17" s="103">
        <f t="shared" si="1"/>
        <v>19524423.123024959</v>
      </c>
      <c r="AD17" s="104">
        <f t="shared" si="2"/>
        <v>4000000</v>
      </c>
      <c r="AF17" s="55" t="s">
        <v>16</v>
      </c>
      <c r="AG17" s="54"/>
      <c r="AI17" s="40">
        <v>120</v>
      </c>
      <c r="AJ17" s="39">
        <f t="shared" si="52"/>
        <v>207179800</v>
      </c>
      <c r="AK17" s="40">
        <v>270</v>
      </c>
      <c r="AL17" s="39">
        <f t="shared" si="53"/>
        <v>456539800</v>
      </c>
      <c r="AN17" s="106"/>
      <c r="AO17" s="106"/>
      <c r="AP17" s="40">
        <v>120</v>
      </c>
      <c r="AQ17" s="39">
        <f t="shared" si="54"/>
        <v>152729999.99999997</v>
      </c>
      <c r="AR17" s="40">
        <v>270</v>
      </c>
      <c r="AS17" s="39">
        <f t="shared" si="55"/>
        <v>322515000</v>
      </c>
      <c r="AU17" s="106"/>
      <c r="AW17" s="48">
        <f t="shared" si="45"/>
        <v>13</v>
      </c>
      <c r="AX17" s="12">
        <f t="shared" si="4"/>
        <v>44924</v>
      </c>
      <c r="AY17" s="103">
        <f t="shared" si="5"/>
        <v>137554844.39039224</v>
      </c>
      <c r="AZ17" s="104">
        <f t="shared" si="6"/>
        <v>100000000</v>
      </c>
      <c r="BB17" s="104" t="s">
        <v>107</v>
      </c>
      <c r="BC17" s="1">
        <f>SUM(BC5:BC16)</f>
        <v>49</v>
      </c>
      <c r="BF17" s="40">
        <v>120</v>
      </c>
      <c r="BG17" s="39">
        <f t="shared" si="56"/>
        <v>198214800</v>
      </c>
      <c r="BH17" s="40">
        <v>270</v>
      </c>
      <c r="BI17" s="39">
        <f t="shared" si="57"/>
        <v>435979799.99999994</v>
      </c>
      <c r="BK17" s="106"/>
      <c r="BL17" s="106"/>
      <c r="BM17" s="40">
        <v>120</v>
      </c>
      <c r="BN17" s="39">
        <f t="shared" si="58"/>
        <v>154635000.00000003</v>
      </c>
      <c r="BO17" s="40">
        <v>270</v>
      </c>
      <c r="BP17" s="39">
        <f t="shared" si="59"/>
        <v>327585000</v>
      </c>
      <c r="BR17" s="106"/>
      <c r="BT17" s="48" t="str">
        <f t="shared" si="8"/>
        <v>N1-13</v>
      </c>
      <c r="BU17" s="12">
        <f t="shared" si="9"/>
        <v>44196</v>
      </c>
      <c r="BV17" s="103">
        <f t="shared" si="10"/>
        <v>25387217.756156884</v>
      </c>
      <c r="BW17" s="104">
        <f t="shared" si="11"/>
        <v>8000000</v>
      </c>
      <c r="CB17" s="40">
        <v>70</v>
      </c>
      <c r="CC17" s="39">
        <f t="shared" si="60"/>
        <v>104257000</v>
      </c>
      <c r="CD17" s="40">
        <v>270</v>
      </c>
      <c r="CE17" s="39">
        <f t="shared" si="61"/>
        <v>358957000.00000006</v>
      </c>
      <c r="CG17" s="106"/>
      <c r="CH17" s="106"/>
      <c r="CI17" s="48" t="str">
        <f t="shared" si="12"/>
        <v>A1-13</v>
      </c>
      <c r="CJ17" s="12">
        <f t="shared" si="13"/>
        <v>44308</v>
      </c>
      <c r="CK17" s="105">
        <f t="shared" si="14"/>
        <v>118500310.611128</v>
      </c>
      <c r="CL17" s="105">
        <f t="shared" si="15"/>
        <v>80000000</v>
      </c>
      <c r="CN17" s="1">
        <v>4</v>
      </c>
      <c r="CO17" s="1">
        <v>50</v>
      </c>
      <c r="CQ17" s="40">
        <v>70</v>
      </c>
      <c r="CR17" s="39">
        <f t="shared" si="62"/>
        <v>97530999.999999985</v>
      </c>
      <c r="CS17" s="40">
        <v>270</v>
      </c>
      <c r="CT17" s="39">
        <f t="shared" si="63"/>
        <v>341151000</v>
      </c>
      <c r="CV17" s="106"/>
      <c r="CX17" s="48" t="str">
        <f t="shared" si="16"/>
        <v>N2-13</v>
      </c>
      <c r="CY17" s="12">
        <f t="shared" si="17"/>
        <v>44791</v>
      </c>
      <c r="CZ17" s="103">
        <f t="shared" si="18"/>
        <v>20023645.36333232</v>
      </c>
      <c r="DA17" s="104">
        <f t="shared" si="19"/>
        <v>4000000</v>
      </c>
      <c r="DC17" s="1">
        <v>4</v>
      </c>
      <c r="DD17" s="1">
        <v>40</v>
      </c>
      <c r="DF17" s="40">
        <v>70</v>
      </c>
      <c r="DG17" s="39">
        <f t="shared" si="64"/>
        <v>91292000</v>
      </c>
      <c r="DH17" s="40">
        <v>270</v>
      </c>
      <c r="DI17" s="39">
        <f t="shared" si="65"/>
        <v>301232000</v>
      </c>
      <c r="DK17" s="106"/>
      <c r="DL17" s="106"/>
      <c r="DM17" s="48" t="str">
        <f t="shared" si="20"/>
        <v>A2-13</v>
      </c>
      <c r="DN17" s="12">
        <f t="shared" si="21"/>
        <v>44903</v>
      </c>
      <c r="DO17" s="103">
        <f t="shared" si="22"/>
        <v>38341626.147765279</v>
      </c>
      <c r="DP17" s="104">
        <f t="shared" si="23"/>
        <v>20000000</v>
      </c>
      <c r="DR17" s="1">
        <v>3</v>
      </c>
      <c r="DS17" s="1">
        <v>30</v>
      </c>
      <c r="DU17" s="40">
        <v>70</v>
      </c>
      <c r="DV17" s="39">
        <f t="shared" si="66"/>
        <v>97530999.999999985</v>
      </c>
      <c r="DW17" s="40">
        <v>270</v>
      </c>
      <c r="DX17" s="39">
        <f t="shared" si="67"/>
        <v>341151000</v>
      </c>
      <c r="DZ17" s="106"/>
      <c r="EA17" s="106"/>
      <c r="EB17" s="40">
        <v>70</v>
      </c>
      <c r="EC17" s="39">
        <f t="shared" si="68"/>
        <v>70616000</v>
      </c>
      <c r="ED17" s="40">
        <v>270</v>
      </c>
      <c r="EE17" s="39">
        <f t="shared" si="69"/>
        <v>228916000</v>
      </c>
      <c r="EG17" s="106"/>
      <c r="EH17" s="106"/>
      <c r="EI17" s="47" t="str">
        <f t="shared" si="25"/>
        <v>FY18-13</v>
      </c>
      <c r="EJ17" s="16">
        <v>43006</v>
      </c>
      <c r="EK17" s="103">
        <v>14312979.346213557</v>
      </c>
      <c r="EL17" s="104">
        <f t="shared" si="26"/>
        <v>3000000</v>
      </c>
      <c r="EN17" s="104">
        <v>55000000</v>
      </c>
      <c r="EO17" s="1">
        <f t="shared" si="27"/>
        <v>1</v>
      </c>
      <c r="EQ17" s="40">
        <v>120</v>
      </c>
      <c r="ER17" s="39">
        <f t="shared" si="70"/>
        <v>137737200.00000003</v>
      </c>
      <c r="ES17" s="40">
        <v>270</v>
      </c>
      <c r="ET17" s="39">
        <f t="shared" si="71"/>
        <v>297622200</v>
      </c>
      <c r="EU17" s="106"/>
      <c r="EV17" s="106"/>
      <c r="EW17" s="106"/>
      <c r="EX17" s="16" t="s">
        <v>33</v>
      </c>
      <c r="EY17" s="16">
        <v>43370</v>
      </c>
      <c r="EZ17" s="103">
        <v>12986396.185632547</v>
      </c>
      <c r="FA17" s="104">
        <v>3000000</v>
      </c>
      <c r="FC17" s="104"/>
      <c r="FF17" s="40">
        <v>120</v>
      </c>
      <c r="FG17" s="39">
        <f t="shared" si="72"/>
        <v>161758899.99999997</v>
      </c>
      <c r="FH17" s="40">
        <v>270</v>
      </c>
      <c r="FI17" s="39">
        <f t="shared" si="73"/>
        <v>360208900</v>
      </c>
      <c r="FK17" s="106"/>
      <c r="FL17" s="106"/>
      <c r="FM17" s="40">
        <v>120</v>
      </c>
      <c r="FN17" s="39">
        <f t="shared" si="74"/>
        <v>128623400</v>
      </c>
      <c r="FO17" s="40">
        <v>270</v>
      </c>
      <c r="FP17" s="39">
        <f t="shared" si="75"/>
        <v>279253400</v>
      </c>
      <c r="FR17" s="106"/>
      <c r="FS17" s="106"/>
      <c r="FT17" s="16" t="s">
        <v>39</v>
      </c>
      <c r="FU17" s="16">
        <v>43734</v>
      </c>
      <c r="FV17" s="103">
        <v>15306639.767312331</v>
      </c>
      <c r="FW17" s="104">
        <v>3000000</v>
      </c>
      <c r="FY17" s="104">
        <v>150000000</v>
      </c>
      <c r="FZ17" s="1">
        <f t="shared" si="29"/>
        <v>1</v>
      </c>
      <c r="GB17" s="40">
        <v>120</v>
      </c>
      <c r="GC17" s="39">
        <f t="shared" si="76"/>
        <v>141269000</v>
      </c>
      <c r="GD17" s="40">
        <v>270</v>
      </c>
      <c r="GE17" s="39">
        <f t="shared" si="77"/>
        <v>305023999.99999994</v>
      </c>
      <c r="GG17" s="106"/>
      <c r="GH17" s="106"/>
      <c r="GI17" s="40">
        <v>120</v>
      </c>
      <c r="GJ17" s="39">
        <f t="shared" si="78"/>
        <v>110191000</v>
      </c>
      <c r="GK17" s="40">
        <v>270</v>
      </c>
      <c r="GL17" s="39">
        <f t="shared" si="79"/>
        <v>228916000</v>
      </c>
      <c r="GN17" s="106"/>
      <c r="GO17" s="106"/>
      <c r="GP17" s="16" t="s">
        <v>38</v>
      </c>
      <c r="GQ17" s="16">
        <v>44098</v>
      </c>
      <c r="GR17" s="103">
        <v>19672046.457889937</v>
      </c>
      <c r="GS17" s="104">
        <v>3000000</v>
      </c>
      <c r="GU17" s="1">
        <v>1</v>
      </c>
      <c r="GV17" s="1">
        <v>3</v>
      </c>
      <c r="GX17" s="40">
        <v>120</v>
      </c>
      <c r="GY17" s="39">
        <f t="shared" si="80"/>
        <v>152797000</v>
      </c>
      <c r="GZ17" s="40">
        <v>270</v>
      </c>
      <c r="HA17" s="39">
        <f t="shared" si="81"/>
        <v>324082000</v>
      </c>
      <c r="HC17" s="106"/>
      <c r="HD17" s="106"/>
      <c r="HE17" s="16" t="s">
        <v>35</v>
      </c>
      <c r="HF17" s="16">
        <v>44462</v>
      </c>
      <c r="HG17" s="103">
        <v>19222718.151413802</v>
      </c>
      <c r="HH17" s="104">
        <v>3000000</v>
      </c>
      <c r="HJ17" s="52" t="s">
        <v>42</v>
      </c>
      <c r="HK17" s="52" t="s">
        <v>41</v>
      </c>
      <c r="HM17" s="40">
        <v>120</v>
      </c>
      <c r="HN17" s="39">
        <f t="shared" si="82"/>
        <v>177798000</v>
      </c>
      <c r="HO17" s="40">
        <v>270</v>
      </c>
      <c r="HP17" s="39">
        <f t="shared" si="83"/>
        <v>385218000</v>
      </c>
      <c r="HR17" s="106"/>
      <c r="HS17" s="106"/>
      <c r="HT17" s="40">
        <v>120</v>
      </c>
      <c r="HU17" s="39">
        <f t="shared" si="84"/>
        <v>153613000</v>
      </c>
      <c r="HV17" s="40">
        <v>270</v>
      </c>
      <c r="HW17" s="39">
        <f t="shared" si="85"/>
        <v>325798000</v>
      </c>
      <c r="HY17" s="106"/>
      <c r="HZ17" s="106"/>
      <c r="IA17" s="16" t="s">
        <v>37</v>
      </c>
      <c r="IB17" s="16">
        <v>44833</v>
      </c>
      <c r="IC17" s="103">
        <v>35905405.655214347</v>
      </c>
      <c r="ID17" s="104">
        <v>20000000</v>
      </c>
      <c r="II17" s="40">
        <v>120</v>
      </c>
      <c r="IJ17" s="39">
        <f t="shared" si="86"/>
        <v>193762999.99999997</v>
      </c>
      <c r="IK17" s="40">
        <v>270</v>
      </c>
      <c r="IL17" s="39">
        <f t="shared" si="87"/>
        <v>423068000</v>
      </c>
      <c r="IN17" s="106"/>
      <c r="IO17" s="106"/>
      <c r="IP17" s="40">
        <v>120</v>
      </c>
      <c r="IQ17" s="39">
        <f t="shared" si="88"/>
        <v>153945999.99999997</v>
      </c>
      <c r="IR17" s="40">
        <v>270</v>
      </c>
      <c r="IS17" s="39">
        <f t="shared" si="89"/>
        <v>325786000</v>
      </c>
      <c r="IU17" s="106"/>
      <c r="IV17" s="106"/>
      <c r="IW17" s="16" t="s">
        <v>169</v>
      </c>
      <c r="IX17" s="12">
        <v>44098</v>
      </c>
      <c r="IY17" s="103">
        <v>19672046.457889937</v>
      </c>
      <c r="IZ17" s="104">
        <v>3000000</v>
      </c>
      <c r="JE17" s="40">
        <v>120</v>
      </c>
      <c r="JF17" s="39">
        <f t="shared" si="90"/>
        <v>193762999.99999997</v>
      </c>
      <c r="JG17" s="40">
        <v>270</v>
      </c>
      <c r="JH17" s="39">
        <f t="shared" si="91"/>
        <v>423068000</v>
      </c>
      <c r="JI17" s="39"/>
      <c r="JJ17" s="39"/>
      <c r="JL17" s="106"/>
      <c r="JM17" s="106"/>
      <c r="JN17" s="40">
        <v>20</v>
      </c>
      <c r="JO17" s="39">
        <f t="shared" si="92"/>
        <v>39385999.999999993</v>
      </c>
      <c r="JP17" s="40">
        <v>270</v>
      </c>
      <c r="JQ17" s="39">
        <f t="shared" si="93"/>
        <v>325786000</v>
      </c>
      <c r="JR17" s="39"/>
      <c r="JS17" s="39"/>
      <c r="JT17" s="39"/>
      <c r="JU17" s="39"/>
      <c r="JW17" s="106"/>
      <c r="JX17" s="106"/>
      <c r="JY17" s="16" t="s">
        <v>83</v>
      </c>
      <c r="JZ17" s="16">
        <v>43006</v>
      </c>
      <c r="KA17" s="103">
        <v>14266890</v>
      </c>
      <c r="KB17" s="104">
        <v>3000000</v>
      </c>
      <c r="KD17" s="1">
        <v>2</v>
      </c>
      <c r="KE17" s="1">
        <v>6</v>
      </c>
      <c r="KG17" s="16" t="s">
        <v>82</v>
      </c>
      <c r="KH17" s="16">
        <v>43188</v>
      </c>
      <c r="KI17" s="103">
        <v>15080230</v>
      </c>
      <c r="KJ17" s="104">
        <v>3000000</v>
      </c>
      <c r="KM17" s="1">
        <f>SUM(KM5:KM16)</f>
        <v>26</v>
      </c>
      <c r="KO17" s="16" t="s">
        <v>81</v>
      </c>
      <c r="KP17" s="16">
        <v>43370</v>
      </c>
      <c r="KQ17" s="103">
        <v>12930786</v>
      </c>
      <c r="KR17" s="104">
        <v>3000000</v>
      </c>
      <c r="KW17" s="16" t="s">
        <v>79</v>
      </c>
      <c r="KX17" s="16">
        <v>43552</v>
      </c>
      <c r="KY17" s="103">
        <v>26306280</v>
      </c>
      <c r="KZ17" s="104">
        <v>20000000</v>
      </c>
      <c r="LB17" s="52" t="s">
        <v>42</v>
      </c>
      <c r="LC17" s="52" t="s">
        <v>41</v>
      </c>
      <c r="LE17" s="16" t="s">
        <v>78</v>
      </c>
      <c r="LF17" s="16">
        <v>43734</v>
      </c>
      <c r="LG17" s="103">
        <v>15786738</v>
      </c>
      <c r="LH17" s="104">
        <v>3000000</v>
      </c>
      <c r="LJ17" s="104">
        <v>150000000</v>
      </c>
      <c r="LK17" s="1">
        <f t="shared" si="36"/>
        <v>1</v>
      </c>
      <c r="LM17" s="16" t="s">
        <v>77</v>
      </c>
      <c r="LN17" s="16">
        <v>43916</v>
      </c>
      <c r="LO17" s="103">
        <v>85889496</v>
      </c>
      <c r="LP17" s="104">
        <v>80000000</v>
      </c>
      <c r="LR17" s="52" t="s">
        <v>42</v>
      </c>
      <c r="LS17" s="52" t="s">
        <v>41</v>
      </c>
      <c r="LU17" s="16" t="s">
        <v>70</v>
      </c>
      <c r="LV17" s="16">
        <v>44098</v>
      </c>
      <c r="LW17" s="103">
        <v>20388324</v>
      </c>
      <c r="LX17" s="104">
        <v>3000000</v>
      </c>
      <c r="LZ17" s="1">
        <v>2</v>
      </c>
      <c r="MA17" s="1">
        <v>8</v>
      </c>
      <c r="MC17" s="16" t="s">
        <v>86</v>
      </c>
      <c r="MD17" s="16">
        <v>44287</v>
      </c>
      <c r="ME17" s="103">
        <v>37602906</v>
      </c>
      <c r="MF17" s="104">
        <v>20000000</v>
      </c>
      <c r="MH17" s="1">
        <v>2</v>
      </c>
      <c r="MI17" s="1">
        <v>8</v>
      </c>
      <c r="MK17" s="16" t="s">
        <v>69</v>
      </c>
      <c r="ML17" s="16">
        <v>44462</v>
      </c>
      <c r="MM17" s="103">
        <v>19924938</v>
      </c>
      <c r="MN17" s="104">
        <v>3000000</v>
      </c>
      <c r="MP17" s="1">
        <v>2</v>
      </c>
      <c r="MQ17" s="1">
        <v>8</v>
      </c>
      <c r="MS17" s="16" t="s">
        <v>76</v>
      </c>
      <c r="MT17" s="16">
        <v>44651</v>
      </c>
      <c r="MU17" s="103">
        <v>28441050</v>
      </c>
      <c r="MV17" s="104">
        <v>8000000</v>
      </c>
      <c r="MX17" s="1">
        <v>1</v>
      </c>
      <c r="MY17" s="1">
        <v>3</v>
      </c>
      <c r="NA17" s="16" t="s">
        <v>34</v>
      </c>
      <c r="NB17" s="16">
        <v>42922</v>
      </c>
      <c r="NC17" s="103">
        <v>14265020</v>
      </c>
      <c r="ND17" s="104">
        <v>3000000</v>
      </c>
      <c r="NF17" s="55" t="s">
        <v>106</v>
      </c>
      <c r="NG17" s="54"/>
      <c r="NI17" s="40">
        <v>120</v>
      </c>
      <c r="NJ17" s="39">
        <f t="shared" si="94"/>
        <v>147890000</v>
      </c>
      <c r="NK17" s="40">
        <v>270</v>
      </c>
      <c r="NL17" s="39">
        <f t="shared" si="95"/>
        <v>320104999.99999994</v>
      </c>
      <c r="NN17" s="106"/>
      <c r="NP17" s="16" t="s">
        <v>33</v>
      </c>
      <c r="NQ17" s="16">
        <v>43293</v>
      </c>
      <c r="NR17" s="103">
        <v>27395676</v>
      </c>
      <c r="NS17" s="104">
        <v>20000000</v>
      </c>
      <c r="NX17" s="40">
        <v>120</v>
      </c>
      <c r="NY17" s="39">
        <f t="shared" si="96"/>
        <v>149561200</v>
      </c>
      <c r="NZ17" s="40">
        <v>270</v>
      </c>
      <c r="OA17" s="39">
        <f t="shared" si="97"/>
        <v>330431200</v>
      </c>
      <c r="OC17" s="106"/>
    </row>
    <row r="18" spans="2:393" x14ac:dyDescent="0.25">
      <c r="B18" s="57" t="s">
        <v>109</v>
      </c>
      <c r="C18" s="57"/>
      <c r="D18" s="57"/>
      <c r="F18" s="57" t="s">
        <v>108</v>
      </c>
      <c r="G18" s="57"/>
      <c r="H18" s="57"/>
      <c r="I18" s="57"/>
      <c r="K18" s="7">
        <v>14</v>
      </c>
      <c r="M18" s="5" t="str" cm="1">
        <f t="array" ref="M18">LOOKUP(2,1/($G$19:$G$35&lt;=$V18)/($H$19:$H$35&gt;=$V18),$F$19:$F$35)</f>
        <v>2H17</v>
      </c>
      <c r="N18" s="5" t="str" cm="1">
        <f t="array" ref="N18">LOOKUP(2,1/($G$8:$G$16&lt;=$V18)/($H$8:$H$16&gt;=$V18),$F$8:$F$16)</f>
        <v>FY17</v>
      </c>
      <c r="O18" s="5" t="str">
        <f>IFERROR(N18&amp;"-"&amp;COUNTIF($N$18:N19,N18),NA())</f>
        <v>FY17-2</v>
      </c>
      <c r="P18" s="5">
        <f>COUNTIF(V$18:V19,"&gt;="&amp;MAX($V:$V)-183)</f>
        <v>0</v>
      </c>
      <c r="Q18" s="5">
        <f>COUNTIF(V$18:V19,"&gt;="&amp;MAX($V:$V)-365)</f>
        <v>0</v>
      </c>
      <c r="R18" s="5" cm="1">
        <f t="array" ref="R18">LOOKUP(2,1/($G$46:$G$50&lt;=$V18)/($H$46:$H$50&gt;=$V18),$F$46:$F$50)</f>
        <v>0</v>
      </c>
      <c r="S18" s="5" cm="1">
        <f t="array" ref="S18">LOOKUP(2,1/($G$53:$G$56&lt;=$V18)/($H$53:$H$56&gt;=$V18),$F$53:$F$56)</f>
        <v>0</v>
      </c>
      <c r="T18" s="5" t="e">
        <f>IFERROR(IF($R18&gt;0,$R18&amp;"-"&amp;COUNTIF($R$18:$R19,$R18),NA()),NA())</f>
        <v>#N/A</v>
      </c>
      <c r="U18" s="5" t="e">
        <f>IFERROR(IF($S18&gt;0,$S18&amp;"-"&amp;COUNTIF($S$18:$S19,$S18),NA()),NA())</f>
        <v>#N/A</v>
      </c>
      <c r="V18" s="10">
        <v>42831</v>
      </c>
      <c r="W18" s="101">
        <v>13936998.647576332</v>
      </c>
      <c r="X18" s="101">
        <v>12948168.593530791</v>
      </c>
      <c r="Y18" s="102">
        <v>3000000</v>
      </c>
      <c r="AA18" s="48">
        <f t="shared" si="44"/>
        <v>14</v>
      </c>
      <c r="AB18" s="12">
        <f t="shared" si="0"/>
        <v>45113</v>
      </c>
      <c r="AC18" s="103">
        <f t="shared" si="1"/>
        <v>31154789.255748071</v>
      </c>
      <c r="AD18" s="104">
        <f t="shared" si="2"/>
        <v>12000000</v>
      </c>
      <c r="AF18" s="52" t="s">
        <v>42</v>
      </c>
      <c r="AG18" s="52" t="s">
        <v>41</v>
      </c>
      <c r="AI18" s="40">
        <v>130</v>
      </c>
      <c r="AJ18" s="39">
        <f t="shared" si="52"/>
        <v>223803800.00000003</v>
      </c>
      <c r="AK18" s="40">
        <v>280</v>
      </c>
      <c r="AL18" s="39">
        <f t="shared" si="53"/>
        <v>473163800.00000006</v>
      </c>
      <c r="AN18" s="106"/>
      <c r="AO18" s="106"/>
      <c r="AP18" s="40">
        <v>130</v>
      </c>
      <c r="AQ18" s="39">
        <f t="shared" si="54"/>
        <v>164048999.99999997</v>
      </c>
      <c r="AR18" s="40">
        <v>280</v>
      </c>
      <c r="AS18" s="39">
        <f t="shared" si="55"/>
        <v>333833999.99999994</v>
      </c>
      <c r="AU18" s="106"/>
      <c r="AW18" s="48">
        <f t="shared" si="45"/>
        <v>14</v>
      </c>
      <c r="AX18" s="12">
        <f t="shared" si="4"/>
        <v>44931</v>
      </c>
      <c r="AY18" s="103">
        <f t="shared" si="5"/>
        <v>20659761.872909699</v>
      </c>
      <c r="AZ18" s="104">
        <f t="shared" si="6"/>
        <v>4000000</v>
      </c>
      <c r="BB18" s="104"/>
      <c r="BF18" s="40">
        <v>130</v>
      </c>
      <c r="BG18" s="39">
        <f t="shared" si="56"/>
        <v>214065800</v>
      </c>
      <c r="BH18" s="40">
        <v>280</v>
      </c>
      <c r="BI18" s="39">
        <f t="shared" si="57"/>
        <v>451830799.99999994</v>
      </c>
      <c r="BK18" s="106"/>
      <c r="BL18" s="106"/>
      <c r="BM18" s="40">
        <v>130</v>
      </c>
      <c r="BN18" s="39">
        <f t="shared" si="58"/>
        <v>166165000.00000003</v>
      </c>
      <c r="BO18" s="40">
        <v>280</v>
      </c>
      <c r="BP18" s="39">
        <f t="shared" si="59"/>
        <v>339115000</v>
      </c>
      <c r="BR18" s="106"/>
      <c r="BT18" s="48" t="str">
        <f t="shared" si="8"/>
        <v>N1-14</v>
      </c>
      <c r="BU18" s="12">
        <f t="shared" si="9"/>
        <v>44203</v>
      </c>
      <c r="BV18" s="103">
        <f t="shared" si="10"/>
        <v>17082868.713894803</v>
      </c>
      <c r="BW18" s="104">
        <f t="shared" si="11"/>
        <v>3000000</v>
      </c>
      <c r="CB18" s="40">
        <v>80</v>
      </c>
      <c r="CC18" s="39">
        <f t="shared" si="60"/>
        <v>116992000</v>
      </c>
      <c r="CD18" s="40">
        <v>280</v>
      </c>
      <c r="CE18" s="39">
        <f t="shared" si="61"/>
        <v>371692000.00000006</v>
      </c>
      <c r="CG18" s="106"/>
      <c r="CH18" s="106"/>
      <c r="CI18" s="48" t="str">
        <f t="shared" si="12"/>
        <v>A1-14</v>
      </c>
      <c r="CJ18" s="12">
        <f t="shared" si="13"/>
        <v>44315</v>
      </c>
      <c r="CK18" s="105">
        <f t="shared" si="14"/>
        <v>24573953.906962603</v>
      </c>
      <c r="CL18" s="105">
        <f t="shared" si="15"/>
        <v>8000000</v>
      </c>
      <c r="CN18" s="1">
        <v>5</v>
      </c>
      <c r="CO18" s="1">
        <v>80</v>
      </c>
      <c r="CQ18" s="40">
        <v>80</v>
      </c>
      <c r="CR18" s="39">
        <f t="shared" si="62"/>
        <v>109711999.99999999</v>
      </c>
      <c r="CS18" s="40">
        <v>280</v>
      </c>
      <c r="CT18" s="39">
        <f t="shared" si="63"/>
        <v>353332000</v>
      </c>
      <c r="CV18" s="106"/>
      <c r="CX18" s="48" t="str">
        <f t="shared" si="16"/>
        <v>N2-14</v>
      </c>
      <c r="CY18" s="12">
        <f t="shared" si="17"/>
        <v>44798</v>
      </c>
      <c r="CZ18" s="103">
        <f t="shared" si="18"/>
        <v>25454583.399209488</v>
      </c>
      <c r="DA18" s="104">
        <f t="shared" si="19"/>
        <v>8000000</v>
      </c>
      <c r="DC18" s="1">
        <v>5</v>
      </c>
      <c r="DD18" s="1">
        <v>60</v>
      </c>
      <c r="DF18" s="40">
        <v>80</v>
      </c>
      <c r="DG18" s="39">
        <f t="shared" si="64"/>
        <v>101789000</v>
      </c>
      <c r="DH18" s="40">
        <v>280</v>
      </c>
      <c r="DI18" s="39">
        <f t="shared" si="65"/>
        <v>311729000</v>
      </c>
      <c r="DK18" s="106"/>
      <c r="DL18" s="106"/>
      <c r="DM18" s="48" t="str">
        <f t="shared" si="20"/>
        <v>A2-14</v>
      </c>
      <c r="DN18" s="12">
        <f t="shared" si="21"/>
        <v>44910</v>
      </c>
      <c r="DO18" s="103">
        <f t="shared" si="22"/>
        <v>50094358.163575552</v>
      </c>
      <c r="DP18" s="104">
        <f t="shared" si="23"/>
        <v>30000000</v>
      </c>
      <c r="DR18" s="1">
        <v>4</v>
      </c>
      <c r="DS18" s="1">
        <v>50</v>
      </c>
      <c r="DU18" s="40">
        <v>80</v>
      </c>
      <c r="DV18" s="39">
        <f t="shared" si="66"/>
        <v>109711999.99999999</v>
      </c>
      <c r="DW18" s="40">
        <v>280</v>
      </c>
      <c r="DX18" s="39">
        <f t="shared" si="67"/>
        <v>353332000</v>
      </c>
      <c r="DZ18" s="106"/>
      <c r="EA18" s="106"/>
      <c r="EB18" s="40">
        <v>80</v>
      </c>
      <c r="EC18" s="39">
        <f t="shared" si="68"/>
        <v>78531000</v>
      </c>
      <c r="ED18" s="40">
        <v>280</v>
      </c>
      <c r="EE18" s="39">
        <f t="shared" si="69"/>
        <v>236831000.00000003</v>
      </c>
      <c r="EG18" s="106"/>
      <c r="EH18" s="106"/>
      <c r="EI18" s="47" t="str">
        <f t="shared" si="25"/>
        <v>FY18-14</v>
      </c>
      <c r="EJ18" s="16">
        <v>43013</v>
      </c>
      <c r="EK18" s="103">
        <v>17552791.894083146</v>
      </c>
      <c r="EL18" s="104">
        <f t="shared" si="26"/>
        <v>6000000</v>
      </c>
      <c r="EN18" s="104" t="s">
        <v>107</v>
      </c>
      <c r="EO18" s="1">
        <f>SUM(EO5:EO17)</f>
        <v>52</v>
      </c>
      <c r="EQ18" s="40">
        <v>130</v>
      </c>
      <c r="ER18" s="39">
        <f t="shared" si="70"/>
        <v>148396200.00000003</v>
      </c>
      <c r="ES18" s="40">
        <v>280</v>
      </c>
      <c r="ET18" s="39">
        <f t="shared" si="71"/>
        <v>308281200</v>
      </c>
      <c r="EU18" s="106"/>
      <c r="EV18" s="106"/>
      <c r="EW18" s="106"/>
      <c r="EX18" s="16" t="s">
        <v>33</v>
      </c>
      <c r="EY18" s="16">
        <v>43377</v>
      </c>
      <c r="EZ18" s="103">
        <v>17248674.888747614</v>
      </c>
      <c r="FA18" s="104">
        <v>8000000</v>
      </c>
      <c r="FC18" s="55" t="s">
        <v>33</v>
      </c>
      <c r="FD18" s="54"/>
      <c r="FF18" s="40">
        <v>130</v>
      </c>
      <c r="FG18" s="39">
        <f t="shared" si="72"/>
        <v>174988899.99999997</v>
      </c>
      <c r="FH18" s="40">
        <v>280</v>
      </c>
      <c r="FI18" s="39">
        <f t="shared" si="73"/>
        <v>373438900</v>
      </c>
      <c r="FK18" s="106"/>
      <c r="FL18" s="106"/>
      <c r="FM18" s="40">
        <v>130</v>
      </c>
      <c r="FN18" s="39">
        <f t="shared" si="74"/>
        <v>138665400</v>
      </c>
      <c r="FO18" s="40">
        <v>280</v>
      </c>
      <c r="FP18" s="39">
        <f t="shared" si="75"/>
        <v>289295400</v>
      </c>
      <c r="FR18" s="106"/>
      <c r="FS18" s="106"/>
      <c r="FT18" s="16" t="s">
        <v>39</v>
      </c>
      <c r="FU18" s="16">
        <v>43741</v>
      </c>
      <c r="FV18" s="103">
        <v>18203091.032860946</v>
      </c>
      <c r="FW18" s="104">
        <v>8000000</v>
      </c>
      <c r="FY18" s="104" t="s">
        <v>107</v>
      </c>
      <c r="FZ18" s="1">
        <f>SUM(FZ5:FZ17)</f>
        <v>52</v>
      </c>
      <c r="GB18" s="40">
        <v>130</v>
      </c>
      <c r="GC18" s="39">
        <f t="shared" si="76"/>
        <v>152185999.99999997</v>
      </c>
      <c r="GD18" s="40">
        <v>280</v>
      </c>
      <c r="GE18" s="39">
        <f t="shared" si="77"/>
        <v>315941000</v>
      </c>
      <c r="GG18" s="106"/>
      <c r="GH18" s="106"/>
      <c r="GI18" s="40">
        <v>130</v>
      </c>
      <c r="GJ18" s="39">
        <f t="shared" si="78"/>
        <v>118106000</v>
      </c>
      <c r="GK18" s="40">
        <v>280</v>
      </c>
      <c r="GL18" s="39">
        <f t="shared" si="79"/>
        <v>236831000.00000003</v>
      </c>
      <c r="GN18" s="106"/>
      <c r="GO18" s="106"/>
      <c r="GP18" s="16" t="s">
        <v>38</v>
      </c>
      <c r="GQ18" s="16">
        <v>44105</v>
      </c>
      <c r="GR18" s="103">
        <v>27468281.909394953</v>
      </c>
      <c r="GS18" s="104">
        <v>8000000</v>
      </c>
      <c r="GU18" s="1">
        <v>2</v>
      </c>
      <c r="GV18" s="1">
        <v>8</v>
      </c>
      <c r="GX18" s="40">
        <v>130</v>
      </c>
      <c r="GY18" s="39">
        <f t="shared" si="80"/>
        <v>164216000</v>
      </c>
      <c r="GZ18" s="40">
        <v>280</v>
      </c>
      <c r="HA18" s="39">
        <f t="shared" si="81"/>
        <v>335501000</v>
      </c>
      <c r="HC18" s="106"/>
      <c r="HD18" s="106"/>
      <c r="HE18" s="16" t="s">
        <v>35</v>
      </c>
      <c r="HF18" s="16">
        <v>44469</v>
      </c>
      <c r="HG18" s="103">
        <v>26314208.574034661</v>
      </c>
      <c r="HH18" s="104">
        <v>8000000</v>
      </c>
      <c r="HJ18" s="1">
        <v>1</v>
      </c>
      <c r="HK18" s="1">
        <v>3</v>
      </c>
      <c r="HM18" s="40">
        <v>130</v>
      </c>
      <c r="HN18" s="39">
        <f t="shared" si="82"/>
        <v>191626000</v>
      </c>
      <c r="HO18" s="40">
        <v>280</v>
      </c>
      <c r="HP18" s="39">
        <f t="shared" si="83"/>
        <v>399046000.00000006</v>
      </c>
      <c r="HR18" s="106"/>
      <c r="HS18" s="106"/>
      <c r="HT18" s="40">
        <v>130</v>
      </c>
      <c r="HU18" s="39">
        <f t="shared" si="84"/>
        <v>165091999.99999997</v>
      </c>
      <c r="HV18" s="40">
        <v>280</v>
      </c>
      <c r="HW18" s="39">
        <f t="shared" si="85"/>
        <v>337277000</v>
      </c>
      <c r="HY18" s="106"/>
      <c r="HZ18" s="106"/>
      <c r="IA18" s="16" t="s">
        <v>37</v>
      </c>
      <c r="IB18" s="16">
        <v>44840</v>
      </c>
      <c r="IC18" s="103">
        <v>47423181.270902999</v>
      </c>
      <c r="ID18" s="104">
        <v>30000000</v>
      </c>
      <c r="II18" s="40">
        <v>130</v>
      </c>
      <c r="IJ18" s="39">
        <f t="shared" si="86"/>
        <v>209049999.99999997</v>
      </c>
      <c r="IK18" s="40">
        <v>280</v>
      </c>
      <c r="IL18" s="39">
        <f t="shared" si="87"/>
        <v>438355000</v>
      </c>
      <c r="IN18" s="106"/>
      <c r="IO18" s="106"/>
      <c r="IP18" s="40">
        <v>130</v>
      </c>
      <c r="IQ18" s="39">
        <f t="shared" si="88"/>
        <v>165402000</v>
      </c>
      <c r="IR18" s="40">
        <v>280</v>
      </c>
      <c r="IS18" s="39">
        <f t="shared" si="89"/>
        <v>337241999.99999994</v>
      </c>
      <c r="IU18" s="106"/>
      <c r="IV18" s="106"/>
      <c r="IW18" s="16" t="s">
        <v>169</v>
      </c>
      <c r="IX18" s="12">
        <v>44105</v>
      </c>
      <c r="IY18" s="103">
        <v>27468281.909394953</v>
      </c>
      <c r="IZ18" s="104">
        <v>8000000</v>
      </c>
      <c r="JE18" s="40">
        <v>130</v>
      </c>
      <c r="JF18" s="39">
        <f t="shared" si="90"/>
        <v>209049999.99999997</v>
      </c>
      <c r="JG18" s="40">
        <v>280</v>
      </c>
      <c r="JH18" s="39">
        <f t="shared" si="91"/>
        <v>438355000</v>
      </c>
      <c r="JI18" s="39"/>
      <c r="JJ18" s="39"/>
      <c r="JL18" s="106"/>
      <c r="JM18" s="106"/>
      <c r="JN18" s="40">
        <v>25</v>
      </c>
      <c r="JO18" s="39">
        <f t="shared" si="92"/>
        <v>45114000.000000007</v>
      </c>
      <c r="JP18" s="40">
        <v>280</v>
      </c>
      <c r="JQ18" s="39">
        <f t="shared" si="93"/>
        <v>337241999.99999994</v>
      </c>
      <c r="JR18" s="39"/>
      <c r="JS18" s="39"/>
      <c r="JT18" s="39"/>
      <c r="JU18" s="39"/>
      <c r="JW18" s="106"/>
      <c r="JX18" s="106"/>
      <c r="JY18" s="16" t="s">
        <v>83</v>
      </c>
      <c r="JZ18" s="16">
        <v>43013</v>
      </c>
      <c r="KA18" s="103">
        <v>17496270</v>
      </c>
      <c r="KB18" s="104">
        <v>6000000</v>
      </c>
      <c r="KD18" s="1">
        <v>3</v>
      </c>
      <c r="KE18" s="1">
        <v>10</v>
      </c>
      <c r="KG18" s="16" t="s">
        <v>82</v>
      </c>
      <c r="KH18" s="16">
        <v>43195</v>
      </c>
      <c r="KI18" s="103">
        <v>18316540</v>
      </c>
      <c r="KJ18" s="104">
        <v>6000000</v>
      </c>
      <c r="KO18" s="16" t="s">
        <v>81</v>
      </c>
      <c r="KP18" s="16">
        <v>43377</v>
      </c>
      <c r="KQ18" s="103">
        <v>18459936</v>
      </c>
      <c r="KR18" s="104">
        <v>8000000</v>
      </c>
      <c r="KT18" s="55" t="s">
        <v>81</v>
      </c>
      <c r="KU18" s="54"/>
      <c r="KW18" s="16" t="s">
        <v>79</v>
      </c>
      <c r="KX18" s="16">
        <v>43559</v>
      </c>
      <c r="KY18" s="103">
        <v>13384866</v>
      </c>
      <c r="KZ18" s="104">
        <v>3000000</v>
      </c>
      <c r="LB18" s="1">
        <v>1</v>
      </c>
      <c r="LC18" s="1">
        <v>3</v>
      </c>
      <c r="LE18" s="16" t="s">
        <v>78</v>
      </c>
      <c r="LF18" s="16">
        <v>43741</v>
      </c>
      <c r="LG18" s="103">
        <v>18460662</v>
      </c>
      <c r="LH18" s="104">
        <v>8000000</v>
      </c>
      <c r="LK18" s="1">
        <f>SUM(LK5:LK17)</f>
        <v>26</v>
      </c>
      <c r="LM18" s="16" t="s">
        <v>77</v>
      </c>
      <c r="LN18" s="16">
        <v>43923</v>
      </c>
      <c r="LO18" s="103">
        <v>15292002</v>
      </c>
      <c r="LP18" s="104">
        <v>3000000</v>
      </c>
      <c r="LR18" s="1">
        <v>1</v>
      </c>
      <c r="LS18" s="1">
        <v>3</v>
      </c>
      <c r="LU18" s="16" t="s">
        <v>70</v>
      </c>
      <c r="LV18" s="16">
        <v>44105</v>
      </c>
      <c r="LW18" s="103">
        <v>27460290</v>
      </c>
      <c r="LX18" s="104">
        <v>8000000</v>
      </c>
      <c r="LZ18" s="1">
        <v>3</v>
      </c>
      <c r="MA18" s="1">
        <v>20</v>
      </c>
      <c r="MC18" s="16" t="s">
        <v>86</v>
      </c>
      <c r="MD18" s="16">
        <v>44294</v>
      </c>
      <c r="ME18" s="103">
        <v>42348570</v>
      </c>
      <c r="MF18" s="104">
        <v>30000000</v>
      </c>
      <c r="MH18" s="1">
        <v>3</v>
      </c>
      <c r="MI18" s="1">
        <v>20</v>
      </c>
      <c r="MK18" s="16" t="s">
        <v>69</v>
      </c>
      <c r="ML18" s="16">
        <v>44469</v>
      </c>
      <c r="MM18" s="103">
        <v>26770656</v>
      </c>
      <c r="MN18" s="104">
        <v>8000000</v>
      </c>
      <c r="MP18" s="1">
        <v>3</v>
      </c>
      <c r="MQ18" s="1">
        <v>20</v>
      </c>
      <c r="MS18" s="16" t="s">
        <v>76</v>
      </c>
      <c r="MT18" s="16">
        <v>44658</v>
      </c>
      <c r="MU18" s="103">
        <v>44457534</v>
      </c>
      <c r="MV18" s="104">
        <v>20000000</v>
      </c>
      <c r="MX18" s="1">
        <v>2</v>
      </c>
      <c r="MY18" s="1">
        <v>8</v>
      </c>
      <c r="NA18" s="16" t="s">
        <v>34</v>
      </c>
      <c r="NB18" s="16">
        <v>42929</v>
      </c>
      <c r="NC18" s="103">
        <v>15749250</v>
      </c>
      <c r="ND18" s="104">
        <v>6000000</v>
      </c>
      <c r="NF18" s="52" t="s">
        <v>42</v>
      </c>
      <c r="NG18" s="52" t="s">
        <v>41</v>
      </c>
      <c r="NI18" s="40">
        <v>130</v>
      </c>
      <c r="NJ18" s="39">
        <f t="shared" si="94"/>
        <v>159370999.99999997</v>
      </c>
      <c r="NK18" s="40">
        <v>280</v>
      </c>
      <c r="NL18" s="39">
        <f t="shared" si="95"/>
        <v>331585999.99999994</v>
      </c>
      <c r="NN18" s="106"/>
      <c r="NP18" s="16" t="s">
        <v>33</v>
      </c>
      <c r="NQ18" s="16">
        <v>43300</v>
      </c>
      <c r="NR18" s="103">
        <v>32154144</v>
      </c>
      <c r="NS18" s="104">
        <v>30000000</v>
      </c>
      <c r="NU18" s="55" t="s">
        <v>106</v>
      </c>
      <c r="NV18" s="54"/>
      <c r="NX18" s="40">
        <v>130</v>
      </c>
      <c r="NY18" s="39">
        <f t="shared" si="96"/>
        <v>161619199.99999997</v>
      </c>
      <c r="NZ18" s="40">
        <v>280</v>
      </c>
      <c r="OA18" s="39">
        <f t="shared" si="97"/>
        <v>342489200.00000006</v>
      </c>
      <c r="OC18" s="106"/>
    </row>
    <row r="19" spans="2:393" x14ac:dyDescent="0.25">
      <c r="B19" s="53">
        <v>35208</v>
      </c>
      <c r="C19" s="53">
        <v>40237</v>
      </c>
      <c r="D19" s="66"/>
      <c r="F19" s="5" t="s">
        <v>105</v>
      </c>
      <c r="G19" s="53">
        <v>42736</v>
      </c>
      <c r="H19" s="51">
        <f>EOMONTH(G19,5)</f>
        <v>42916</v>
      </c>
      <c r="I19" s="50">
        <f t="shared" ref="I19:I35" si="98">INT((WEEKDAY($G19-5)-$G19+$H19)/7)</f>
        <v>26</v>
      </c>
      <c r="K19" s="7">
        <v>15</v>
      </c>
      <c r="M19" s="5" t="str" cm="1">
        <f t="array" ref="M19">LOOKUP(2,1/($G$19:$G$35&lt;=$V19)/($H$19:$H$35&gt;=$V19),$F$19:$F$35)</f>
        <v>2H17</v>
      </c>
      <c r="N19" s="5" t="str" cm="1">
        <f t="array" ref="N19">LOOKUP(2,1/($G$8:$G$16&lt;=$V19)/($H$8:$H$16&gt;=$V19),$F$8:$F$16)</f>
        <v>FY17</v>
      </c>
      <c r="O19" s="5" t="str">
        <f>IFERROR(N19&amp;"-"&amp;COUNTIF($N$19:N19,N19),NA())</f>
        <v>FY17-1</v>
      </c>
      <c r="P19" s="5">
        <f>COUNTIF(V$19:V19,"&gt;="&amp;MAX($V:$V)-183)</f>
        <v>0</v>
      </c>
      <c r="Q19" s="5">
        <f>COUNTIF(V$19:V19,"&gt;="&amp;MAX($V:$V)-365)</f>
        <v>0</v>
      </c>
      <c r="R19" s="5" cm="1">
        <f t="array" ref="R19">LOOKUP(2,1/($G$46:$G$50&lt;=$V19)/($H$46:$H$50&gt;=$V19),$F$46:$F$50)</f>
        <v>0</v>
      </c>
      <c r="S19" s="5" cm="1">
        <f t="array" ref="S19">LOOKUP(2,1/($G$53:$G$56&lt;=$V19)/($H$53:$H$56&gt;=$V19),$F$53:$F$56)</f>
        <v>0</v>
      </c>
      <c r="T19" s="5" t="e">
        <f>IFERROR(IF($R19&gt;0,$R19&amp;"-"&amp;COUNTIF($R$19:$R19,$R19),NA()),NA())</f>
        <v>#N/A</v>
      </c>
      <c r="U19" s="5" t="e">
        <f>IFERROR(IF($S19&gt;0,$S19&amp;"-"&amp;COUNTIF($S$19:$S19,$S19),NA()),NA())</f>
        <v>#N/A</v>
      </c>
      <c r="V19" s="10">
        <v>42838</v>
      </c>
      <c r="W19" s="101">
        <v>17703647.666034155</v>
      </c>
      <c r="X19" s="101">
        <v>16447573.864129029</v>
      </c>
      <c r="Y19" s="102">
        <v>6000000</v>
      </c>
      <c r="AA19" s="48">
        <f t="shared" si="44"/>
        <v>15</v>
      </c>
      <c r="AB19" s="12">
        <f t="shared" si="0"/>
        <v>45120</v>
      </c>
      <c r="AC19" s="103">
        <f t="shared" si="1"/>
        <v>40570238.531110391</v>
      </c>
      <c r="AD19" s="104">
        <f t="shared" si="2"/>
        <v>20000000</v>
      </c>
      <c r="AF19" s="1">
        <v>1</v>
      </c>
      <c r="AG19" s="1">
        <v>4</v>
      </c>
      <c r="AI19" s="40">
        <v>140</v>
      </c>
      <c r="AJ19" s="39">
        <f t="shared" si="52"/>
        <v>240427800.00000003</v>
      </c>
      <c r="AK19" s="40">
        <v>290</v>
      </c>
      <c r="AL19" s="39">
        <f t="shared" si="53"/>
        <v>489787800</v>
      </c>
      <c r="AN19" s="106"/>
      <c r="AO19" s="106"/>
      <c r="AP19" s="40">
        <v>140</v>
      </c>
      <c r="AQ19" s="39">
        <f t="shared" si="54"/>
        <v>175368000</v>
      </c>
      <c r="AR19" s="40">
        <v>290</v>
      </c>
      <c r="AS19" s="39">
        <f t="shared" si="55"/>
        <v>345152999.99999994</v>
      </c>
      <c r="AU19" s="106"/>
      <c r="AW19" s="48">
        <f t="shared" si="45"/>
        <v>15</v>
      </c>
      <c r="AX19" s="12">
        <f t="shared" si="4"/>
        <v>44938</v>
      </c>
      <c r="AY19" s="103">
        <f t="shared" si="5"/>
        <v>22177022.316813622</v>
      </c>
      <c r="AZ19" s="104">
        <f t="shared" si="6"/>
        <v>4000000</v>
      </c>
      <c r="BB19" s="55" t="s">
        <v>16</v>
      </c>
      <c r="BC19" s="54"/>
      <c r="BD19" s="54"/>
      <c r="BF19" s="40">
        <v>140</v>
      </c>
      <c r="BG19" s="39">
        <f t="shared" si="56"/>
        <v>229916800</v>
      </c>
      <c r="BH19" s="40">
        <v>290</v>
      </c>
      <c r="BI19" s="39">
        <f t="shared" si="57"/>
        <v>467681799.99999994</v>
      </c>
      <c r="BK19" s="106"/>
      <c r="BL19" s="106"/>
      <c r="BM19" s="40">
        <v>140</v>
      </c>
      <c r="BN19" s="39">
        <f t="shared" si="58"/>
        <v>177695000.00000003</v>
      </c>
      <c r="BO19" s="40">
        <v>290</v>
      </c>
      <c r="BP19" s="39">
        <f t="shared" si="59"/>
        <v>350645000</v>
      </c>
      <c r="BR19" s="106"/>
      <c r="BT19" s="48" t="str">
        <f t="shared" si="8"/>
        <v>N1-15</v>
      </c>
      <c r="BU19" s="12">
        <f t="shared" si="9"/>
        <v>44210</v>
      </c>
      <c r="BV19" s="103">
        <f t="shared" si="10"/>
        <v>24054723.502584364</v>
      </c>
      <c r="BW19" s="104">
        <f t="shared" si="11"/>
        <v>8000000</v>
      </c>
      <c r="CB19" s="40">
        <v>90</v>
      </c>
      <c r="CC19" s="39">
        <f t="shared" si="60"/>
        <v>129727000</v>
      </c>
      <c r="CD19" s="40">
        <v>290</v>
      </c>
      <c r="CE19" s="39">
        <f t="shared" si="61"/>
        <v>384427000</v>
      </c>
      <c r="CG19" s="106"/>
      <c r="CH19" s="106"/>
      <c r="CI19" s="48" t="str">
        <f t="shared" si="12"/>
        <v>A1-15</v>
      </c>
      <c r="CJ19" s="12">
        <f t="shared" si="13"/>
        <v>44322</v>
      </c>
      <c r="CK19" s="105">
        <f t="shared" si="14"/>
        <v>37110605.290361807</v>
      </c>
      <c r="CL19" s="105">
        <f t="shared" si="15"/>
        <v>20000000</v>
      </c>
      <c r="CQ19" s="40">
        <v>90</v>
      </c>
      <c r="CR19" s="39">
        <f t="shared" si="62"/>
        <v>121892999.99999999</v>
      </c>
      <c r="CS19" s="40">
        <v>290</v>
      </c>
      <c r="CT19" s="39">
        <f t="shared" si="63"/>
        <v>365513000</v>
      </c>
      <c r="CV19" s="106"/>
      <c r="CX19" s="48" t="str">
        <f t="shared" si="16"/>
        <v>N2-15</v>
      </c>
      <c r="CY19" s="12">
        <f t="shared" si="17"/>
        <v>44805</v>
      </c>
      <c r="CZ19" s="103">
        <f t="shared" si="18"/>
        <v>39743730.009121314</v>
      </c>
      <c r="DA19" s="104">
        <f t="shared" si="19"/>
        <v>20000000</v>
      </c>
      <c r="DF19" s="40">
        <v>90</v>
      </c>
      <c r="DG19" s="39">
        <f t="shared" si="64"/>
        <v>112286000.00000001</v>
      </c>
      <c r="DH19" s="40">
        <v>290</v>
      </c>
      <c r="DI19" s="39">
        <f t="shared" si="65"/>
        <v>322226000</v>
      </c>
      <c r="DK19" s="106"/>
      <c r="DL19" s="106"/>
      <c r="DM19" s="48" t="str">
        <f t="shared" si="20"/>
        <v>A2-15</v>
      </c>
      <c r="DN19" s="12">
        <f t="shared" si="21"/>
        <v>44917</v>
      </c>
      <c r="DO19" s="103">
        <f t="shared" si="22"/>
        <v>75733957.798723027</v>
      </c>
      <c r="DP19" s="104">
        <f t="shared" si="23"/>
        <v>50000000</v>
      </c>
      <c r="DR19" s="1">
        <v>5</v>
      </c>
      <c r="DS19" s="1">
        <v>100</v>
      </c>
      <c r="DU19" s="40">
        <v>90</v>
      </c>
      <c r="DV19" s="39">
        <f t="shared" si="66"/>
        <v>121892999.99999999</v>
      </c>
      <c r="DW19" s="40">
        <v>290</v>
      </c>
      <c r="DX19" s="39">
        <f t="shared" si="67"/>
        <v>365513000</v>
      </c>
      <c r="DZ19" s="106"/>
      <c r="EA19" s="106"/>
      <c r="EB19" s="40">
        <v>90</v>
      </c>
      <c r="EC19" s="39">
        <f t="shared" si="68"/>
        <v>86446000</v>
      </c>
      <c r="ED19" s="40">
        <v>290</v>
      </c>
      <c r="EE19" s="39">
        <f t="shared" si="69"/>
        <v>244746000</v>
      </c>
      <c r="EG19" s="106"/>
      <c r="EH19" s="106"/>
      <c r="EI19" s="47" t="str">
        <f t="shared" si="25"/>
        <v>FY18-15</v>
      </c>
      <c r="EJ19" s="16">
        <v>43020</v>
      </c>
      <c r="EK19" s="103">
        <v>25339796.894945659</v>
      </c>
      <c r="EL19" s="104">
        <f t="shared" si="26"/>
        <v>10000000</v>
      </c>
      <c r="EQ19" s="40">
        <v>140</v>
      </c>
      <c r="ER19" s="39">
        <f t="shared" si="70"/>
        <v>159055200</v>
      </c>
      <c r="ES19" s="40">
        <v>290</v>
      </c>
      <c r="ET19" s="39">
        <f t="shared" si="71"/>
        <v>318940200.00000006</v>
      </c>
      <c r="EU19" s="106"/>
      <c r="EV19" s="106"/>
      <c r="EW19" s="106"/>
      <c r="EX19" s="16" t="s">
        <v>33</v>
      </c>
      <c r="EY19" s="16">
        <v>43384</v>
      </c>
      <c r="EZ19" s="103">
        <v>22858246.916719638</v>
      </c>
      <c r="FA19" s="104">
        <v>12000000</v>
      </c>
      <c r="FC19" s="52" t="s">
        <v>42</v>
      </c>
      <c r="FD19" s="52" t="s">
        <v>41</v>
      </c>
      <c r="FF19" s="40">
        <v>140</v>
      </c>
      <c r="FG19" s="39">
        <f t="shared" si="72"/>
        <v>188218900</v>
      </c>
      <c r="FH19" s="40">
        <v>290</v>
      </c>
      <c r="FI19" s="39">
        <f t="shared" si="73"/>
        <v>386668899.99999994</v>
      </c>
      <c r="FK19" s="106"/>
      <c r="FL19" s="106"/>
      <c r="FM19" s="40">
        <v>140</v>
      </c>
      <c r="FN19" s="39">
        <f t="shared" si="74"/>
        <v>148707400</v>
      </c>
      <c r="FO19" s="40">
        <v>290</v>
      </c>
      <c r="FP19" s="39">
        <f t="shared" si="75"/>
        <v>299337400</v>
      </c>
      <c r="FR19" s="106"/>
      <c r="FS19" s="106"/>
      <c r="FT19" s="16" t="s">
        <v>39</v>
      </c>
      <c r="FU19" s="16">
        <v>43748</v>
      </c>
      <c r="FV19" s="103">
        <v>21627957.918188009</v>
      </c>
      <c r="FW19" s="104">
        <v>12000000</v>
      </c>
      <c r="FY19" s="104"/>
      <c r="GB19" s="40">
        <v>140</v>
      </c>
      <c r="GC19" s="39">
        <f t="shared" si="76"/>
        <v>163103000</v>
      </c>
      <c r="GD19" s="40">
        <v>290</v>
      </c>
      <c r="GE19" s="39">
        <f t="shared" si="77"/>
        <v>326857999.99999994</v>
      </c>
      <c r="GG19" s="106"/>
      <c r="GH19" s="106"/>
      <c r="GI19" s="40">
        <v>140</v>
      </c>
      <c r="GJ19" s="39">
        <f t="shared" si="78"/>
        <v>126021000</v>
      </c>
      <c r="GK19" s="40">
        <v>290</v>
      </c>
      <c r="GL19" s="39">
        <f t="shared" si="79"/>
        <v>244746000</v>
      </c>
      <c r="GN19" s="106"/>
      <c r="GO19" s="106"/>
      <c r="GP19" s="16" t="s">
        <v>38</v>
      </c>
      <c r="GQ19" s="16">
        <v>44112</v>
      </c>
      <c r="GR19" s="103">
        <v>42908867.619337186</v>
      </c>
      <c r="GS19" s="104">
        <v>20000000</v>
      </c>
      <c r="GU19" s="1">
        <v>3</v>
      </c>
      <c r="GV19" s="1">
        <v>20</v>
      </c>
      <c r="GX19" s="40">
        <v>140</v>
      </c>
      <c r="GY19" s="39">
        <f t="shared" si="80"/>
        <v>175635000</v>
      </c>
      <c r="GZ19" s="40">
        <v>290</v>
      </c>
      <c r="HA19" s="39">
        <f t="shared" si="81"/>
        <v>346919999.99999994</v>
      </c>
      <c r="HC19" s="106"/>
      <c r="HD19" s="106"/>
      <c r="HE19" s="16" t="s">
        <v>35</v>
      </c>
      <c r="HF19" s="16">
        <v>44476</v>
      </c>
      <c r="HG19" s="103">
        <v>42338397.567649737</v>
      </c>
      <c r="HH19" s="104">
        <v>20000000</v>
      </c>
      <c r="HJ19" s="1">
        <v>2</v>
      </c>
      <c r="HK19" s="1">
        <v>8</v>
      </c>
      <c r="HM19" s="40">
        <v>140</v>
      </c>
      <c r="HN19" s="39">
        <f t="shared" si="82"/>
        <v>205454000</v>
      </c>
      <c r="HO19" s="40">
        <v>290</v>
      </c>
      <c r="HP19" s="39">
        <f t="shared" si="83"/>
        <v>412874000</v>
      </c>
      <c r="HR19" s="106"/>
      <c r="HS19" s="106"/>
      <c r="HT19" s="40">
        <v>140</v>
      </c>
      <c r="HU19" s="39">
        <f t="shared" si="84"/>
        <v>176571000</v>
      </c>
      <c r="HV19" s="40">
        <v>290</v>
      </c>
      <c r="HW19" s="39">
        <f t="shared" si="85"/>
        <v>348756000</v>
      </c>
      <c r="HY19" s="106"/>
      <c r="HZ19" s="106"/>
      <c r="IA19" s="16" t="s">
        <v>37</v>
      </c>
      <c r="IB19" s="16">
        <v>44847</v>
      </c>
      <c r="IC19" s="103">
        <v>77692655.761629671</v>
      </c>
      <c r="ID19" s="104">
        <v>50000000</v>
      </c>
      <c r="II19" s="40">
        <v>140</v>
      </c>
      <c r="IJ19" s="39">
        <f t="shared" si="86"/>
        <v>224337000</v>
      </c>
      <c r="IK19" s="40">
        <v>290</v>
      </c>
      <c r="IL19" s="39">
        <f t="shared" si="87"/>
        <v>453642000</v>
      </c>
      <c r="IN19" s="106"/>
      <c r="IO19" s="106"/>
      <c r="IP19" s="40">
        <v>140</v>
      </c>
      <c r="IQ19" s="39">
        <f t="shared" si="88"/>
        <v>176857999.99999997</v>
      </c>
      <c r="IR19" s="40">
        <v>290</v>
      </c>
      <c r="IS19" s="39">
        <f t="shared" si="89"/>
        <v>348698000</v>
      </c>
      <c r="IU19" s="106"/>
      <c r="IV19" s="106"/>
      <c r="IW19" s="16" t="s">
        <v>169</v>
      </c>
      <c r="IX19" s="12">
        <v>44112</v>
      </c>
      <c r="IY19" s="103">
        <v>42908867.619337186</v>
      </c>
      <c r="IZ19" s="104">
        <v>20000000</v>
      </c>
      <c r="JE19" s="40">
        <v>140</v>
      </c>
      <c r="JF19" s="39">
        <f t="shared" si="90"/>
        <v>224337000</v>
      </c>
      <c r="JG19" s="40">
        <v>290</v>
      </c>
      <c r="JH19" s="39">
        <f t="shared" si="91"/>
        <v>453642000</v>
      </c>
      <c r="JI19" s="39"/>
      <c r="JJ19" s="39"/>
      <c r="JL19" s="106"/>
      <c r="JM19" s="106"/>
      <c r="JN19" s="40">
        <v>140</v>
      </c>
      <c r="JO19" s="39">
        <f t="shared" si="92"/>
        <v>176857999.99999997</v>
      </c>
      <c r="JP19" s="40">
        <v>290</v>
      </c>
      <c r="JQ19" s="39">
        <f t="shared" si="93"/>
        <v>348698000</v>
      </c>
      <c r="JR19" s="39"/>
      <c r="JS19" s="39"/>
      <c r="JT19" s="39"/>
      <c r="JU19" s="39"/>
      <c r="JW19" s="106"/>
      <c r="JX19" s="106"/>
      <c r="JY19" s="16" t="s">
        <v>83</v>
      </c>
      <c r="JZ19" s="16">
        <v>43020</v>
      </c>
      <c r="KA19" s="103">
        <v>25258200</v>
      </c>
      <c r="KB19" s="104">
        <v>10000000</v>
      </c>
      <c r="KD19" s="1">
        <v>4</v>
      </c>
      <c r="KE19" s="1">
        <v>15</v>
      </c>
      <c r="KG19" s="16" t="s">
        <v>82</v>
      </c>
      <c r="KH19" s="16">
        <v>43202</v>
      </c>
      <c r="KI19" s="103">
        <v>12798500</v>
      </c>
      <c r="KJ19" s="104">
        <v>3000000</v>
      </c>
      <c r="KL19" s="55" t="s">
        <v>104</v>
      </c>
      <c r="KM19" s="54"/>
      <c r="KO19" s="16" t="s">
        <v>81</v>
      </c>
      <c r="KP19" s="16">
        <v>43384</v>
      </c>
      <c r="KQ19" s="103">
        <v>24480720</v>
      </c>
      <c r="KR19" s="104">
        <v>12000000</v>
      </c>
      <c r="KT19" s="52" t="s">
        <v>42</v>
      </c>
      <c r="KU19" s="52" t="s">
        <v>41</v>
      </c>
      <c r="KW19" s="16" t="s">
        <v>79</v>
      </c>
      <c r="KX19" s="16">
        <v>43566</v>
      </c>
      <c r="KY19" s="103">
        <v>18163464</v>
      </c>
      <c r="KZ19" s="104">
        <v>8000000</v>
      </c>
      <c r="LB19" s="1">
        <v>2</v>
      </c>
      <c r="LC19" s="1">
        <v>8</v>
      </c>
      <c r="LE19" s="16" t="s">
        <v>78</v>
      </c>
      <c r="LF19" s="16">
        <v>43748</v>
      </c>
      <c r="LG19" s="103">
        <v>22668492</v>
      </c>
      <c r="LH19" s="104">
        <v>12000000</v>
      </c>
      <c r="LM19" s="16" t="s">
        <v>77</v>
      </c>
      <c r="LN19" s="16">
        <v>43930</v>
      </c>
      <c r="LO19" s="103">
        <v>23177088</v>
      </c>
      <c r="LP19" s="104">
        <v>8000000</v>
      </c>
      <c r="LR19" s="1">
        <v>2</v>
      </c>
      <c r="LS19" s="1">
        <v>8</v>
      </c>
      <c r="LU19" s="16" t="s">
        <v>70</v>
      </c>
      <c r="LV19" s="16">
        <v>44112</v>
      </c>
      <c r="LW19" s="103">
        <v>44099022</v>
      </c>
      <c r="LX19" s="104">
        <v>20000000</v>
      </c>
      <c r="LZ19" s="1">
        <v>4</v>
      </c>
      <c r="MA19" s="1">
        <v>40</v>
      </c>
      <c r="MC19" s="16" t="s">
        <v>86</v>
      </c>
      <c r="MD19" s="16">
        <v>44301</v>
      </c>
      <c r="ME19" s="103">
        <v>65077584</v>
      </c>
      <c r="MF19" s="104">
        <v>50000000</v>
      </c>
      <c r="MH19" s="1">
        <v>4</v>
      </c>
      <c r="MI19" s="1">
        <v>30</v>
      </c>
      <c r="MK19" s="16" t="s">
        <v>69</v>
      </c>
      <c r="ML19" s="16">
        <v>44476</v>
      </c>
      <c r="MM19" s="103">
        <v>44454036</v>
      </c>
      <c r="MN19" s="104">
        <v>20000000</v>
      </c>
      <c r="MP19" s="1">
        <v>4</v>
      </c>
      <c r="MQ19" s="1">
        <v>40</v>
      </c>
      <c r="MS19" s="16" t="s">
        <v>76</v>
      </c>
      <c r="MT19" s="16">
        <v>44665</v>
      </c>
      <c r="MU19" s="103">
        <v>20825310</v>
      </c>
      <c r="MV19" s="104">
        <v>4000000</v>
      </c>
      <c r="MX19" s="1">
        <v>3</v>
      </c>
      <c r="MY19" s="1">
        <v>20</v>
      </c>
      <c r="NA19" s="16" t="s">
        <v>34</v>
      </c>
      <c r="NB19" s="16">
        <v>42936</v>
      </c>
      <c r="NC19" s="103">
        <v>13651880</v>
      </c>
      <c r="ND19" s="104">
        <v>3000000</v>
      </c>
      <c r="NF19" s="1">
        <v>1</v>
      </c>
      <c r="NG19" s="1">
        <v>3</v>
      </c>
      <c r="NI19" s="40">
        <v>140</v>
      </c>
      <c r="NJ19" s="39">
        <f t="shared" si="94"/>
        <v>170851999.99999997</v>
      </c>
      <c r="NK19" s="40">
        <v>290</v>
      </c>
      <c r="NL19" s="39">
        <f t="shared" si="95"/>
        <v>343066999.99999994</v>
      </c>
      <c r="NN19" s="106"/>
      <c r="NP19" s="16" t="s">
        <v>33</v>
      </c>
      <c r="NQ19" s="16">
        <v>43307</v>
      </c>
      <c r="NR19" s="103">
        <v>38903700</v>
      </c>
      <c r="NS19" s="104">
        <v>40000000</v>
      </c>
      <c r="NU19" s="52" t="s">
        <v>42</v>
      </c>
      <c r="NV19" s="52" t="s">
        <v>41</v>
      </c>
      <c r="NX19" s="40">
        <v>140</v>
      </c>
      <c r="NY19" s="39">
        <f t="shared" si="96"/>
        <v>173677200</v>
      </c>
      <c r="NZ19" s="40">
        <v>290</v>
      </c>
      <c r="OA19" s="39">
        <f t="shared" si="97"/>
        <v>354547200.00000006</v>
      </c>
      <c r="OC19" s="106"/>
    </row>
    <row r="20" spans="2:393" x14ac:dyDescent="0.25">
      <c r="B20" s="53">
        <v>40238</v>
      </c>
      <c r="C20" s="53">
        <v>40694</v>
      </c>
      <c r="D20" s="66"/>
      <c r="F20" s="5" t="s">
        <v>83</v>
      </c>
      <c r="G20" s="51">
        <f>H19+1</f>
        <v>42917</v>
      </c>
      <c r="H20" s="51">
        <f>EOMONTH(G20,5)</f>
        <v>43100</v>
      </c>
      <c r="I20" s="50">
        <f t="shared" si="98"/>
        <v>26</v>
      </c>
      <c r="K20" s="7">
        <v>16</v>
      </c>
      <c r="M20" s="5" t="str" cm="1">
        <f t="array" ref="M20">LOOKUP(2,1/($G$19:$G$35&lt;=$V20)/($H$19:$H$35&gt;=$V20),$F$19:$F$35)</f>
        <v>2H17</v>
      </c>
      <c r="N20" s="5" t="str" cm="1">
        <f t="array" ref="N20">LOOKUP(2,1/($G$8:$G$16&lt;=$V20)/($H$8:$H$16&gt;=$V20),$F$8:$F$16)</f>
        <v>FY17</v>
      </c>
      <c r="O20" s="5" t="str">
        <f>IFERROR(N20&amp;"-"&amp;COUNTIF($N$19:N20,N20),NA())</f>
        <v>FY17-2</v>
      </c>
      <c r="P20" s="5">
        <f>COUNTIF(V$19:V20,"&gt;="&amp;MAX($V:$V)-183)</f>
        <v>0</v>
      </c>
      <c r="Q20" s="5">
        <f>COUNTIF(V$19:V20,"&gt;="&amp;MAX($V:$V)-365)</f>
        <v>0</v>
      </c>
      <c r="R20" s="5" cm="1">
        <f t="array" ref="R20">LOOKUP(2,1/($G$46:$G$50&lt;=$V20)/($H$46:$H$50&gt;=$V20),$F$46:$F$50)</f>
        <v>0</v>
      </c>
      <c r="S20" s="5" cm="1">
        <f t="array" ref="S20">LOOKUP(2,1/($G$53:$G$56&lt;=$V20)/($H$53:$H$56&gt;=$V20),$F$53:$F$56)</f>
        <v>0</v>
      </c>
      <c r="T20" s="5" t="e">
        <f>IFERROR(IF($R20&gt;0,$R20&amp;"-"&amp;COUNTIF($R$19:$R20,$R20),NA()),NA())</f>
        <v>#N/A</v>
      </c>
      <c r="U20" s="5" t="e">
        <f>IFERROR(IF($S20&gt;0,$S20&amp;"-"&amp;COUNTIF($S$19:$S20,$S20),NA()),NA())</f>
        <v>#N/A</v>
      </c>
      <c r="V20" s="10">
        <v>42845</v>
      </c>
      <c r="W20" s="101">
        <v>23575656.170432981</v>
      </c>
      <c r="X20" s="101">
        <v>21902963.365140758</v>
      </c>
      <c r="Y20" s="102">
        <v>10000000</v>
      </c>
      <c r="AA20" s="48">
        <f t="shared" si="44"/>
        <v>16</v>
      </c>
      <c r="AB20" s="12">
        <f t="shared" si="0"/>
        <v>45127</v>
      </c>
      <c r="AC20" s="103">
        <f t="shared" si="1"/>
        <v>60836962.188078903</v>
      </c>
      <c r="AD20" s="104">
        <f t="shared" si="2"/>
        <v>40000000</v>
      </c>
      <c r="AF20" s="1">
        <v>2</v>
      </c>
      <c r="AG20" s="1">
        <v>8</v>
      </c>
      <c r="AI20" s="40">
        <v>150</v>
      </c>
      <c r="AJ20" s="39">
        <f t="shared" si="52"/>
        <v>257051800</v>
      </c>
      <c r="AK20" s="40">
        <v>300</v>
      </c>
      <c r="AL20" s="39">
        <f t="shared" si="53"/>
        <v>506411800</v>
      </c>
      <c r="AN20" s="106"/>
      <c r="AO20" s="106"/>
      <c r="AP20" s="40">
        <v>150</v>
      </c>
      <c r="AQ20" s="39">
        <f t="shared" si="54"/>
        <v>186687000</v>
      </c>
      <c r="AR20" s="40">
        <v>300</v>
      </c>
      <c r="AS20" s="39">
        <f t="shared" si="55"/>
        <v>356472000</v>
      </c>
      <c r="AU20" s="106"/>
      <c r="AW20" s="48">
        <f t="shared" si="45"/>
        <v>16</v>
      </c>
      <c r="AX20" s="12">
        <f t="shared" si="4"/>
        <v>44945</v>
      </c>
      <c r="AY20" s="103">
        <f t="shared" si="5"/>
        <v>28696273.517786555</v>
      </c>
      <c r="AZ20" s="104">
        <f t="shared" si="6"/>
        <v>8000000</v>
      </c>
      <c r="BB20" s="52" t="s">
        <v>42</v>
      </c>
      <c r="BC20" s="52" t="s">
        <v>41</v>
      </c>
      <c r="BD20" s="64"/>
      <c r="BF20" s="40">
        <v>150</v>
      </c>
      <c r="BG20" s="39">
        <f t="shared" si="56"/>
        <v>245767800</v>
      </c>
      <c r="BH20" s="40">
        <v>300</v>
      </c>
      <c r="BI20" s="39">
        <f t="shared" si="57"/>
        <v>483532799.99999994</v>
      </c>
      <c r="BK20" s="106"/>
      <c r="BL20" s="106"/>
      <c r="BM20" s="40">
        <v>150</v>
      </c>
      <c r="BN20" s="39">
        <f t="shared" si="58"/>
        <v>189225000.00000003</v>
      </c>
      <c r="BO20" s="40">
        <v>300</v>
      </c>
      <c r="BP20" s="39">
        <f t="shared" si="59"/>
        <v>362175000</v>
      </c>
      <c r="BR20" s="106"/>
      <c r="BT20" s="48" t="str">
        <f t="shared" si="8"/>
        <v>N1-16</v>
      </c>
      <c r="BU20" s="12">
        <f t="shared" si="9"/>
        <v>44217</v>
      </c>
      <c r="BV20" s="103">
        <f t="shared" si="10"/>
        <v>39055239.160839155</v>
      </c>
      <c r="BW20" s="104">
        <f t="shared" si="11"/>
        <v>20000000</v>
      </c>
      <c r="CB20" s="40">
        <v>100</v>
      </c>
      <c r="CC20" s="39">
        <f t="shared" si="60"/>
        <v>142462000.00000003</v>
      </c>
      <c r="CD20" s="40">
        <v>300</v>
      </c>
      <c r="CE20" s="39">
        <f t="shared" si="61"/>
        <v>397162000.00000006</v>
      </c>
      <c r="CG20" s="106"/>
      <c r="CH20" s="106"/>
      <c r="CI20" s="48" t="str">
        <f t="shared" si="12"/>
        <v>A1-16</v>
      </c>
      <c r="CJ20" s="12">
        <f t="shared" si="13"/>
        <v>44329</v>
      </c>
      <c r="CK20" s="105">
        <f t="shared" si="14"/>
        <v>47890415.81027668</v>
      </c>
      <c r="CL20" s="105">
        <f t="shared" si="15"/>
        <v>30000000</v>
      </c>
      <c r="CQ20" s="40">
        <v>100</v>
      </c>
      <c r="CR20" s="39">
        <f t="shared" si="62"/>
        <v>134074000.00000001</v>
      </c>
      <c r="CS20" s="40">
        <v>300</v>
      </c>
      <c r="CT20" s="39">
        <f t="shared" si="63"/>
        <v>377694000</v>
      </c>
      <c r="CV20" s="106"/>
      <c r="CX20" s="48" t="str">
        <f t="shared" si="16"/>
        <v>N2-16</v>
      </c>
      <c r="CY20" s="12">
        <f t="shared" si="17"/>
        <v>44812</v>
      </c>
      <c r="CZ20" s="103">
        <f t="shared" si="18"/>
        <v>61420572.818485856</v>
      </c>
      <c r="DA20" s="104">
        <f t="shared" si="19"/>
        <v>40000000</v>
      </c>
      <c r="DF20" s="40">
        <v>100</v>
      </c>
      <c r="DG20" s="39">
        <f t="shared" si="64"/>
        <v>122783000.00000001</v>
      </c>
      <c r="DH20" s="40">
        <v>300</v>
      </c>
      <c r="DI20" s="39">
        <f t="shared" si="65"/>
        <v>332723000</v>
      </c>
      <c r="DK20" s="106"/>
      <c r="DL20" s="106"/>
      <c r="DM20" s="48" t="str">
        <f t="shared" si="20"/>
        <v>A2-16</v>
      </c>
      <c r="DN20" s="12">
        <f t="shared" si="21"/>
        <v>44924</v>
      </c>
      <c r="DO20" s="103">
        <f t="shared" si="22"/>
        <v>137554844.39039224</v>
      </c>
      <c r="DP20" s="104">
        <f t="shared" si="23"/>
        <v>100000000</v>
      </c>
      <c r="DR20" s="1">
        <v>6</v>
      </c>
      <c r="DS20" s="1">
        <v>160</v>
      </c>
      <c r="DU20" s="40">
        <v>100</v>
      </c>
      <c r="DV20" s="39">
        <f t="shared" si="66"/>
        <v>134074000.00000001</v>
      </c>
      <c r="DW20" s="40">
        <v>300</v>
      </c>
      <c r="DX20" s="39">
        <f t="shared" si="67"/>
        <v>377694000</v>
      </c>
      <c r="DZ20" s="106"/>
      <c r="EA20" s="106"/>
      <c r="EB20" s="40">
        <v>100</v>
      </c>
      <c r="EC20" s="39">
        <f t="shared" si="68"/>
        <v>94360999.999999985</v>
      </c>
      <c r="ED20" s="40">
        <v>300</v>
      </c>
      <c r="EE20" s="39">
        <f t="shared" si="69"/>
        <v>252661000</v>
      </c>
      <c r="EG20" s="106"/>
      <c r="EH20" s="106"/>
      <c r="EI20" s="47" t="str">
        <f t="shared" si="25"/>
        <v>FY18-16</v>
      </c>
      <c r="EJ20" s="16">
        <v>43027</v>
      </c>
      <c r="EK20" s="103">
        <v>28458439.261687078</v>
      </c>
      <c r="EL20" s="104">
        <f t="shared" si="26"/>
        <v>15000000</v>
      </c>
      <c r="EN20" s="63" t="s">
        <v>66</v>
      </c>
      <c r="EO20" s="62"/>
      <c r="EQ20" s="40">
        <v>150</v>
      </c>
      <c r="ER20" s="39">
        <f t="shared" si="70"/>
        <v>169714200</v>
      </c>
      <c r="ES20" s="40">
        <v>300</v>
      </c>
      <c r="ET20" s="39">
        <f t="shared" si="71"/>
        <v>329599200.00000006</v>
      </c>
      <c r="EU20" s="106"/>
      <c r="EV20" s="106"/>
      <c r="EW20" s="106"/>
      <c r="EX20" s="16" t="s">
        <v>33</v>
      </c>
      <c r="EY20" s="16">
        <v>43391</v>
      </c>
      <c r="EZ20" s="103">
        <v>29451650.349650346</v>
      </c>
      <c r="FA20" s="104">
        <v>20000000</v>
      </c>
      <c r="FC20" s="1">
        <v>1</v>
      </c>
      <c r="FD20" s="1">
        <v>3</v>
      </c>
      <c r="FF20" s="40">
        <v>150</v>
      </c>
      <c r="FG20" s="39">
        <f t="shared" si="72"/>
        <v>201448899.99999997</v>
      </c>
      <c r="FH20" s="40">
        <v>300</v>
      </c>
      <c r="FI20" s="39">
        <f t="shared" si="73"/>
        <v>399898899.99999994</v>
      </c>
      <c r="FK20" s="106"/>
      <c r="FL20" s="106"/>
      <c r="FM20" s="40">
        <v>150</v>
      </c>
      <c r="FN20" s="39">
        <f t="shared" si="74"/>
        <v>158749400</v>
      </c>
      <c r="FO20" s="40">
        <v>300</v>
      </c>
      <c r="FP20" s="39">
        <f t="shared" si="75"/>
        <v>309379400</v>
      </c>
      <c r="FR20" s="106"/>
      <c r="FS20" s="106"/>
      <c r="FT20" s="16" t="s">
        <v>39</v>
      </c>
      <c r="FU20" s="16">
        <v>43755</v>
      </c>
      <c r="FV20" s="103">
        <v>14675381.397363698</v>
      </c>
      <c r="FW20" s="104">
        <v>3000000</v>
      </c>
      <c r="FY20" s="55" t="s">
        <v>39</v>
      </c>
      <c r="FZ20" s="54"/>
      <c r="GB20" s="40">
        <v>150</v>
      </c>
      <c r="GC20" s="39">
        <f t="shared" si="76"/>
        <v>174019999.99999997</v>
      </c>
      <c r="GD20" s="40">
        <v>300</v>
      </c>
      <c r="GE20" s="39">
        <f t="shared" si="77"/>
        <v>337775000</v>
      </c>
      <c r="GG20" s="106"/>
      <c r="GH20" s="106"/>
      <c r="GI20" s="40">
        <v>150</v>
      </c>
      <c r="GJ20" s="39">
        <f t="shared" si="78"/>
        <v>133936000</v>
      </c>
      <c r="GK20" s="40">
        <v>300</v>
      </c>
      <c r="GL20" s="39">
        <f t="shared" si="79"/>
        <v>252661000</v>
      </c>
      <c r="GN20" s="106"/>
      <c r="GO20" s="106"/>
      <c r="GP20" s="16" t="s">
        <v>38</v>
      </c>
      <c r="GQ20" s="16">
        <v>44119</v>
      </c>
      <c r="GR20" s="103">
        <v>61499423.776223779</v>
      </c>
      <c r="GS20" s="104">
        <v>40000000</v>
      </c>
      <c r="GU20" s="1">
        <v>4</v>
      </c>
      <c r="GV20" s="1">
        <v>40</v>
      </c>
      <c r="GX20" s="40">
        <v>150</v>
      </c>
      <c r="GY20" s="39">
        <f t="shared" si="80"/>
        <v>187054000</v>
      </c>
      <c r="GZ20" s="40">
        <v>300</v>
      </c>
      <c r="HA20" s="39">
        <f t="shared" si="81"/>
        <v>358339000</v>
      </c>
      <c r="HC20" s="106"/>
      <c r="HD20" s="106"/>
      <c r="HE20" s="16" t="s">
        <v>35</v>
      </c>
      <c r="HF20" s="16">
        <v>44483</v>
      </c>
      <c r="HG20" s="103">
        <v>59016362.663423538</v>
      </c>
      <c r="HH20" s="104">
        <v>40000000</v>
      </c>
      <c r="HJ20" s="1">
        <v>3</v>
      </c>
      <c r="HK20" s="1">
        <v>20</v>
      </c>
      <c r="HM20" s="40">
        <v>150</v>
      </c>
      <c r="HN20" s="39">
        <f t="shared" si="82"/>
        <v>219282000</v>
      </c>
      <c r="HO20" s="40">
        <v>300</v>
      </c>
      <c r="HP20" s="39">
        <f t="shared" si="83"/>
        <v>426702000.00000006</v>
      </c>
      <c r="HR20" s="106"/>
      <c r="HS20" s="106"/>
      <c r="HT20" s="40">
        <v>150</v>
      </c>
      <c r="HU20" s="39">
        <f t="shared" si="84"/>
        <v>188050000</v>
      </c>
      <c r="HV20" s="40">
        <v>300</v>
      </c>
      <c r="HW20" s="39">
        <f t="shared" si="85"/>
        <v>360235000</v>
      </c>
      <c r="HY20" s="106"/>
      <c r="HZ20" s="106"/>
      <c r="IA20" s="16" t="s">
        <v>37</v>
      </c>
      <c r="IB20" s="16">
        <v>44854</v>
      </c>
      <c r="IC20" s="103">
        <v>183084473.09212527</v>
      </c>
      <c r="ID20" s="104">
        <v>100000000</v>
      </c>
      <c r="II20" s="40">
        <v>150</v>
      </c>
      <c r="IJ20" s="39">
        <f t="shared" si="86"/>
        <v>239623999.99999997</v>
      </c>
      <c r="IK20" s="40">
        <v>300</v>
      </c>
      <c r="IL20" s="39">
        <f t="shared" si="87"/>
        <v>468929000</v>
      </c>
      <c r="IN20" s="106"/>
      <c r="IO20" s="106"/>
      <c r="IP20" s="40">
        <v>150</v>
      </c>
      <c r="IQ20" s="39">
        <f t="shared" si="88"/>
        <v>188314000</v>
      </c>
      <c r="IR20" s="40">
        <v>300</v>
      </c>
      <c r="IS20" s="39">
        <f t="shared" si="89"/>
        <v>360154000</v>
      </c>
      <c r="IU20" s="106"/>
      <c r="IV20" s="106"/>
      <c r="IW20" s="16" t="s">
        <v>169</v>
      </c>
      <c r="IX20" s="12">
        <v>44119</v>
      </c>
      <c r="IY20" s="103">
        <v>61499423.776223779</v>
      </c>
      <c r="IZ20" s="104">
        <v>40000000</v>
      </c>
      <c r="JE20" s="40">
        <v>150</v>
      </c>
      <c r="JF20" s="39">
        <f t="shared" si="90"/>
        <v>239623999.99999997</v>
      </c>
      <c r="JG20" s="40">
        <v>300</v>
      </c>
      <c r="JH20" s="39">
        <f t="shared" si="91"/>
        <v>468929000</v>
      </c>
      <c r="JI20" s="39"/>
      <c r="JJ20" s="39"/>
      <c r="JL20" s="106"/>
      <c r="JM20" s="106"/>
      <c r="JN20" s="40">
        <v>150</v>
      </c>
      <c r="JO20" s="39">
        <f t="shared" si="92"/>
        <v>188314000</v>
      </c>
      <c r="JP20" s="40">
        <v>300</v>
      </c>
      <c r="JQ20" s="39">
        <f t="shared" si="93"/>
        <v>360154000</v>
      </c>
      <c r="JR20" s="39"/>
      <c r="JS20" s="39"/>
      <c r="JT20" s="39"/>
      <c r="JU20" s="39"/>
      <c r="JW20" s="106"/>
      <c r="JX20" s="106"/>
      <c r="JY20" s="16" t="s">
        <v>83</v>
      </c>
      <c r="JZ20" s="16">
        <v>43027</v>
      </c>
      <c r="KA20" s="103">
        <v>28366800</v>
      </c>
      <c r="KB20" s="104">
        <v>15000000</v>
      </c>
      <c r="KD20" s="1">
        <v>5</v>
      </c>
      <c r="KE20" s="1">
        <v>30</v>
      </c>
      <c r="KG20" s="46" t="s">
        <v>82</v>
      </c>
      <c r="KH20" s="46">
        <v>43209</v>
      </c>
      <c r="KI20" s="107">
        <v>18243324</v>
      </c>
      <c r="KJ20" s="108">
        <v>8000000</v>
      </c>
      <c r="KL20" s="52" t="s">
        <v>42</v>
      </c>
      <c r="KM20" s="52" t="s">
        <v>41</v>
      </c>
      <c r="KO20" s="16" t="s">
        <v>81</v>
      </c>
      <c r="KP20" s="16">
        <v>43391</v>
      </c>
      <c r="KQ20" s="103">
        <v>29189556</v>
      </c>
      <c r="KR20" s="104">
        <v>20000000</v>
      </c>
      <c r="KT20" s="1">
        <v>1</v>
      </c>
      <c r="KU20" s="1">
        <v>3</v>
      </c>
      <c r="KW20" s="16" t="s">
        <v>79</v>
      </c>
      <c r="KX20" s="16">
        <v>43573</v>
      </c>
      <c r="KY20" s="103">
        <v>21462540</v>
      </c>
      <c r="KZ20" s="104">
        <v>12000000</v>
      </c>
      <c r="LB20" s="1">
        <v>3</v>
      </c>
      <c r="LC20" s="1">
        <v>12</v>
      </c>
      <c r="LE20" s="16" t="s">
        <v>78</v>
      </c>
      <c r="LF20" s="16">
        <v>43755</v>
      </c>
      <c r="LG20" s="103">
        <v>15300054</v>
      </c>
      <c r="LH20" s="104">
        <v>3000000</v>
      </c>
      <c r="LJ20" s="55" t="s">
        <v>103</v>
      </c>
      <c r="LK20" s="54"/>
      <c r="LM20" s="16" t="s">
        <v>77</v>
      </c>
      <c r="LN20" s="16">
        <v>43937</v>
      </c>
      <c r="LO20" s="103">
        <v>28517610</v>
      </c>
      <c r="LP20" s="104">
        <v>12000000</v>
      </c>
      <c r="LR20" s="1">
        <v>3</v>
      </c>
      <c r="LS20" s="1">
        <v>12</v>
      </c>
      <c r="LU20" s="16" t="s">
        <v>70</v>
      </c>
      <c r="LV20" s="16">
        <v>44119</v>
      </c>
      <c r="LW20" s="103">
        <v>64884270</v>
      </c>
      <c r="LX20" s="104">
        <v>40000000</v>
      </c>
      <c r="LZ20" s="1">
        <v>5</v>
      </c>
      <c r="MA20" s="1">
        <v>60</v>
      </c>
      <c r="MC20" s="16" t="s">
        <v>86</v>
      </c>
      <c r="MD20" s="16">
        <v>44308</v>
      </c>
      <c r="ME20" s="103">
        <v>116210292</v>
      </c>
      <c r="MF20" s="104">
        <v>80000000</v>
      </c>
      <c r="MH20" s="1">
        <v>5</v>
      </c>
      <c r="MI20" s="1">
        <v>50</v>
      </c>
      <c r="MK20" s="16" t="s">
        <v>69</v>
      </c>
      <c r="ML20" s="16">
        <v>44483</v>
      </c>
      <c r="MM20" s="103">
        <v>59667168</v>
      </c>
      <c r="MN20" s="104">
        <v>40000000</v>
      </c>
      <c r="MP20" s="1">
        <v>5</v>
      </c>
      <c r="MQ20" s="1">
        <v>60</v>
      </c>
      <c r="MS20" s="16" t="s">
        <v>76</v>
      </c>
      <c r="MT20" s="16">
        <v>44672</v>
      </c>
      <c r="MU20" s="103">
        <v>24283512</v>
      </c>
      <c r="MV20" s="104">
        <v>8000000</v>
      </c>
      <c r="MX20" s="1">
        <v>4</v>
      </c>
      <c r="MY20" s="1">
        <v>40</v>
      </c>
      <c r="NA20" s="16" t="s">
        <v>34</v>
      </c>
      <c r="NB20" s="16">
        <v>42943</v>
      </c>
      <c r="NC20" s="103">
        <v>12289420</v>
      </c>
      <c r="ND20" s="104">
        <v>3000000</v>
      </c>
      <c r="NF20" s="1">
        <v>2</v>
      </c>
      <c r="NG20" s="1">
        <v>6</v>
      </c>
      <c r="NI20" s="40">
        <v>150</v>
      </c>
      <c r="NJ20" s="39">
        <f t="shared" si="94"/>
        <v>182332999.99999997</v>
      </c>
      <c r="NK20" s="40">
        <v>300</v>
      </c>
      <c r="NL20" s="39">
        <f t="shared" si="95"/>
        <v>354547999.99999994</v>
      </c>
      <c r="NN20" s="106"/>
      <c r="NP20" s="16" t="s">
        <v>33</v>
      </c>
      <c r="NQ20" s="16">
        <v>43314</v>
      </c>
      <c r="NR20" s="103">
        <v>47926296</v>
      </c>
      <c r="NS20" s="104">
        <v>50000000</v>
      </c>
      <c r="NU20" s="1">
        <v>1</v>
      </c>
      <c r="NV20" s="1">
        <v>3</v>
      </c>
      <c r="NX20" s="40">
        <v>150</v>
      </c>
      <c r="NY20" s="39">
        <f t="shared" si="96"/>
        <v>185735200</v>
      </c>
      <c r="NZ20" s="40">
        <v>300</v>
      </c>
      <c r="OA20" s="39">
        <f t="shared" si="97"/>
        <v>366605200</v>
      </c>
      <c r="OC20" s="106"/>
    </row>
    <row r="21" spans="2:393" x14ac:dyDescent="0.25">
      <c r="B21" s="53">
        <v>40695</v>
      </c>
      <c r="C21" s="53">
        <v>41339</v>
      </c>
      <c r="D21" s="66"/>
      <c r="F21" s="5" t="s">
        <v>82</v>
      </c>
      <c r="G21" s="51">
        <f t="shared" ref="G21:G35" si="99">H20+1</f>
        <v>43101</v>
      </c>
      <c r="H21" s="51">
        <f t="shared" ref="H21:H35" si="100">EOMONTH(G21,5)</f>
        <v>43281</v>
      </c>
      <c r="I21" s="50">
        <f t="shared" si="98"/>
        <v>26</v>
      </c>
      <c r="K21" s="7">
        <v>17</v>
      </c>
      <c r="M21" s="5" t="str" cm="1">
        <f t="array" ref="M21">LOOKUP(2,1/($G$19:$G$35&lt;=$V21)/($H$19:$H$35&gt;=$V21),$F$19:$F$35)</f>
        <v>2H17</v>
      </c>
      <c r="N21" s="5" t="str" cm="1">
        <f t="array" ref="N21">LOOKUP(2,1/($G$8:$G$16&lt;=$V21)/($H$8:$H$16&gt;=$V21),$F$8:$F$16)</f>
        <v>FY17</v>
      </c>
      <c r="O21" s="5" t="str">
        <f>IFERROR(N21&amp;"-"&amp;COUNTIF($N$19:N21,N21),NA())</f>
        <v>FY17-3</v>
      </c>
      <c r="P21" s="5">
        <f>COUNTIF(V$19:V21,"&gt;="&amp;MAX($V:$V)-183)</f>
        <v>0</v>
      </c>
      <c r="Q21" s="5">
        <f>COUNTIF(V$19:V21,"&gt;="&amp;MAX($V:$V)-365)</f>
        <v>0</v>
      </c>
      <c r="R21" s="5" cm="1">
        <f t="array" ref="R21">LOOKUP(2,1/($G$46:$G$50&lt;=$V21)/($H$46:$H$50&gt;=$V21),$F$46:$F$50)</f>
        <v>0</v>
      </c>
      <c r="S21" s="5" cm="1">
        <f t="array" ref="S21">LOOKUP(2,1/($G$53:$G$56&lt;=$V21)/($H$53:$H$56&gt;=$V21),$F$53:$F$56)</f>
        <v>0</v>
      </c>
      <c r="T21" s="5" t="e">
        <f>IFERROR(IF($R21&gt;0,$R21&amp;"-"&amp;COUNTIF($R$19:$R21,$R21),NA()),NA())</f>
        <v>#N/A</v>
      </c>
      <c r="U21" s="5" t="e">
        <f>IFERROR(IF($S21&gt;0,$S21&amp;"-"&amp;COUNTIF($S$19:$S21,$S21),NA()),NA())</f>
        <v>#N/A</v>
      </c>
      <c r="V21" s="10">
        <v>42852</v>
      </c>
      <c r="W21" s="101">
        <v>26332774.390201826</v>
      </c>
      <c r="X21" s="101">
        <v>24464464.047217004</v>
      </c>
      <c r="Y21" s="102">
        <v>15000000</v>
      </c>
      <c r="AA21" s="48">
        <f t="shared" si="44"/>
        <v>17</v>
      </c>
      <c r="AB21" s="12">
        <f t="shared" si="0"/>
        <v>45134</v>
      </c>
      <c r="AC21" s="103">
        <f t="shared" si="1"/>
        <v>84639629.07268171</v>
      </c>
      <c r="AD21" s="104">
        <f t="shared" si="2"/>
        <v>60000000</v>
      </c>
      <c r="AF21" s="1">
        <v>3</v>
      </c>
      <c r="AG21" s="1">
        <v>20</v>
      </c>
      <c r="AI21" s="40">
        <v>160</v>
      </c>
      <c r="AJ21" s="39">
        <f t="shared" si="52"/>
        <v>273675800.00000006</v>
      </c>
      <c r="AK21" s="40">
        <v>310</v>
      </c>
      <c r="AL21" s="39">
        <f t="shared" si="53"/>
        <v>523035800</v>
      </c>
      <c r="AN21" s="106"/>
      <c r="AO21" s="106"/>
      <c r="AP21" s="40">
        <v>160</v>
      </c>
      <c r="AQ21" s="39">
        <f t="shared" si="54"/>
        <v>198005999.99999997</v>
      </c>
      <c r="AR21" s="40">
        <v>310</v>
      </c>
      <c r="AS21" s="39">
        <f t="shared" si="55"/>
        <v>367790999.99999994</v>
      </c>
      <c r="AU21" s="106"/>
      <c r="AW21" s="48">
        <f t="shared" si="45"/>
        <v>17</v>
      </c>
      <c r="AX21" s="12">
        <f t="shared" si="4"/>
        <v>44952</v>
      </c>
      <c r="AY21" s="103">
        <f t="shared" si="5"/>
        <v>41976722.529644273</v>
      </c>
      <c r="AZ21" s="104">
        <f t="shared" si="6"/>
        <v>20000000</v>
      </c>
      <c r="BB21" s="1">
        <v>1</v>
      </c>
      <c r="BC21" s="1">
        <v>4</v>
      </c>
      <c r="BF21" s="40">
        <v>160</v>
      </c>
      <c r="BG21" s="39">
        <f t="shared" si="56"/>
        <v>261618799.99999997</v>
      </c>
      <c r="BH21" s="40">
        <v>310</v>
      </c>
      <c r="BI21" s="39">
        <f t="shared" si="57"/>
        <v>499383799.99999994</v>
      </c>
      <c r="BK21" s="106"/>
      <c r="BL21" s="106"/>
      <c r="BM21" s="40">
        <v>160</v>
      </c>
      <c r="BN21" s="39">
        <f t="shared" si="58"/>
        <v>200755000.00000003</v>
      </c>
      <c r="BO21" s="40">
        <v>310</v>
      </c>
      <c r="BP21" s="39">
        <f t="shared" si="59"/>
        <v>373705000</v>
      </c>
      <c r="BR21" s="106"/>
      <c r="BT21" s="48" t="e">
        <f t="shared" si="8"/>
        <v>#N/A</v>
      </c>
      <c r="BU21" s="12" t="e">
        <f t="shared" si="9"/>
        <v>#N/A</v>
      </c>
      <c r="BV21" s="103" t="e">
        <f t="shared" si="10"/>
        <v>#N/A</v>
      </c>
      <c r="BW21" s="104" t="e">
        <f t="shared" si="11"/>
        <v>#N/A</v>
      </c>
      <c r="CB21" s="40">
        <v>110</v>
      </c>
      <c r="CC21" s="39">
        <f t="shared" si="60"/>
        <v>155197000</v>
      </c>
      <c r="CD21" s="40">
        <v>310</v>
      </c>
      <c r="CE21" s="39">
        <f t="shared" si="61"/>
        <v>409897000.00000006</v>
      </c>
      <c r="CG21" s="106"/>
      <c r="CH21" s="106"/>
      <c r="CI21" s="48" t="e">
        <f t="shared" si="12"/>
        <v>#N/A</v>
      </c>
      <c r="CJ21" s="12" t="e">
        <f t="shared" si="13"/>
        <v>#N/A</v>
      </c>
      <c r="CK21" s="105" t="e">
        <f t="shared" si="14"/>
        <v>#N/A</v>
      </c>
      <c r="CL21" s="105" t="e">
        <f t="shared" si="15"/>
        <v>#N/A</v>
      </c>
      <c r="CN21" s="61">
        <f>CC11/CR11-1</f>
        <v>0.13916956432808347</v>
      </c>
      <c r="CQ21" s="40">
        <v>110</v>
      </c>
      <c r="CR21" s="39">
        <f t="shared" si="62"/>
        <v>146255000</v>
      </c>
      <c r="CS21" s="40">
        <v>310</v>
      </c>
      <c r="CT21" s="39">
        <f t="shared" si="63"/>
        <v>389875000</v>
      </c>
      <c r="CV21" s="106"/>
      <c r="CX21" s="48" t="e">
        <f t="shared" si="16"/>
        <v>#N/A</v>
      </c>
      <c r="CY21" s="12" t="e">
        <f t="shared" si="17"/>
        <v>#N/A</v>
      </c>
      <c r="CZ21" s="103" t="e">
        <f t="shared" si="18"/>
        <v>#N/A</v>
      </c>
      <c r="DA21" s="104" t="e">
        <f t="shared" si="19"/>
        <v>#N/A</v>
      </c>
      <c r="DF21" s="40">
        <v>110</v>
      </c>
      <c r="DG21" s="39">
        <f t="shared" si="64"/>
        <v>133280000</v>
      </c>
      <c r="DH21" s="40">
        <v>310</v>
      </c>
      <c r="DI21" s="39">
        <f t="shared" si="65"/>
        <v>343220000</v>
      </c>
      <c r="DK21" s="106"/>
      <c r="DL21" s="106"/>
      <c r="DM21" s="48" t="e">
        <f t="shared" si="20"/>
        <v>#N/A</v>
      </c>
      <c r="DN21" s="12" t="e">
        <f t="shared" si="21"/>
        <v>#N/A</v>
      </c>
      <c r="DO21" s="103" t="e">
        <f t="shared" si="22"/>
        <v>#N/A</v>
      </c>
      <c r="DP21" s="104" t="e">
        <f t="shared" si="23"/>
        <v>#N/A</v>
      </c>
      <c r="DU21" s="40">
        <v>110</v>
      </c>
      <c r="DV21" s="39">
        <f t="shared" si="66"/>
        <v>146255000</v>
      </c>
      <c r="DW21" s="40">
        <v>310</v>
      </c>
      <c r="DX21" s="39">
        <f t="shared" si="67"/>
        <v>389875000</v>
      </c>
      <c r="DZ21" s="106"/>
      <c r="EA21" s="106"/>
      <c r="EB21" s="40">
        <v>110</v>
      </c>
      <c r="EC21" s="39">
        <f t="shared" si="68"/>
        <v>102276000</v>
      </c>
      <c r="ED21" s="40">
        <v>310</v>
      </c>
      <c r="EE21" s="39">
        <f t="shared" si="69"/>
        <v>260575999.99999997</v>
      </c>
      <c r="EG21" s="106"/>
      <c r="EH21" s="106"/>
      <c r="EI21" s="47" t="str">
        <f t="shared" si="25"/>
        <v>FY18-17</v>
      </c>
      <c r="EJ21" s="16">
        <v>43034</v>
      </c>
      <c r="EK21" s="103">
        <v>12752664.964636879</v>
      </c>
      <c r="EL21" s="104">
        <f t="shared" si="26"/>
        <v>3000000</v>
      </c>
      <c r="EN21" s="104">
        <v>3000000</v>
      </c>
      <c r="EO21" s="1">
        <f t="shared" ref="EO21:EO30" si="101">COUNTIF($EL$5:$EL$44,EN21)</f>
        <v>14</v>
      </c>
      <c r="EQ21" s="40">
        <v>160</v>
      </c>
      <c r="ER21" s="39">
        <f t="shared" si="70"/>
        <v>180373200</v>
      </c>
      <c r="ES21" s="40">
        <v>310</v>
      </c>
      <c r="ET21" s="39">
        <f t="shared" si="71"/>
        <v>340258200.00000006</v>
      </c>
      <c r="EU21" s="106"/>
      <c r="EV21" s="106"/>
      <c r="EW21" s="106"/>
      <c r="EX21" s="16" t="s">
        <v>33</v>
      </c>
      <c r="EY21" s="16">
        <v>43398</v>
      </c>
      <c r="EZ21" s="103">
        <v>34304900.19071836</v>
      </c>
      <c r="FA21" s="104">
        <v>30000000</v>
      </c>
      <c r="FC21" s="1">
        <v>2</v>
      </c>
      <c r="FD21" s="1">
        <v>8</v>
      </c>
      <c r="FF21" s="40">
        <v>160</v>
      </c>
      <c r="FG21" s="39">
        <f t="shared" si="72"/>
        <v>214678900</v>
      </c>
      <c r="FH21" s="40">
        <v>310</v>
      </c>
      <c r="FI21" s="39">
        <f t="shared" si="73"/>
        <v>413128900</v>
      </c>
      <c r="FK21" s="106"/>
      <c r="FL21" s="106"/>
      <c r="FM21" s="40">
        <v>160</v>
      </c>
      <c r="FN21" s="39">
        <f t="shared" si="74"/>
        <v>168791400</v>
      </c>
      <c r="FO21" s="40">
        <v>310</v>
      </c>
      <c r="FP21" s="39">
        <f t="shared" si="75"/>
        <v>319421400</v>
      </c>
      <c r="FR21" s="106"/>
      <c r="FS21" s="106"/>
      <c r="FT21" s="16" t="s">
        <v>39</v>
      </c>
      <c r="FU21" s="16">
        <v>43762</v>
      </c>
      <c r="FV21" s="103">
        <v>19900891.144253977</v>
      </c>
      <c r="FW21" s="104">
        <v>8000000</v>
      </c>
      <c r="FY21" s="52" t="s">
        <v>42</v>
      </c>
      <c r="FZ21" s="52" t="s">
        <v>41</v>
      </c>
      <c r="GB21" s="40">
        <v>160</v>
      </c>
      <c r="GC21" s="39">
        <f t="shared" si="76"/>
        <v>184936999.99999994</v>
      </c>
      <c r="GD21" s="40">
        <v>310</v>
      </c>
      <c r="GE21" s="39">
        <f t="shared" si="77"/>
        <v>348691999.99999994</v>
      </c>
      <c r="GG21" s="106"/>
      <c r="GH21" s="106"/>
      <c r="GI21" s="40">
        <v>160</v>
      </c>
      <c r="GJ21" s="39">
        <f t="shared" si="78"/>
        <v>141851000</v>
      </c>
      <c r="GK21" s="40">
        <v>310</v>
      </c>
      <c r="GL21" s="39">
        <f t="shared" si="79"/>
        <v>260575999.99999997</v>
      </c>
      <c r="GN21" s="106"/>
      <c r="GO21" s="106"/>
      <c r="GP21" s="16" t="s">
        <v>38</v>
      </c>
      <c r="GQ21" s="16">
        <v>44126</v>
      </c>
      <c r="GR21" s="103">
        <v>19054887.686226815</v>
      </c>
      <c r="GS21" s="104">
        <v>3000000</v>
      </c>
      <c r="GU21" s="1">
        <v>5</v>
      </c>
      <c r="GV21" s="1">
        <v>60</v>
      </c>
      <c r="GX21" s="40">
        <v>160</v>
      </c>
      <c r="GY21" s="39">
        <f t="shared" si="80"/>
        <v>198472999.99999997</v>
      </c>
      <c r="GZ21" s="40">
        <v>310</v>
      </c>
      <c r="HA21" s="39">
        <f t="shared" si="81"/>
        <v>369758000</v>
      </c>
      <c r="HC21" s="106"/>
      <c r="HD21" s="106"/>
      <c r="HE21" s="16" t="s">
        <v>35</v>
      </c>
      <c r="HF21" s="16">
        <v>44490</v>
      </c>
      <c r="HG21" s="103">
        <v>83423387.290969908</v>
      </c>
      <c r="HH21" s="104">
        <v>60000000</v>
      </c>
      <c r="HJ21" s="1">
        <v>4</v>
      </c>
      <c r="HK21" s="1">
        <v>40</v>
      </c>
      <c r="HM21" s="40">
        <v>160</v>
      </c>
      <c r="HN21" s="39">
        <f t="shared" si="82"/>
        <v>233110000</v>
      </c>
      <c r="HO21" s="40">
        <v>310</v>
      </c>
      <c r="HP21" s="39">
        <f t="shared" si="83"/>
        <v>440530000</v>
      </c>
      <c r="HR21" s="106"/>
      <c r="HS21" s="106"/>
      <c r="HT21" s="40">
        <v>160</v>
      </c>
      <c r="HU21" s="39">
        <f t="shared" si="84"/>
        <v>199529000</v>
      </c>
      <c r="HV21" s="40">
        <v>310</v>
      </c>
      <c r="HW21" s="39">
        <f t="shared" si="85"/>
        <v>371714000</v>
      </c>
      <c r="HY21" s="106"/>
      <c r="HZ21" s="106"/>
      <c r="IA21" s="16" t="s">
        <v>37</v>
      </c>
      <c r="IB21" s="16">
        <v>44861</v>
      </c>
      <c r="IC21" s="103">
        <v>284837413.80358768</v>
      </c>
      <c r="ID21" s="104">
        <v>160000000</v>
      </c>
      <c r="II21" s="40">
        <v>160</v>
      </c>
      <c r="IJ21" s="39">
        <f t="shared" si="86"/>
        <v>254910999.99999997</v>
      </c>
      <c r="IK21" s="40">
        <v>310</v>
      </c>
      <c r="IL21" s="39">
        <f t="shared" si="87"/>
        <v>484216000</v>
      </c>
      <c r="IN21" s="106"/>
      <c r="IO21" s="106"/>
      <c r="IP21" s="40">
        <v>160</v>
      </c>
      <c r="IQ21" s="39">
        <f t="shared" si="88"/>
        <v>199769999.99999997</v>
      </c>
      <c r="IR21" s="40">
        <v>400</v>
      </c>
      <c r="IS21" s="39">
        <f t="shared" si="89"/>
        <v>474714000</v>
      </c>
      <c r="IU21" s="106"/>
      <c r="IV21" s="106"/>
      <c r="IW21" s="16" t="s">
        <v>169</v>
      </c>
      <c r="IX21" s="12">
        <v>44126</v>
      </c>
      <c r="IY21" s="103">
        <v>19054887.686226815</v>
      </c>
      <c r="IZ21" s="104">
        <v>3000000</v>
      </c>
      <c r="JE21" s="40">
        <v>160</v>
      </c>
      <c r="JF21" s="39">
        <f t="shared" si="90"/>
        <v>254910999.99999997</v>
      </c>
      <c r="JG21" s="40">
        <v>310</v>
      </c>
      <c r="JH21" s="39">
        <f t="shared" si="91"/>
        <v>484216000</v>
      </c>
      <c r="JI21" s="39"/>
      <c r="JJ21" s="39"/>
      <c r="JL21" s="106"/>
      <c r="JM21" s="106"/>
      <c r="JN21" s="40">
        <v>160</v>
      </c>
      <c r="JO21" s="39">
        <f t="shared" si="92"/>
        <v>199769999.99999997</v>
      </c>
      <c r="JP21" s="40">
        <v>310</v>
      </c>
      <c r="JQ21" s="39">
        <f t="shared" si="93"/>
        <v>371609999.99999994</v>
      </c>
      <c r="JR21" s="39"/>
      <c r="JS21" s="39"/>
      <c r="JT21" s="39"/>
      <c r="JU21" s="39"/>
      <c r="JW21" s="106"/>
      <c r="JX21" s="106"/>
      <c r="JY21" s="16" t="s">
        <v>83</v>
      </c>
      <c r="JZ21" s="16">
        <v>43034</v>
      </c>
      <c r="KA21" s="103">
        <v>12711600</v>
      </c>
      <c r="KB21" s="104">
        <v>3000000</v>
      </c>
      <c r="KD21" s="1">
        <v>6</v>
      </c>
      <c r="KE21" s="1">
        <v>50</v>
      </c>
      <c r="KG21" s="46" t="s">
        <v>82</v>
      </c>
      <c r="KH21" s="46">
        <v>43216</v>
      </c>
      <c r="KI21" s="107">
        <v>11782122</v>
      </c>
      <c r="KJ21" s="108">
        <v>3000000</v>
      </c>
      <c r="KL21" s="1">
        <v>1</v>
      </c>
      <c r="KM21" s="1">
        <v>3</v>
      </c>
      <c r="KO21" s="16" t="s">
        <v>81</v>
      </c>
      <c r="KP21" s="16">
        <v>43398</v>
      </c>
      <c r="KQ21" s="103">
        <v>34647558</v>
      </c>
      <c r="KR21" s="104">
        <v>30000000</v>
      </c>
      <c r="KT21" s="1">
        <v>2</v>
      </c>
      <c r="KU21" s="1">
        <v>8</v>
      </c>
      <c r="KW21" s="16" t="s">
        <v>79</v>
      </c>
      <c r="KX21" s="16">
        <v>43580</v>
      </c>
      <c r="KY21" s="103">
        <v>22645722</v>
      </c>
      <c r="KZ21" s="104">
        <v>20000000</v>
      </c>
      <c r="LB21" s="1">
        <v>4</v>
      </c>
      <c r="LC21" s="1">
        <v>20</v>
      </c>
      <c r="LE21" s="16" t="s">
        <v>78</v>
      </c>
      <c r="LF21" s="16">
        <v>43762</v>
      </c>
      <c r="LG21" s="103">
        <v>21789900</v>
      </c>
      <c r="LH21" s="104">
        <v>8000000</v>
      </c>
      <c r="LJ21" s="52" t="s">
        <v>42</v>
      </c>
      <c r="LK21" s="52" t="s">
        <v>41</v>
      </c>
      <c r="LM21" s="16" t="s">
        <v>77</v>
      </c>
      <c r="LN21" s="16">
        <v>43944</v>
      </c>
      <c r="LO21" s="103">
        <v>40089852</v>
      </c>
      <c r="LP21" s="104">
        <v>20000000</v>
      </c>
      <c r="LR21" s="1">
        <v>4</v>
      </c>
      <c r="LS21" s="1">
        <v>20</v>
      </c>
      <c r="LU21" s="16" t="s">
        <v>70</v>
      </c>
      <c r="LV21" s="16">
        <v>44126</v>
      </c>
      <c r="LW21" s="103">
        <v>19372848</v>
      </c>
      <c r="LX21" s="104">
        <v>3000000</v>
      </c>
      <c r="LZ21" s="1">
        <v>6</v>
      </c>
      <c r="MA21" s="1">
        <v>80</v>
      </c>
      <c r="MC21" s="16" t="s">
        <v>86</v>
      </c>
      <c r="MD21" s="16">
        <v>44315</v>
      </c>
      <c r="ME21" s="103">
        <v>24121218</v>
      </c>
      <c r="MF21" s="104">
        <v>8000000</v>
      </c>
      <c r="MH21" s="1">
        <v>6</v>
      </c>
      <c r="MI21" s="1">
        <v>80</v>
      </c>
      <c r="MK21" s="16" t="s">
        <v>69</v>
      </c>
      <c r="ML21" s="16">
        <v>44490</v>
      </c>
      <c r="MM21" s="103">
        <v>87732480</v>
      </c>
      <c r="MN21" s="104">
        <v>60000000</v>
      </c>
      <c r="MP21" s="1">
        <v>6</v>
      </c>
      <c r="MQ21" s="1">
        <v>80</v>
      </c>
      <c r="MS21" s="16" t="s">
        <v>76</v>
      </c>
      <c r="MT21" s="16">
        <v>44679</v>
      </c>
      <c r="MU21" s="103">
        <v>42425658</v>
      </c>
      <c r="MV21" s="104">
        <v>20000000</v>
      </c>
      <c r="MX21" s="1">
        <v>5</v>
      </c>
      <c r="MY21" s="1">
        <v>60</v>
      </c>
      <c r="NA21" s="16" t="s">
        <v>34</v>
      </c>
      <c r="NB21" s="16">
        <v>42950</v>
      </c>
      <c r="NC21" s="103">
        <v>17316640</v>
      </c>
      <c r="ND21" s="104">
        <v>6000000</v>
      </c>
      <c r="NF21" s="1">
        <v>3</v>
      </c>
      <c r="NG21" s="1">
        <v>10</v>
      </c>
      <c r="NH21"/>
      <c r="NI21" s="40">
        <v>160</v>
      </c>
      <c r="NJ21" s="39">
        <f t="shared" si="94"/>
        <v>193813999.99999997</v>
      </c>
      <c r="NK21" s="40">
        <v>310</v>
      </c>
      <c r="NL21" s="39">
        <f t="shared" si="95"/>
        <v>366028999.99999994</v>
      </c>
      <c r="NN21" s="106"/>
      <c r="NP21" s="16" t="s">
        <v>33</v>
      </c>
      <c r="NQ21" s="16">
        <v>43321</v>
      </c>
      <c r="NR21" s="103">
        <v>90542232</v>
      </c>
      <c r="NS21" s="104">
        <v>80000000</v>
      </c>
      <c r="NU21" s="1">
        <v>2</v>
      </c>
      <c r="NV21" s="1">
        <v>8</v>
      </c>
      <c r="NX21" s="40">
        <v>160</v>
      </c>
      <c r="NY21" s="39">
        <f t="shared" si="96"/>
        <v>197793199.99999997</v>
      </c>
      <c r="NZ21" s="40">
        <v>310</v>
      </c>
      <c r="OA21" s="39">
        <f t="shared" si="97"/>
        <v>378663200</v>
      </c>
      <c r="OC21" s="106"/>
    </row>
    <row r="22" spans="2:393" x14ac:dyDescent="0.25">
      <c r="B22" s="53">
        <v>41340</v>
      </c>
      <c r="C22" s="53">
        <v>43208</v>
      </c>
      <c r="D22" s="65">
        <v>76.767600000000002</v>
      </c>
      <c r="F22" s="5" t="s">
        <v>81</v>
      </c>
      <c r="G22" s="51">
        <f t="shared" si="99"/>
        <v>43282</v>
      </c>
      <c r="H22" s="51">
        <f t="shared" si="100"/>
        <v>43465</v>
      </c>
      <c r="I22" s="50">
        <f t="shared" si="98"/>
        <v>26</v>
      </c>
      <c r="K22" s="7">
        <v>18</v>
      </c>
      <c r="M22" s="5" t="str" cm="1">
        <f t="array" ref="M22">LOOKUP(2,1/($G$19:$G$35&lt;=$V22)/($H$19:$H$35&gt;=$V22),$F$19:$F$35)</f>
        <v>2H17</v>
      </c>
      <c r="N22" s="5" t="str" cm="1">
        <f t="array" ref="N22">LOOKUP(2,1/($G$8:$G$16&lt;=$V22)/($H$8:$H$16&gt;=$V22),$F$8:$F$16)</f>
        <v>FY17</v>
      </c>
      <c r="O22" s="5" t="str">
        <f>IFERROR(N22&amp;"-"&amp;COUNTIF($N$19:N22,N22),NA())</f>
        <v>FY17-4</v>
      </c>
      <c r="P22" s="5">
        <f>COUNTIF(V$19:V22,"&gt;="&amp;MAX($V:$V)-183)</f>
        <v>0</v>
      </c>
      <c r="Q22" s="5">
        <f>COUNTIF(V$19:V22,"&gt;="&amp;MAX($V:$V)-365)</f>
        <v>0</v>
      </c>
      <c r="R22" s="5" cm="1">
        <f t="array" ref="R22">LOOKUP(2,1/($G$46:$G$50&lt;=$V22)/($H$46:$H$50&gt;=$V22),$F$46:$F$50)</f>
        <v>0</v>
      </c>
      <c r="S22" s="5" cm="1">
        <f t="array" ref="S22">LOOKUP(2,1/($G$53:$G$56&lt;=$V22)/($H$53:$H$56&gt;=$V22),$F$53:$F$56)</f>
        <v>0</v>
      </c>
      <c r="T22" s="5" t="e">
        <f>IFERROR(IF($R22&gt;0,$R22&amp;"-"&amp;COUNTIF($R$19:$R22,$R22),NA()),NA())</f>
        <v>#N/A</v>
      </c>
      <c r="U22" s="5" t="e">
        <f>IFERROR(IF($S22&gt;0,$S22&amp;"-"&amp;COUNTIF($S$19:$S22,$S22),NA()),NA())</f>
        <v>#N/A</v>
      </c>
      <c r="V22" s="10">
        <v>42859</v>
      </c>
      <c r="W22" s="101">
        <v>42862020.355356216</v>
      </c>
      <c r="X22" s="101">
        <v>39820960.011143692</v>
      </c>
      <c r="Y22" s="102">
        <v>30000000</v>
      </c>
      <c r="AA22" s="48">
        <f t="shared" si="44"/>
        <v>18</v>
      </c>
      <c r="AB22" s="12">
        <f t="shared" si="0"/>
        <v>45141</v>
      </c>
      <c r="AC22" s="103">
        <f t="shared" si="1"/>
        <v>156823488.17696416</v>
      </c>
      <c r="AD22" s="104">
        <f t="shared" si="2"/>
        <v>100000000</v>
      </c>
      <c r="AF22" s="1">
        <v>4</v>
      </c>
      <c r="AG22" s="1">
        <v>40</v>
      </c>
      <c r="AI22" s="40">
        <v>170</v>
      </c>
      <c r="AJ22" s="39">
        <f t="shared" si="52"/>
        <v>290299800</v>
      </c>
      <c r="AK22" s="40">
        <v>320</v>
      </c>
      <c r="AL22" s="39">
        <f t="shared" si="53"/>
        <v>539659800</v>
      </c>
      <c r="AN22" s="106"/>
      <c r="AO22" s="106"/>
      <c r="AP22" s="40">
        <v>170</v>
      </c>
      <c r="AQ22" s="39">
        <f t="shared" si="54"/>
        <v>209325000</v>
      </c>
      <c r="AR22" s="40">
        <v>320</v>
      </c>
      <c r="AS22" s="39">
        <f t="shared" si="55"/>
        <v>379109999.99999994</v>
      </c>
      <c r="AU22" s="106"/>
      <c r="AW22" s="48">
        <f t="shared" si="45"/>
        <v>18</v>
      </c>
      <c r="AX22" s="12">
        <f t="shared" si="4"/>
        <v>44959</v>
      </c>
      <c r="AY22" s="103">
        <f t="shared" si="5"/>
        <v>59808873.700212829</v>
      </c>
      <c r="AZ22" s="104">
        <f t="shared" si="6"/>
        <v>40000000</v>
      </c>
      <c r="BB22" s="1">
        <v>2</v>
      </c>
      <c r="BC22" s="1">
        <v>8</v>
      </c>
      <c r="BF22" s="40">
        <v>170</v>
      </c>
      <c r="BG22" s="39">
        <f t="shared" si="56"/>
        <v>277469799.99999994</v>
      </c>
      <c r="BH22" s="40">
        <v>320</v>
      </c>
      <c r="BI22" s="39">
        <f t="shared" si="57"/>
        <v>515234799.99999994</v>
      </c>
      <c r="BK22" s="106"/>
      <c r="BL22" s="106"/>
      <c r="BM22" s="40">
        <v>170</v>
      </c>
      <c r="BN22" s="39">
        <f t="shared" si="58"/>
        <v>212285000</v>
      </c>
      <c r="BO22" s="40">
        <v>320</v>
      </c>
      <c r="BP22" s="39">
        <f t="shared" si="59"/>
        <v>385235000</v>
      </c>
      <c r="BR22" s="106"/>
      <c r="BT22" s="48" t="e">
        <f t="shared" si="8"/>
        <v>#N/A</v>
      </c>
      <c r="BU22" s="12" t="e">
        <f t="shared" si="9"/>
        <v>#N/A</v>
      </c>
      <c r="BV22" s="103" t="e">
        <f t="shared" si="10"/>
        <v>#N/A</v>
      </c>
      <c r="BW22" s="104" t="e">
        <f t="shared" si="11"/>
        <v>#N/A</v>
      </c>
      <c r="CB22" s="40">
        <v>120</v>
      </c>
      <c r="CC22" s="39">
        <f t="shared" si="60"/>
        <v>167932000.00000003</v>
      </c>
      <c r="CD22" s="40">
        <v>320</v>
      </c>
      <c r="CE22" s="39">
        <f t="shared" si="61"/>
        <v>422632000.00000006</v>
      </c>
      <c r="CG22" s="106"/>
      <c r="CH22" s="106"/>
      <c r="CI22" s="48" t="e">
        <f t="shared" si="12"/>
        <v>#N/A</v>
      </c>
      <c r="CJ22" s="12" t="e">
        <f t="shared" si="13"/>
        <v>#N/A</v>
      </c>
      <c r="CK22" s="105" t="e">
        <f t="shared" si="14"/>
        <v>#N/A</v>
      </c>
      <c r="CL22" s="105" t="e">
        <f t="shared" si="15"/>
        <v>#N/A</v>
      </c>
      <c r="CN22" s="61">
        <f t="shared" ref="CN22:CN35" si="102">CC12/CR12-1</f>
        <v>0.10801070277944635</v>
      </c>
      <c r="CQ22" s="40">
        <v>120</v>
      </c>
      <c r="CR22" s="39">
        <f t="shared" si="62"/>
        <v>158436000</v>
      </c>
      <c r="CS22" s="40">
        <v>320</v>
      </c>
      <c r="CT22" s="39">
        <f t="shared" si="63"/>
        <v>402056000</v>
      </c>
      <c r="CV22" s="106"/>
      <c r="CX22" s="48" t="e">
        <f t="shared" si="16"/>
        <v>#N/A</v>
      </c>
      <c r="CY22" s="12" t="e">
        <f t="shared" si="17"/>
        <v>#N/A</v>
      </c>
      <c r="CZ22" s="103" t="e">
        <f t="shared" si="18"/>
        <v>#N/A</v>
      </c>
      <c r="DA22" s="104" t="e">
        <f t="shared" si="19"/>
        <v>#N/A</v>
      </c>
      <c r="DF22" s="40">
        <v>120</v>
      </c>
      <c r="DG22" s="39">
        <f t="shared" si="64"/>
        <v>143777000.00000003</v>
      </c>
      <c r="DH22" s="40">
        <v>320</v>
      </c>
      <c r="DI22" s="39">
        <f t="shared" si="65"/>
        <v>353717000</v>
      </c>
      <c r="DK22" s="106"/>
      <c r="DL22" s="106"/>
      <c r="DM22" s="48" t="e">
        <f t="shared" si="20"/>
        <v>#N/A</v>
      </c>
      <c r="DN22" s="12" t="e">
        <f t="shared" si="21"/>
        <v>#N/A</v>
      </c>
      <c r="DO22" s="103" t="e">
        <f t="shared" si="22"/>
        <v>#N/A</v>
      </c>
      <c r="DP22" s="104" t="e">
        <f t="shared" si="23"/>
        <v>#N/A</v>
      </c>
      <c r="DR22" s="61">
        <f>DG11/EC11-1</f>
        <v>0.22416327942575465</v>
      </c>
      <c r="DU22" s="40">
        <v>120</v>
      </c>
      <c r="DV22" s="39">
        <f t="shared" si="66"/>
        <v>158436000</v>
      </c>
      <c r="DW22" s="40">
        <v>320</v>
      </c>
      <c r="DX22" s="39">
        <f t="shared" si="67"/>
        <v>402056000</v>
      </c>
      <c r="DZ22" s="106"/>
      <c r="EA22" s="106"/>
      <c r="EB22" s="40">
        <v>120</v>
      </c>
      <c r="EC22" s="39">
        <f t="shared" si="68"/>
        <v>110191000</v>
      </c>
      <c r="ED22" s="40">
        <v>320</v>
      </c>
      <c r="EE22" s="39">
        <f t="shared" si="69"/>
        <v>268491000</v>
      </c>
      <c r="EG22" s="106"/>
      <c r="EH22" s="106"/>
      <c r="EI22" s="47" t="str">
        <f t="shared" si="25"/>
        <v>FY18-18</v>
      </c>
      <c r="EJ22" s="16">
        <v>43041</v>
      </c>
      <c r="EK22" s="103">
        <v>16170259.991374848</v>
      </c>
      <c r="EL22" s="104">
        <f t="shared" si="26"/>
        <v>6000000</v>
      </c>
      <c r="EN22" s="104">
        <v>6000000</v>
      </c>
      <c r="EO22" s="1">
        <f t="shared" si="101"/>
        <v>10</v>
      </c>
      <c r="EQ22" s="40">
        <v>170</v>
      </c>
      <c r="ER22" s="39">
        <f t="shared" si="70"/>
        <v>191032200</v>
      </c>
      <c r="ES22" s="40">
        <v>320</v>
      </c>
      <c r="ET22" s="39">
        <f t="shared" si="71"/>
        <v>350917200.00000006</v>
      </c>
      <c r="EU22" s="106"/>
      <c r="EV22" s="106"/>
      <c r="EW22" s="106"/>
      <c r="EX22" s="16" t="s">
        <v>33</v>
      </c>
      <c r="EY22" s="16">
        <v>43405</v>
      </c>
      <c r="EZ22" s="103">
        <v>42745877.177368082</v>
      </c>
      <c r="FA22" s="104">
        <v>40000000</v>
      </c>
      <c r="FC22" s="1">
        <v>3</v>
      </c>
      <c r="FD22" s="1">
        <v>12</v>
      </c>
      <c r="FF22" s="40">
        <v>170</v>
      </c>
      <c r="FG22" s="39">
        <f t="shared" si="72"/>
        <v>227908900</v>
      </c>
      <c r="FH22" s="40">
        <v>320</v>
      </c>
      <c r="FI22" s="39">
        <f t="shared" si="73"/>
        <v>426358900</v>
      </c>
      <c r="FK22" s="106"/>
      <c r="FL22" s="106"/>
      <c r="FM22" s="40">
        <v>170</v>
      </c>
      <c r="FN22" s="39">
        <f t="shared" si="74"/>
        <v>178833400</v>
      </c>
      <c r="FO22" s="40">
        <v>320</v>
      </c>
      <c r="FP22" s="39">
        <f t="shared" si="75"/>
        <v>329463400</v>
      </c>
      <c r="FR22" s="106"/>
      <c r="FS22" s="106"/>
      <c r="FT22" s="16" t="s">
        <v>39</v>
      </c>
      <c r="FU22" s="16">
        <v>43769</v>
      </c>
      <c r="FV22" s="103">
        <v>22777251.067516554</v>
      </c>
      <c r="FW22" s="104">
        <v>12000000</v>
      </c>
      <c r="FY22" s="1">
        <v>1</v>
      </c>
      <c r="FZ22" s="1">
        <v>3</v>
      </c>
      <c r="GB22" s="40">
        <v>170</v>
      </c>
      <c r="GC22" s="39">
        <f t="shared" si="76"/>
        <v>195853999.99999997</v>
      </c>
      <c r="GD22" s="40">
        <v>320</v>
      </c>
      <c r="GE22" s="39">
        <f t="shared" si="77"/>
        <v>359608999.99999994</v>
      </c>
      <c r="GG22" s="106"/>
      <c r="GH22" s="106"/>
      <c r="GI22" s="40">
        <v>170</v>
      </c>
      <c r="GJ22" s="39">
        <f t="shared" si="78"/>
        <v>149766000.00000003</v>
      </c>
      <c r="GK22" s="40">
        <v>320</v>
      </c>
      <c r="GL22" s="39">
        <f t="shared" si="79"/>
        <v>268491000</v>
      </c>
      <c r="GN22" s="106"/>
      <c r="GO22" s="106"/>
      <c r="GP22" s="16" t="s">
        <v>38</v>
      </c>
      <c r="GQ22" s="16">
        <v>44133</v>
      </c>
      <c r="GR22" s="103">
        <v>24929902.341137119</v>
      </c>
      <c r="GS22" s="104">
        <v>8000000</v>
      </c>
      <c r="GU22" s="1">
        <v>6</v>
      </c>
      <c r="GV22" s="1">
        <v>80</v>
      </c>
      <c r="GX22" s="40">
        <v>170</v>
      </c>
      <c r="GY22" s="39">
        <f t="shared" si="80"/>
        <v>209892000</v>
      </c>
      <c r="GZ22" s="40">
        <v>320</v>
      </c>
      <c r="HA22" s="39">
        <f t="shared" si="81"/>
        <v>381176999.99999994</v>
      </c>
      <c r="HC22" s="106"/>
      <c r="HD22" s="106"/>
      <c r="HE22" s="16" t="s">
        <v>35</v>
      </c>
      <c r="HF22" s="16">
        <v>44497</v>
      </c>
      <c r="HG22" s="103">
        <v>18862208.574034657</v>
      </c>
      <c r="HH22" s="104">
        <v>3000000</v>
      </c>
      <c r="HJ22" s="1">
        <v>5</v>
      </c>
      <c r="HK22" s="1">
        <v>60</v>
      </c>
      <c r="HM22" s="40">
        <v>170</v>
      </c>
      <c r="HN22" s="39">
        <f t="shared" si="82"/>
        <v>246938000</v>
      </c>
      <c r="HO22" s="40">
        <v>320</v>
      </c>
      <c r="HP22" s="39">
        <f t="shared" si="83"/>
        <v>454358000</v>
      </c>
      <c r="HR22" s="106"/>
      <c r="HS22" s="106"/>
      <c r="HT22" s="40">
        <v>170</v>
      </c>
      <c r="HU22" s="39">
        <f t="shared" si="84"/>
        <v>211007999.99999997</v>
      </c>
      <c r="HV22" s="40">
        <v>320</v>
      </c>
      <c r="HW22" s="39">
        <f t="shared" si="85"/>
        <v>383193000</v>
      </c>
      <c r="HY22" s="106"/>
      <c r="HZ22" s="106"/>
      <c r="IA22" s="16" t="s">
        <v>37</v>
      </c>
      <c r="IB22" s="16">
        <v>44868</v>
      </c>
      <c r="IC22" s="103">
        <v>27003392.885375496</v>
      </c>
      <c r="ID22" s="104">
        <v>8000000</v>
      </c>
      <c r="II22" s="40">
        <v>170</v>
      </c>
      <c r="IJ22" s="39">
        <f t="shared" si="86"/>
        <v>270198000.00000006</v>
      </c>
      <c r="IK22" s="40">
        <v>320</v>
      </c>
      <c r="IL22" s="39">
        <f t="shared" si="87"/>
        <v>499503000</v>
      </c>
      <c r="IN22" s="106"/>
      <c r="IO22" s="106"/>
      <c r="IP22" s="40">
        <v>170</v>
      </c>
      <c r="IQ22" s="39">
        <f t="shared" si="88"/>
        <v>211225999.99999997</v>
      </c>
      <c r="IR22" s="40">
        <v>500</v>
      </c>
      <c r="IS22" s="39">
        <f t="shared" si="89"/>
        <v>589274000</v>
      </c>
      <c r="IU22" s="106"/>
      <c r="IV22" s="106"/>
      <c r="IW22" s="16" t="s">
        <v>169</v>
      </c>
      <c r="IX22" s="12">
        <v>44133</v>
      </c>
      <c r="IY22" s="103">
        <v>24929902.341137119</v>
      </c>
      <c r="IZ22" s="104">
        <v>8000000</v>
      </c>
      <c r="JE22" s="40">
        <v>170</v>
      </c>
      <c r="JF22" s="39">
        <f t="shared" si="90"/>
        <v>270198000.00000006</v>
      </c>
      <c r="JG22" s="40">
        <v>320</v>
      </c>
      <c r="JH22" s="39">
        <f t="shared" si="91"/>
        <v>499503000</v>
      </c>
      <c r="JI22" s="39"/>
      <c r="JJ22" s="39"/>
      <c r="JL22" s="106"/>
      <c r="JM22" s="106"/>
      <c r="JN22" s="40">
        <v>170</v>
      </c>
      <c r="JO22" s="39">
        <f t="shared" si="92"/>
        <v>211225999.99999997</v>
      </c>
      <c r="JP22" s="40">
        <v>320</v>
      </c>
      <c r="JQ22" s="39">
        <f t="shared" si="93"/>
        <v>383066000</v>
      </c>
      <c r="JR22" s="39"/>
      <c r="JS22" s="39"/>
      <c r="JT22" s="39"/>
      <c r="JU22" s="39"/>
      <c r="JW22" s="106"/>
      <c r="JX22" s="106"/>
      <c r="JY22" s="16" t="s">
        <v>83</v>
      </c>
      <c r="JZ22" s="16">
        <v>43041</v>
      </c>
      <c r="KA22" s="103">
        <v>16118190</v>
      </c>
      <c r="KB22" s="104">
        <v>6000000</v>
      </c>
      <c r="KG22" s="46" t="s">
        <v>82</v>
      </c>
      <c r="KH22" s="46">
        <v>43223</v>
      </c>
      <c r="KI22" s="107">
        <v>16804854</v>
      </c>
      <c r="KJ22" s="108">
        <v>8000000</v>
      </c>
      <c r="KL22" s="1">
        <v>2</v>
      </c>
      <c r="KM22" s="1">
        <v>6</v>
      </c>
      <c r="KO22" s="16" t="s">
        <v>81</v>
      </c>
      <c r="KP22" s="16">
        <v>43405</v>
      </c>
      <c r="KQ22" s="103">
        <v>42118956</v>
      </c>
      <c r="KR22" s="104">
        <v>40000000</v>
      </c>
      <c r="KT22" s="1">
        <v>3</v>
      </c>
      <c r="KU22" s="1">
        <v>12</v>
      </c>
      <c r="KW22" s="16" t="s">
        <v>79</v>
      </c>
      <c r="KX22" s="16">
        <v>43587</v>
      </c>
      <c r="KY22" s="103">
        <v>34418604</v>
      </c>
      <c r="KZ22" s="104">
        <v>30000000</v>
      </c>
      <c r="LB22" s="1">
        <v>5</v>
      </c>
      <c r="LC22" s="1">
        <v>30</v>
      </c>
      <c r="LE22" s="16" t="s">
        <v>78</v>
      </c>
      <c r="LF22" s="16">
        <v>43769</v>
      </c>
      <c r="LG22" s="103">
        <v>23379708</v>
      </c>
      <c r="LH22" s="104">
        <v>12000000</v>
      </c>
      <c r="LJ22" s="1">
        <v>1</v>
      </c>
      <c r="LK22" s="1">
        <v>3</v>
      </c>
      <c r="LM22" s="16" t="s">
        <v>77</v>
      </c>
      <c r="LN22" s="16">
        <v>43951</v>
      </c>
      <c r="LO22" s="103">
        <v>17296884</v>
      </c>
      <c r="LP22" s="104">
        <v>3000000</v>
      </c>
      <c r="LR22" s="1">
        <v>5</v>
      </c>
      <c r="LS22" s="1">
        <v>40</v>
      </c>
      <c r="LU22" s="16" t="s">
        <v>70</v>
      </c>
      <c r="LV22" s="16">
        <v>44133</v>
      </c>
      <c r="LW22" s="103">
        <v>25254438</v>
      </c>
      <c r="LX22" s="104">
        <v>8000000</v>
      </c>
      <c r="MC22" s="16" t="s">
        <v>86</v>
      </c>
      <c r="MD22" s="16">
        <v>44322</v>
      </c>
      <c r="ME22" s="103">
        <v>37330458</v>
      </c>
      <c r="MF22" s="104">
        <v>20000000</v>
      </c>
      <c r="MK22" s="16" t="s">
        <v>69</v>
      </c>
      <c r="ML22" s="16">
        <v>44497</v>
      </c>
      <c r="MM22" s="103">
        <v>19189962</v>
      </c>
      <c r="MN22" s="104">
        <v>3000000</v>
      </c>
      <c r="MS22" s="16" t="s">
        <v>76</v>
      </c>
      <c r="MT22" s="16">
        <v>44686</v>
      </c>
      <c r="MU22" s="103">
        <v>59828736</v>
      </c>
      <c r="MV22" s="104">
        <v>40000000</v>
      </c>
      <c r="MX22" s="1">
        <v>6</v>
      </c>
      <c r="MY22" s="1">
        <v>80</v>
      </c>
      <c r="NA22" s="16" t="s">
        <v>34</v>
      </c>
      <c r="NB22" s="16">
        <v>42957</v>
      </c>
      <c r="NC22" s="103">
        <v>13752860</v>
      </c>
      <c r="ND22" s="104">
        <v>3000000</v>
      </c>
      <c r="NF22" s="1">
        <v>4</v>
      </c>
      <c r="NG22" s="1">
        <v>15</v>
      </c>
      <c r="NH22"/>
      <c r="NI22" s="40">
        <v>170</v>
      </c>
      <c r="NJ22" s="39">
        <f t="shared" si="94"/>
        <v>205295000</v>
      </c>
      <c r="NK22" s="40">
        <v>320</v>
      </c>
      <c r="NL22" s="39">
        <f t="shared" si="95"/>
        <v>377509999.99999994</v>
      </c>
      <c r="NN22" s="106"/>
      <c r="NP22" s="16" t="s">
        <v>33</v>
      </c>
      <c r="NQ22" s="16">
        <v>43328</v>
      </c>
      <c r="NR22" s="103">
        <v>168618912</v>
      </c>
      <c r="NS22" s="104">
        <v>100000000</v>
      </c>
      <c r="NU22" s="1">
        <v>3</v>
      </c>
      <c r="NV22" s="1">
        <v>12</v>
      </c>
      <c r="NX22" s="40">
        <v>170</v>
      </c>
      <c r="NY22" s="39">
        <f t="shared" si="96"/>
        <v>209851199.99999997</v>
      </c>
      <c r="NZ22" s="40">
        <v>320</v>
      </c>
      <c r="OA22" s="39">
        <f t="shared" si="97"/>
        <v>390721200</v>
      </c>
      <c r="OC22" s="106"/>
    </row>
    <row r="23" spans="2:393" x14ac:dyDescent="0.25">
      <c r="B23" s="53">
        <v>43209</v>
      </c>
      <c r="C23" s="51">
        <f>EOMONTH(MAX($V:$V),0)</f>
        <v>45230</v>
      </c>
      <c r="D23" s="65">
        <v>134.49039999999999</v>
      </c>
      <c r="F23" s="5" t="s">
        <v>79</v>
      </c>
      <c r="G23" s="51">
        <f t="shared" si="99"/>
        <v>43466</v>
      </c>
      <c r="H23" s="51">
        <f t="shared" si="100"/>
        <v>43646</v>
      </c>
      <c r="I23" s="50">
        <f t="shared" si="98"/>
        <v>26</v>
      </c>
      <c r="K23" s="7">
        <v>19</v>
      </c>
      <c r="M23" s="5" t="str" cm="1">
        <f t="array" ref="M23">LOOKUP(2,1/($G$19:$G$35&lt;=$V23)/($H$19:$H$35&gt;=$V23),$F$19:$F$35)</f>
        <v>2H17</v>
      </c>
      <c r="N23" s="5" t="str" cm="1">
        <f t="array" ref="N23">LOOKUP(2,1/($G$8:$G$16&lt;=$V23)/($H$8:$H$16&gt;=$V23),$F$8:$F$16)</f>
        <v>FY17</v>
      </c>
      <c r="O23" s="5" t="str">
        <f>IFERROR(N23&amp;"-"&amp;COUNTIF($N$19:N23,N23),NA())</f>
        <v>FY17-5</v>
      </c>
      <c r="P23" s="5">
        <f>COUNTIF(V$19:V23,"&gt;="&amp;MAX($V:$V)-183)</f>
        <v>0</v>
      </c>
      <c r="Q23" s="5">
        <f>COUNTIF(V$19:V23,"&gt;="&amp;MAX($V:$V)-365)</f>
        <v>0</v>
      </c>
      <c r="R23" s="5" cm="1">
        <f t="array" ref="R23">LOOKUP(2,1/($G$46:$G$50&lt;=$V23)/($H$46:$H$50&gt;=$V23),$F$46:$F$50)</f>
        <v>0</v>
      </c>
      <c r="S23" s="5" cm="1">
        <f t="array" ref="S23">LOOKUP(2,1/($G$53:$G$56&lt;=$V23)/($H$53:$H$56&gt;=$V23),$F$53:$F$56)</f>
        <v>0</v>
      </c>
      <c r="T23" s="5" t="e">
        <f>IFERROR(IF($R23&gt;0,$R23&amp;"-"&amp;COUNTIF($R$19:$R23,$R23),NA()),NA())</f>
        <v>#N/A</v>
      </c>
      <c r="U23" s="5" t="e">
        <f>IFERROR(IF($S23&gt;0,$S23&amp;"-"&amp;COUNTIF($S$19:$S23,$S23),NA()),NA())</f>
        <v>#N/A</v>
      </c>
      <c r="V23" s="10">
        <v>42866</v>
      </c>
      <c r="W23" s="101">
        <v>67259823.929618761</v>
      </c>
      <c r="X23" s="101">
        <v>62487739.421812303</v>
      </c>
      <c r="Y23" s="102">
        <v>50000000</v>
      </c>
      <c r="AA23" s="48">
        <f t="shared" si="44"/>
        <v>19</v>
      </c>
      <c r="AB23" s="12">
        <f t="shared" si="0"/>
        <v>45148</v>
      </c>
      <c r="AC23" s="103">
        <f t="shared" si="1"/>
        <v>20677774.436090227</v>
      </c>
      <c r="AD23" s="104">
        <f t="shared" si="2"/>
        <v>4000000</v>
      </c>
      <c r="AF23" s="1">
        <v>5</v>
      </c>
      <c r="AG23" s="1">
        <v>60</v>
      </c>
      <c r="AI23" s="40">
        <v>180</v>
      </c>
      <c r="AJ23" s="39">
        <f t="shared" si="52"/>
        <v>306923800</v>
      </c>
      <c r="AK23" s="40">
        <v>330</v>
      </c>
      <c r="AL23" s="39">
        <f t="shared" si="53"/>
        <v>556283799.99999988</v>
      </c>
      <c r="AN23" s="106"/>
      <c r="AO23" s="106"/>
      <c r="AP23" s="40">
        <v>180</v>
      </c>
      <c r="AQ23" s="39">
        <f t="shared" si="54"/>
        <v>220644000</v>
      </c>
      <c r="AR23" s="40">
        <v>330</v>
      </c>
      <c r="AS23" s="39">
        <f t="shared" si="55"/>
        <v>390429000</v>
      </c>
      <c r="AU23" s="106"/>
      <c r="AW23" s="48">
        <f t="shared" si="45"/>
        <v>19</v>
      </c>
      <c r="AX23" s="12">
        <f t="shared" si="4"/>
        <v>44966</v>
      </c>
      <c r="AY23" s="103">
        <f t="shared" si="5"/>
        <v>20069480.4499848</v>
      </c>
      <c r="AZ23" s="104">
        <f t="shared" si="6"/>
        <v>4000000</v>
      </c>
      <c r="BB23" s="1">
        <v>3</v>
      </c>
      <c r="BC23" s="1">
        <v>20</v>
      </c>
      <c r="BF23" s="40">
        <v>180</v>
      </c>
      <c r="BG23" s="39">
        <f t="shared" si="56"/>
        <v>293320799.99999994</v>
      </c>
      <c r="BH23" s="40">
        <v>330</v>
      </c>
      <c r="BI23" s="39">
        <f t="shared" si="57"/>
        <v>531085799.99999994</v>
      </c>
      <c r="BK23" s="106"/>
      <c r="BL23" s="106"/>
      <c r="BM23" s="40">
        <v>180</v>
      </c>
      <c r="BN23" s="39">
        <f t="shared" si="58"/>
        <v>223815000</v>
      </c>
      <c r="BO23" s="40">
        <v>330</v>
      </c>
      <c r="BP23" s="39">
        <f t="shared" si="59"/>
        <v>396765000</v>
      </c>
      <c r="BR23" s="106"/>
      <c r="BT23" s="48" t="e">
        <f t="shared" si="8"/>
        <v>#N/A</v>
      </c>
      <c r="BU23" s="12" t="e">
        <f t="shared" si="9"/>
        <v>#N/A</v>
      </c>
      <c r="BV23" s="103" t="e">
        <f t="shared" si="10"/>
        <v>#N/A</v>
      </c>
      <c r="BW23" s="104" t="e">
        <f t="shared" si="11"/>
        <v>#N/A</v>
      </c>
      <c r="CB23" s="40">
        <v>130</v>
      </c>
      <c r="CC23" s="39">
        <f t="shared" si="60"/>
        <v>180667000</v>
      </c>
      <c r="CD23" s="40">
        <v>330</v>
      </c>
      <c r="CE23" s="39">
        <f t="shared" si="61"/>
        <v>435367000.00000006</v>
      </c>
      <c r="CG23" s="106"/>
      <c r="CH23" s="106"/>
      <c r="CI23" s="48" t="e">
        <f t="shared" si="12"/>
        <v>#N/A</v>
      </c>
      <c r="CJ23" s="12" t="e">
        <f t="shared" si="13"/>
        <v>#N/A</v>
      </c>
      <c r="CK23" s="105" t="e">
        <f t="shared" si="14"/>
        <v>#N/A</v>
      </c>
      <c r="CL23" s="105" t="e">
        <f t="shared" si="15"/>
        <v>#N/A</v>
      </c>
      <c r="CN23" s="61">
        <f t="shared" si="102"/>
        <v>9.2404778003155386E-2</v>
      </c>
      <c r="CQ23" s="40">
        <v>130</v>
      </c>
      <c r="CR23" s="39">
        <f t="shared" si="62"/>
        <v>170617000.00000003</v>
      </c>
      <c r="CS23" s="40">
        <v>330</v>
      </c>
      <c r="CT23" s="39">
        <f t="shared" si="63"/>
        <v>414237000</v>
      </c>
      <c r="CV23" s="106"/>
      <c r="CX23" s="48" t="e">
        <f t="shared" si="16"/>
        <v>#N/A</v>
      </c>
      <c r="CY23" s="12" t="e">
        <f t="shared" si="17"/>
        <v>#N/A</v>
      </c>
      <c r="CZ23" s="103" t="e">
        <f t="shared" si="18"/>
        <v>#N/A</v>
      </c>
      <c r="DA23" s="104" t="e">
        <f t="shared" si="19"/>
        <v>#N/A</v>
      </c>
      <c r="DF23" s="40">
        <v>130</v>
      </c>
      <c r="DG23" s="39">
        <f t="shared" si="64"/>
        <v>154274000</v>
      </c>
      <c r="DH23" s="40">
        <v>330</v>
      </c>
      <c r="DI23" s="39">
        <f t="shared" si="65"/>
        <v>364214000</v>
      </c>
      <c r="DK23" s="106"/>
      <c r="DL23" s="106"/>
      <c r="DM23" s="48" t="e">
        <f t="shared" si="20"/>
        <v>#N/A</v>
      </c>
      <c r="DN23" s="12" t="e">
        <f t="shared" si="21"/>
        <v>#N/A</v>
      </c>
      <c r="DO23" s="103" t="e">
        <f t="shared" si="22"/>
        <v>#N/A</v>
      </c>
      <c r="DP23" s="104" t="e">
        <f t="shared" si="23"/>
        <v>#N/A</v>
      </c>
      <c r="DR23" s="61">
        <f t="shared" ref="DR23:DR36" si="103">DG12/EC12-1</f>
        <v>0.25018523887761357</v>
      </c>
      <c r="DU23" s="40">
        <v>130</v>
      </c>
      <c r="DV23" s="39">
        <f t="shared" si="66"/>
        <v>170617000.00000003</v>
      </c>
      <c r="DW23" s="40">
        <v>330</v>
      </c>
      <c r="DX23" s="39">
        <f t="shared" si="67"/>
        <v>414237000</v>
      </c>
      <c r="DZ23" s="106"/>
      <c r="EA23" s="106"/>
      <c r="EB23" s="40">
        <v>130</v>
      </c>
      <c r="EC23" s="39">
        <f t="shared" si="68"/>
        <v>118106000</v>
      </c>
      <c r="ED23" s="40">
        <v>330</v>
      </c>
      <c r="EE23" s="39">
        <f t="shared" si="69"/>
        <v>276406000</v>
      </c>
      <c r="EG23" s="106"/>
      <c r="EH23" s="106"/>
      <c r="EI23" s="47" t="str">
        <f t="shared" si="25"/>
        <v>FY18-19</v>
      </c>
      <c r="EJ23" s="16">
        <v>43048</v>
      </c>
      <c r="EK23" s="103">
        <v>13079537.52975677</v>
      </c>
      <c r="EL23" s="104">
        <f t="shared" si="26"/>
        <v>3000000</v>
      </c>
      <c r="EN23" s="104">
        <v>10000000</v>
      </c>
      <c r="EO23" s="1">
        <f t="shared" si="101"/>
        <v>5</v>
      </c>
      <c r="EQ23" s="40">
        <v>180</v>
      </c>
      <c r="ER23" s="39">
        <f t="shared" si="70"/>
        <v>201691200.00000003</v>
      </c>
      <c r="ES23" s="40">
        <v>330</v>
      </c>
      <c r="ET23" s="39">
        <f t="shared" si="71"/>
        <v>361576200</v>
      </c>
      <c r="EU23" s="106"/>
      <c r="EV23" s="106"/>
      <c r="EW23" s="106"/>
      <c r="EX23" s="16" t="s">
        <v>33</v>
      </c>
      <c r="EY23" s="16">
        <v>43412</v>
      </c>
      <c r="EZ23" s="103">
        <v>70047528.035600752</v>
      </c>
      <c r="FA23" s="104">
        <v>60000000</v>
      </c>
      <c r="FC23" s="1">
        <v>4</v>
      </c>
      <c r="FD23" s="1">
        <v>20</v>
      </c>
      <c r="FF23" s="40">
        <v>180</v>
      </c>
      <c r="FG23" s="39">
        <f t="shared" si="72"/>
        <v>241138899.99999997</v>
      </c>
      <c r="FH23" s="40">
        <v>330</v>
      </c>
      <c r="FI23" s="39">
        <f t="shared" si="73"/>
        <v>439588899.99999994</v>
      </c>
      <c r="FK23" s="106"/>
      <c r="FL23" s="106"/>
      <c r="FM23" s="40">
        <v>180</v>
      </c>
      <c r="FN23" s="39">
        <f t="shared" si="74"/>
        <v>188875400</v>
      </c>
      <c r="FO23" s="40">
        <v>330</v>
      </c>
      <c r="FP23" s="39">
        <f t="shared" si="75"/>
        <v>339505399.99999994</v>
      </c>
      <c r="FR23" s="106"/>
      <c r="FS23" s="106"/>
      <c r="FT23" s="16" t="s">
        <v>39</v>
      </c>
      <c r="FU23" s="16">
        <v>43776</v>
      </c>
      <c r="FV23" s="103">
        <v>30483818.305588219</v>
      </c>
      <c r="FW23" s="104">
        <v>20000000</v>
      </c>
      <c r="FY23" s="1">
        <v>2</v>
      </c>
      <c r="FZ23" s="1">
        <v>8</v>
      </c>
      <c r="GB23" s="40">
        <v>180</v>
      </c>
      <c r="GC23" s="39">
        <f t="shared" si="76"/>
        <v>206770999.99999997</v>
      </c>
      <c r="GD23" s="40">
        <v>330</v>
      </c>
      <c r="GE23" s="39">
        <f t="shared" si="77"/>
        <v>370525999.99999994</v>
      </c>
      <c r="GG23" s="106"/>
      <c r="GH23" s="106"/>
      <c r="GI23" s="40">
        <v>180</v>
      </c>
      <c r="GJ23" s="39">
        <f t="shared" si="78"/>
        <v>157681000</v>
      </c>
      <c r="GK23" s="40">
        <v>330</v>
      </c>
      <c r="GL23" s="39">
        <f t="shared" si="79"/>
        <v>276406000</v>
      </c>
      <c r="GN23" s="106"/>
      <c r="GO23" s="106"/>
      <c r="GP23" s="16" t="s">
        <v>38</v>
      </c>
      <c r="GQ23" s="16">
        <v>44140</v>
      </c>
      <c r="GR23" s="103">
        <v>39323627.363940403</v>
      </c>
      <c r="GS23" s="104">
        <v>20000000</v>
      </c>
      <c r="GX23" s="40">
        <v>180</v>
      </c>
      <c r="GY23" s="39">
        <f t="shared" si="80"/>
        <v>221310999.99999997</v>
      </c>
      <c r="GZ23" s="40">
        <v>330</v>
      </c>
      <c r="HA23" s="39">
        <f t="shared" si="81"/>
        <v>392596000</v>
      </c>
      <c r="HC23" s="106"/>
      <c r="HD23" s="106"/>
      <c r="HE23" s="16" t="s">
        <v>35</v>
      </c>
      <c r="HF23" s="16">
        <v>44504</v>
      </c>
      <c r="HG23" s="103">
        <v>25128435.147461236</v>
      </c>
      <c r="HH23" s="104">
        <v>8000000</v>
      </c>
      <c r="HJ23" s="1">
        <v>6</v>
      </c>
      <c r="HK23" s="1">
        <v>80</v>
      </c>
      <c r="HM23" s="40">
        <v>180</v>
      </c>
      <c r="HN23" s="39">
        <f t="shared" si="82"/>
        <v>260766000.00000003</v>
      </c>
      <c r="HO23" s="40">
        <v>330</v>
      </c>
      <c r="HP23" s="39">
        <f t="shared" si="83"/>
        <v>468186000.00000006</v>
      </c>
      <c r="HR23" s="106"/>
      <c r="HS23" s="106"/>
      <c r="HT23" s="40">
        <v>180</v>
      </c>
      <c r="HU23" s="39">
        <f t="shared" si="84"/>
        <v>222487000</v>
      </c>
      <c r="HV23" s="40">
        <v>330</v>
      </c>
      <c r="HW23" s="39">
        <f t="shared" si="85"/>
        <v>394671999.99999994</v>
      </c>
      <c r="HY23" s="106"/>
      <c r="HZ23" s="106"/>
      <c r="IA23" s="16" t="s">
        <v>37</v>
      </c>
      <c r="IB23" s="16">
        <v>44875</v>
      </c>
      <c r="IC23" s="103">
        <v>44321005.290361807</v>
      </c>
      <c r="ID23" s="104">
        <v>20000000</v>
      </c>
      <c r="II23" s="40">
        <v>180</v>
      </c>
      <c r="IJ23" s="39">
        <f t="shared" si="86"/>
        <v>285485000</v>
      </c>
      <c r="IK23" s="40">
        <v>330</v>
      </c>
      <c r="IL23" s="39">
        <f t="shared" si="87"/>
        <v>514789999.99999994</v>
      </c>
      <c r="IN23" s="106"/>
      <c r="IO23" s="106"/>
      <c r="IP23" s="40">
        <v>180</v>
      </c>
      <c r="IQ23" s="39">
        <f t="shared" si="88"/>
        <v>222682000</v>
      </c>
      <c r="IR23" s="40">
        <v>330</v>
      </c>
      <c r="IS23" s="39">
        <f t="shared" si="89"/>
        <v>394522000</v>
      </c>
      <c r="IU23" s="106"/>
      <c r="IV23" s="106"/>
      <c r="IW23" s="16" t="s">
        <v>169</v>
      </c>
      <c r="IX23" s="12">
        <v>44140</v>
      </c>
      <c r="IY23" s="103">
        <v>39323627.363940403</v>
      </c>
      <c r="IZ23" s="104">
        <v>20000000</v>
      </c>
      <c r="JE23" s="40">
        <v>180</v>
      </c>
      <c r="JF23" s="39">
        <f t="shared" si="90"/>
        <v>285485000</v>
      </c>
      <c r="JG23" s="40">
        <v>330</v>
      </c>
      <c r="JH23" s="39">
        <f t="shared" si="91"/>
        <v>514789999.99999994</v>
      </c>
      <c r="JI23" s="39"/>
      <c r="JJ23" s="39"/>
      <c r="JL23" s="106"/>
      <c r="JM23" s="106"/>
      <c r="JN23" s="40">
        <v>180</v>
      </c>
      <c r="JO23" s="39">
        <f t="shared" si="92"/>
        <v>222682000</v>
      </c>
      <c r="JP23" s="40">
        <v>330</v>
      </c>
      <c r="JQ23" s="39">
        <f t="shared" si="93"/>
        <v>394522000</v>
      </c>
      <c r="JR23" s="39"/>
      <c r="JS23" s="39"/>
      <c r="JT23" s="39"/>
      <c r="JU23" s="39"/>
      <c r="JW23" s="106"/>
      <c r="JX23" s="106"/>
      <c r="JY23" s="16" t="s">
        <v>83</v>
      </c>
      <c r="JZ23" s="16">
        <v>43048</v>
      </c>
      <c r="KA23" s="103">
        <v>13037420</v>
      </c>
      <c r="KB23" s="104">
        <v>3000000</v>
      </c>
      <c r="KG23" s="46" t="s">
        <v>82</v>
      </c>
      <c r="KH23" s="46">
        <v>43230</v>
      </c>
      <c r="KI23" s="107">
        <v>17618040</v>
      </c>
      <c r="KJ23" s="108">
        <v>12000000</v>
      </c>
      <c r="KL23" s="1">
        <v>3</v>
      </c>
      <c r="KM23" s="1">
        <v>10</v>
      </c>
      <c r="KO23" s="16" t="s">
        <v>81</v>
      </c>
      <c r="KP23" s="16">
        <v>43412</v>
      </c>
      <c r="KQ23" s="103">
        <v>69371610</v>
      </c>
      <c r="KR23" s="104">
        <v>60000000</v>
      </c>
      <c r="KT23" s="1">
        <v>4</v>
      </c>
      <c r="KU23" s="1">
        <v>20</v>
      </c>
      <c r="KW23" s="16" t="s">
        <v>79</v>
      </c>
      <c r="KX23" s="16">
        <v>43594</v>
      </c>
      <c r="KY23" s="103">
        <v>11561946</v>
      </c>
      <c r="KZ23" s="104">
        <v>3000000</v>
      </c>
      <c r="LB23" s="1">
        <v>6</v>
      </c>
      <c r="LC23" s="1">
        <v>40</v>
      </c>
      <c r="LE23" s="16" t="s">
        <v>78</v>
      </c>
      <c r="LF23" s="16">
        <v>43776</v>
      </c>
      <c r="LG23" s="103">
        <v>30573576</v>
      </c>
      <c r="LH23" s="104">
        <v>20000000</v>
      </c>
      <c r="LJ23" s="1">
        <v>2</v>
      </c>
      <c r="LK23" s="1">
        <v>8</v>
      </c>
      <c r="LM23" s="16" t="s">
        <v>77</v>
      </c>
      <c r="LN23" s="16">
        <v>43958</v>
      </c>
      <c r="LO23" s="103">
        <v>23024496</v>
      </c>
      <c r="LP23" s="104">
        <v>8000000</v>
      </c>
      <c r="LR23" s="1">
        <v>6</v>
      </c>
      <c r="LS23" s="1">
        <v>60</v>
      </c>
      <c r="LU23" s="16" t="s">
        <v>70</v>
      </c>
      <c r="LV23" s="16">
        <v>44140</v>
      </c>
      <c r="LW23" s="103">
        <v>39958050</v>
      </c>
      <c r="LX23" s="104">
        <v>20000000</v>
      </c>
      <c r="LZ23" s="1" t="s">
        <v>102</v>
      </c>
      <c r="MC23" s="16" t="s">
        <v>86</v>
      </c>
      <c r="MD23" s="16">
        <v>44329</v>
      </c>
      <c r="ME23" s="103">
        <v>49308534</v>
      </c>
      <c r="MF23" s="104">
        <v>30000000</v>
      </c>
      <c r="MH23" s="1" t="s">
        <v>101</v>
      </c>
      <c r="MK23" s="16" t="s">
        <v>69</v>
      </c>
      <c r="ML23" s="16">
        <v>44504</v>
      </c>
      <c r="MM23" s="103">
        <v>26245824</v>
      </c>
      <c r="MN23" s="104">
        <v>8000000</v>
      </c>
      <c r="MP23" s="1" t="s">
        <v>100</v>
      </c>
      <c r="MS23" s="16" t="s">
        <v>76</v>
      </c>
      <c r="MT23" s="16">
        <v>44693</v>
      </c>
      <c r="MU23" s="103">
        <v>85527684</v>
      </c>
      <c r="MV23" s="104">
        <v>60000000</v>
      </c>
      <c r="MX23" s="1">
        <v>7</v>
      </c>
      <c r="MY23" s="1">
        <v>120</v>
      </c>
      <c r="NA23" s="16" t="s">
        <v>34</v>
      </c>
      <c r="NB23" s="16">
        <v>42964</v>
      </c>
      <c r="NC23" s="103">
        <v>13145000</v>
      </c>
      <c r="ND23" s="104">
        <v>3000000</v>
      </c>
      <c r="NF23" s="1">
        <v>5</v>
      </c>
      <c r="NG23" s="1">
        <v>30</v>
      </c>
      <c r="NH23"/>
      <c r="NI23" s="40">
        <v>180</v>
      </c>
      <c r="NJ23" s="39">
        <f t="shared" si="94"/>
        <v>216775999.99999997</v>
      </c>
      <c r="NK23" s="40">
        <v>330</v>
      </c>
      <c r="NL23" s="39">
        <f t="shared" si="95"/>
        <v>388991000</v>
      </c>
      <c r="NN23" s="106"/>
      <c r="NP23" s="16" t="s">
        <v>33</v>
      </c>
      <c r="NQ23" s="16">
        <v>43335</v>
      </c>
      <c r="NR23" s="103">
        <v>14740044</v>
      </c>
      <c r="NS23" s="104">
        <v>3000000</v>
      </c>
      <c r="NU23" s="1">
        <v>4</v>
      </c>
      <c r="NV23" s="1">
        <v>20</v>
      </c>
      <c r="NX23" s="40">
        <v>180</v>
      </c>
      <c r="NY23" s="39">
        <f t="shared" si="96"/>
        <v>221909199.99999997</v>
      </c>
      <c r="NZ23" s="40">
        <v>330</v>
      </c>
      <c r="OA23" s="39">
        <f t="shared" si="97"/>
        <v>402779200</v>
      </c>
      <c r="OC23" s="106"/>
    </row>
    <row r="24" spans="2:393" x14ac:dyDescent="0.25">
      <c r="B24" s="53"/>
      <c r="C24" s="53"/>
      <c r="D24" s="53"/>
      <c r="F24" s="5" t="s">
        <v>78</v>
      </c>
      <c r="G24" s="51">
        <f t="shared" si="99"/>
        <v>43647</v>
      </c>
      <c r="H24" s="51">
        <f t="shared" si="100"/>
        <v>43830</v>
      </c>
      <c r="I24" s="50">
        <f t="shared" si="98"/>
        <v>26</v>
      </c>
      <c r="K24" s="7">
        <v>20</v>
      </c>
      <c r="M24" s="5" t="str" cm="1">
        <f t="array" ref="M24">LOOKUP(2,1/($G$19:$G$35&lt;=$V24)/($H$19:$H$35&gt;=$V24),$F$19:$F$35)</f>
        <v>2H17</v>
      </c>
      <c r="N24" s="5" t="str" cm="1">
        <f t="array" ref="N24">LOOKUP(2,1/($G$8:$G$16&lt;=$V24)/($H$8:$H$16&gt;=$V24),$F$8:$F$16)</f>
        <v>FY17</v>
      </c>
      <c r="O24" s="5" t="str">
        <f>IFERROR(N24&amp;"-"&amp;COUNTIF($N$19:N24,N24),NA())</f>
        <v>FY17-6</v>
      </c>
      <c r="P24" s="5">
        <f>COUNTIF(V$19:V24,"&gt;="&amp;MAX($V:$V)-183)</f>
        <v>0</v>
      </c>
      <c r="Q24" s="5">
        <f>COUNTIF(V$19:V24,"&gt;="&amp;MAX($V:$V)-365)</f>
        <v>0</v>
      </c>
      <c r="R24" s="5" cm="1">
        <f t="array" ref="R24">LOOKUP(2,1/($G$46:$G$50&lt;=$V24)/($H$46:$H$50&gt;=$V24),$F$46:$F$50)</f>
        <v>0</v>
      </c>
      <c r="S24" s="5" cm="1">
        <f t="array" ref="S24">LOOKUP(2,1/($G$53:$G$56&lt;=$V24)/($H$53:$H$56&gt;=$V24),$F$53:$F$56)</f>
        <v>0</v>
      </c>
      <c r="T24" s="5" t="e">
        <f>IFERROR(IF($R24&gt;0,$R24&amp;"-"&amp;COUNTIF($R$19:$R24,$R24),NA()),NA())</f>
        <v>#N/A</v>
      </c>
      <c r="U24" s="5" t="e">
        <f>IFERROR(IF($S24&gt;0,$S24&amp;"-"&amp;COUNTIF($S$19:$S24,$S24),NA()),NA())</f>
        <v>#N/A</v>
      </c>
      <c r="V24" s="10">
        <v>42873</v>
      </c>
      <c r="W24" s="101">
        <v>13729089.156460237</v>
      </c>
      <c r="X24" s="101">
        <v>12755010.280809382</v>
      </c>
      <c r="Y24" s="102">
        <v>3000000</v>
      </c>
      <c r="AA24" s="48">
        <f t="shared" si="44"/>
        <v>20</v>
      </c>
      <c r="AB24" s="12">
        <f t="shared" si="0"/>
        <v>45155</v>
      </c>
      <c r="AC24" s="103">
        <f t="shared" si="1"/>
        <v>30840203.334423013</v>
      </c>
      <c r="AD24" s="104">
        <f t="shared" si="2"/>
        <v>12000000</v>
      </c>
      <c r="AF24" s="1">
        <v>6</v>
      </c>
      <c r="AG24" s="1">
        <v>80</v>
      </c>
      <c r="AI24" s="40">
        <v>190</v>
      </c>
      <c r="AJ24" s="39">
        <f t="shared" si="52"/>
        <v>323547800</v>
      </c>
      <c r="AK24" s="40">
        <v>340</v>
      </c>
      <c r="AL24" s="39">
        <f t="shared" si="53"/>
        <v>572907800</v>
      </c>
      <c r="AN24" s="106"/>
      <c r="AO24" s="106"/>
      <c r="AP24" s="40">
        <v>190</v>
      </c>
      <c r="AQ24" s="39">
        <f t="shared" si="54"/>
        <v>231962999.99999997</v>
      </c>
      <c r="AR24" s="40">
        <v>340</v>
      </c>
      <c r="AS24" s="39">
        <f t="shared" si="55"/>
        <v>401747999.99999994</v>
      </c>
      <c r="AU24" s="106"/>
      <c r="AW24" s="48">
        <f t="shared" si="45"/>
        <v>20</v>
      </c>
      <c r="AX24" s="12">
        <f t="shared" si="4"/>
        <v>44973</v>
      </c>
      <c r="AY24" s="103">
        <f t="shared" si="5"/>
        <v>27295176.771055035</v>
      </c>
      <c r="AZ24" s="104">
        <f t="shared" si="6"/>
        <v>8000000</v>
      </c>
      <c r="BB24" s="1">
        <v>4</v>
      </c>
      <c r="BC24" s="1">
        <v>40</v>
      </c>
      <c r="BF24" s="40">
        <v>190</v>
      </c>
      <c r="BG24" s="39">
        <f t="shared" si="56"/>
        <v>309171799.99999994</v>
      </c>
      <c r="BH24" s="40">
        <v>340</v>
      </c>
      <c r="BI24" s="39">
        <f t="shared" si="57"/>
        <v>546936800</v>
      </c>
      <c r="BK24" s="106"/>
      <c r="BL24" s="106"/>
      <c r="BM24" s="40">
        <v>190</v>
      </c>
      <c r="BN24" s="39">
        <f t="shared" si="58"/>
        <v>235345000</v>
      </c>
      <c r="BO24" s="40">
        <v>340</v>
      </c>
      <c r="BP24" s="39">
        <f t="shared" si="59"/>
        <v>408294999.99999994</v>
      </c>
      <c r="BR24" s="106"/>
      <c r="BT24" s="48" t="e">
        <f t="shared" si="8"/>
        <v>#N/A</v>
      </c>
      <c r="BU24" s="12" t="e">
        <f t="shared" si="9"/>
        <v>#N/A</v>
      </c>
      <c r="BV24" s="103" t="e">
        <f t="shared" si="10"/>
        <v>#N/A</v>
      </c>
      <c r="BW24" s="104" t="e">
        <f t="shared" si="11"/>
        <v>#N/A</v>
      </c>
      <c r="CB24" s="40">
        <v>140</v>
      </c>
      <c r="CC24" s="39">
        <f t="shared" si="60"/>
        <v>193402000.00000003</v>
      </c>
      <c r="CD24" s="40">
        <v>340</v>
      </c>
      <c r="CE24" s="39">
        <f t="shared" si="61"/>
        <v>448102000.00000006</v>
      </c>
      <c r="CG24" s="106"/>
      <c r="CH24" s="106"/>
      <c r="CI24" s="48" t="e">
        <f t="shared" si="12"/>
        <v>#N/A</v>
      </c>
      <c r="CJ24" s="12" t="e">
        <f t="shared" si="13"/>
        <v>#N/A</v>
      </c>
      <c r="CK24" s="105" t="e">
        <f t="shared" si="14"/>
        <v>#N/A</v>
      </c>
      <c r="CL24" s="105" t="e">
        <f t="shared" si="15"/>
        <v>#N/A</v>
      </c>
      <c r="CN24" s="61">
        <f t="shared" si="102"/>
        <v>8.3032727749721369E-2</v>
      </c>
      <c r="CQ24" s="40">
        <v>140</v>
      </c>
      <c r="CR24" s="39">
        <f t="shared" si="62"/>
        <v>182798000</v>
      </c>
      <c r="CS24" s="40">
        <v>340</v>
      </c>
      <c r="CT24" s="39">
        <f t="shared" si="63"/>
        <v>426418000</v>
      </c>
      <c r="CV24" s="106"/>
      <c r="CX24" s="48" t="e">
        <f t="shared" si="16"/>
        <v>#N/A</v>
      </c>
      <c r="CY24" s="12" t="e">
        <f t="shared" si="17"/>
        <v>#N/A</v>
      </c>
      <c r="CZ24" s="103" t="e">
        <f t="shared" si="18"/>
        <v>#N/A</v>
      </c>
      <c r="DA24" s="104" t="e">
        <f t="shared" si="19"/>
        <v>#N/A</v>
      </c>
      <c r="DF24" s="40">
        <v>140</v>
      </c>
      <c r="DG24" s="39">
        <f t="shared" si="64"/>
        <v>164771000</v>
      </c>
      <c r="DH24" s="40">
        <v>340</v>
      </c>
      <c r="DI24" s="39">
        <f t="shared" si="65"/>
        <v>374711000</v>
      </c>
      <c r="DK24" s="106"/>
      <c r="DL24" s="106"/>
      <c r="DM24" s="48" t="e">
        <f t="shared" si="20"/>
        <v>#N/A</v>
      </c>
      <c r="DN24" s="12" t="e">
        <f t="shared" si="21"/>
        <v>#N/A</v>
      </c>
      <c r="DO24" s="103" t="e">
        <f t="shared" si="22"/>
        <v>#N/A</v>
      </c>
      <c r="DP24" s="104" t="e">
        <f t="shared" si="23"/>
        <v>#N/A</v>
      </c>
      <c r="DR24" s="61">
        <f t="shared" si="103"/>
        <v>0.26563302187082871</v>
      </c>
      <c r="DU24" s="40">
        <v>140</v>
      </c>
      <c r="DV24" s="39">
        <f t="shared" si="66"/>
        <v>182798000</v>
      </c>
      <c r="DW24" s="40">
        <v>340</v>
      </c>
      <c r="DX24" s="39">
        <f t="shared" si="67"/>
        <v>426418000</v>
      </c>
      <c r="DZ24" s="106"/>
      <c r="EA24" s="106"/>
      <c r="EB24" s="40">
        <v>140</v>
      </c>
      <c r="EC24" s="39">
        <f t="shared" si="68"/>
        <v>126021000</v>
      </c>
      <c r="ED24" s="40">
        <v>340</v>
      </c>
      <c r="EE24" s="39">
        <f t="shared" si="69"/>
        <v>284321000</v>
      </c>
      <c r="EG24" s="106"/>
      <c r="EH24" s="106"/>
      <c r="EI24" s="47" t="str">
        <f t="shared" si="25"/>
        <v>FY18-20</v>
      </c>
      <c r="EJ24" s="16">
        <v>43055</v>
      </c>
      <c r="EK24" s="103">
        <v>17451375.32171813</v>
      </c>
      <c r="EL24" s="104">
        <f t="shared" si="26"/>
        <v>6000000</v>
      </c>
      <c r="EN24" s="104">
        <v>15000000</v>
      </c>
      <c r="EO24" s="1">
        <f t="shared" si="101"/>
        <v>4</v>
      </c>
      <c r="EQ24" s="40">
        <v>190</v>
      </c>
      <c r="ER24" s="39">
        <f t="shared" si="70"/>
        <v>212350200.00000003</v>
      </c>
      <c r="ES24" s="40">
        <v>340</v>
      </c>
      <c r="ET24" s="39">
        <f t="shared" si="71"/>
        <v>372235200</v>
      </c>
      <c r="EU24" s="106"/>
      <c r="EV24" s="106"/>
      <c r="EW24" s="106"/>
      <c r="EX24" s="16" t="s">
        <v>33</v>
      </c>
      <c r="EY24" s="16">
        <v>43419</v>
      </c>
      <c r="EZ24" s="103">
        <v>13689841.958041953</v>
      </c>
      <c r="FA24" s="104">
        <v>3000000</v>
      </c>
      <c r="FC24" s="1">
        <v>5</v>
      </c>
      <c r="FD24" s="1">
        <v>30</v>
      </c>
      <c r="FF24" s="40">
        <v>190</v>
      </c>
      <c r="FG24" s="39">
        <f t="shared" si="72"/>
        <v>254368900</v>
      </c>
      <c r="FH24" s="40">
        <v>340</v>
      </c>
      <c r="FI24" s="39">
        <f t="shared" si="73"/>
        <v>452818900</v>
      </c>
      <c r="FK24" s="106"/>
      <c r="FL24" s="106"/>
      <c r="FM24" s="40">
        <v>190</v>
      </c>
      <c r="FN24" s="39">
        <f t="shared" si="74"/>
        <v>198917400</v>
      </c>
      <c r="FO24" s="40">
        <v>340</v>
      </c>
      <c r="FP24" s="39">
        <f t="shared" si="75"/>
        <v>349547400</v>
      </c>
      <c r="FR24" s="106"/>
      <c r="FS24" s="106"/>
      <c r="FT24" s="16" t="s">
        <v>39</v>
      </c>
      <c r="FU24" s="16">
        <v>43783</v>
      </c>
      <c r="FV24" s="103">
        <v>40529243.888854511</v>
      </c>
      <c r="FW24" s="104">
        <v>30000000</v>
      </c>
      <c r="FY24" s="1">
        <v>3</v>
      </c>
      <c r="FZ24" s="1">
        <v>12</v>
      </c>
      <c r="GB24" s="40">
        <v>190</v>
      </c>
      <c r="GC24" s="39">
        <f t="shared" si="76"/>
        <v>217688000</v>
      </c>
      <c r="GD24" s="40">
        <v>340</v>
      </c>
      <c r="GE24" s="39">
        <f t="shared" si="77"/>
        <v>381442999.99999994</v>
      </c>
      <c r="GG24" s="106"/>
      <c r="GH24" s="106"/>
      <c r="GI24" s="40">
        <v>190</v>
      </c>
      <c r="GJ24" s="39">
        <f t="shared" si="78"/>
        <v>165596000</v>
      </c>
      <c r="GK24" s="40">
        <v>340</v>
      </c>
      <c r="GL24" s="39">
        <f t="shared" si="79"/>
        <v>284321000</v>
      </c>
      <c r="GN24" s="106"/>
      <c r="GO24" s="106"/>
      <c r="GP24" s="16" t="s">
        <v>38</v>
      </c>
      <c r="GQ24" s="16">
        <v>44147</v>
      </c>
      <c r="GR24" s="103">
        <v>17490034.417756159</v>
      </c>
      <c r="GS24" s="104">
        <v>3000000</v>
      </c>
      <c r="GU24" s="1" t="s">
        <v>99</v>
      </c>
      <c r="GX24" s="40">
        <v>190</v>
      </c>
      <c r="GY24" s="39">
        <f t="shared" si="80"/>
        <v>232730000</v>
      </c>
      <c r="GZ24" s="40">
        <v>340</v>
      </c>
      <c r="HA24" s="39">
        <f t="shared" si="81"/>
        <v>404015000</v>
      </c>
      <c r="HC24" s="106"/>
      <c r="HD24" s="106"/>
      <c r="HE24" s="16" t="s">
        <v>35</v>
      </c>
      <c r="HF24" s="16">
        <v>44511</v>
      </c>
      <c r="HG24" s="103">
        <v>41533547.217999399</v>
      </c>
      <c r="HH24" s="104">
        <v>20000000</v>
      </c>
      <c r="HJ24" s="1">
        <v>7</v>
      </c>
      <c r="HK24" s="1">
        <v>120</v>
      </c>
      <c r="HM24" s="40">
        <v>190</v>
      </c>
      <c r="HN24" s="39">
        <f t="shared" si="82"/>
        <v>274594000.00000006</v>
      </c>
      <c r="HO24" s="40">
        <v>340</v>
      </c>
      <c r="HP24" s="39">
        <f t="shared" si="83"/>
        <v>482014000</v>
      </c>
      <c r="HR24" s="106"/>
      <c r="HS24" s="106"/>
      <c r="HT24" s="40">
        <v>190</v>
      </c>
      <c r="HU24" s="39">
        <f t="shared" si="84"/>
        <v>233966000</v>
      </c>
      <c r="HV24" s="40">
        <v>340</v>
      </c>
      <c r="HW24" s="39">
        <f t="shared" si="85"/>
        <v>406150999.99999994</v>
      </c>
      <c r="HY24" s="106"/>
      <c r="HZ24" s="106"/>
      <c r="IA24" s="16" t="s">
        <v>37</v>
      </c>
      <c r="IB24" s="16">
        <v>44882</v>
      </c>
      <c r="IC24" s="103">
        <v>51026175.37245363</v>
      </c>
      <c r="ID24" s="104">
        <v>30000000</v>
      </c>
      <c r="II24" s="40">
        <v>190</v>
      </c>
      <c r="IJ24" s="39">
        <f t="shared" si="86"/>
        <v>300772000</v>
      </c>
      <c r="IK24" s="40">
        <v>340</v>
      </c>
      <c r="IL24" s="39">
        <f t="shared" si="87"/>
        <v>530077000</v>
      </c>
      <c r="IN24" s="106"/>
      <c r="IO24" s="106"/>
      <c r="IP24" s="40">
        <v>190</v>
      </c>
      <c r="IQ24" s="39">
        <f t="shared" si="88"/>
        <v>234137999.99999997</v>
      </c>
      <c r="IR24" s="40">
        <v>340</v>
      </c>
      <c r="IS24" s="39">
        <f t="shared" si="89"/>
        <v>405977999.99999994</v>
      </c>
      <c r="IU24" s="106"/>
      <c r="IV24" s="106"/>
      <c r="IW24" s="16" t="s">
        <v>169</v>
      </c>
      <c r="IX24" s="12">
        <v>44147</v>
      </c>
      <c r="IY24" s="103">
        <v>17490034.417756159</v>
      </c>
      <c r="IZ24" s="104">
        <v>3000000</v>
      </c>
      <c r="JE24" s="40">
        <v>190</v>
      </c>
      <c r="JF24" s="39">
        <f t="shared" si="90"/>
        <v>300772000</v>
      </c>
      <c r="JG24" s="40">
        <v>340</v>
      </c>
      <c r="JH24" s="39">
        <f t="shared" si="91"/>
        <v>530077000</v>
      </c>
      <c r="JI24" s="39"/>
      <c r="JJ24" s="39"/>
      <c r="JL24" s="106"/>
      <c r="JM24" s="106"/>
      <c r="JN24" s="40">
        <v>190</v>
      </c>
      <c r="JO24" s="39">
        <f t="shared" si="92"/>
        <v>234137999.99999997</v>
      </c>
      <c r="JP24" s="40">
        <v>340</v>
      </c>
      <c r="JQ24" s="39">
        <f t="shared" si="93"/>
        <v>405977999.99999994</v>
      </c>
      <c r="JR24" s="39"/>
      <c r="JS24" s="39"/>
      <c r="JT24" s="39"/>
      <c r="JU24" s="39"/>
      <c r="JW24" s="106"/>
      <c r="JX24" s="106"/>
      <c r="JY24" s="16" t="s">
        <v>83</v>
      </c>
      <c r="JZ24" s="16">
        <v>43055</v>
      </c>
      <c r="KA24" s="103">
        <v>17395180</v>
      </c>
      <c r="KB24" s="104">
        <v>6000000</v>
      </c>
      <c r="KG24" s="46" t="s">
        <v>82</v>
      </c>
      <c r="KH24" s="46">
        <v>43237</v>
      </c>
      <c r="KI24" s="107">
        <v>26383104</v>
      </c>
      <c r="KJ24" s="108">
        <v>20000000</v>
      </c>
      <c r="KL24" s="1">
        <v>4</v>
      </c>
      <c r="KM24" s="1">
        <v>15</v>
      </c>
      <c r="KO24" s="16" t="s">
        <v>81</v>
      </c>
      <c r="KP24" s="16">
        <v>43419</v>
      </c>
      <c r="KQ24" s="103">
        <v>13565772</v>
      </c>
      <c r="KR24" s="104">
        <v>3000000</v>
      </c>
      <c r="KT24" s="1">
        <v>5</v>
      </c>
      <c r="KU24" s="1">
        <v>30</v>
      </c>
      <c r="KW24" s="16" t="s">
        <v>79</v>
      </c>
      <c r="KX24" s="16">
        <v>43601</v>
      </c>
      <c r="KY24" s="103">
        <v>17234778</v>
      </c>
      <c r="KZ24" s="104">
        <v>8000000</v>
      </c>
      <c r="LB24" s="1">
        <v>7</v>
      </c>
      <c r="LC24" s="1">
        <v>50</v>
      </c>
      <c r="LE24" s="16" t="s">
        <v>78</v>
      </c>
      <c r="LF24" s="16">
        <v>43783</v>
      </c>
      <c r="LG24" s="103">
        <v>40326264</v>
      </c>
      <c r="LH24" s="104">
        <v>30000000</v>
      </c>
      <c r="LJ24" s="1">
        <v>3</v>
      </c>
      <c r="LK24" s="1">
        <v>12</v>
      </c>
      <c r="LM24" s="16" t="s">
        <v>77</v>
      </c>
      <c r="LN24" s="16">
        <v>43965</v>
      </c>
      <c r="LO24" s="103">
        <v>17538246</v>
      </c>
      <c r="LP24" s="104">
        <v>3000000</v>
      </c>
      <c r="LR24" s="1">
        <v>7</v>
      </c>
      <c r="LS24" s="1">
        <v>80</v>
      </c>
      <c r="LU24" s="16" t="s">
        <v>70</v>
      </c>
      <c r="LV24" s="16">
        <v>44147</v>
      </c>
      <c r="LW24" s="103">
        <v>18090468</v>
      </c>
      <c r="LX24" s="104">
        <v>3000000</v>
      </c>
      <c r="MC24" s="16" t="s">
        <v>86</v>
      </c>
      <c r="MD24" s="16">
        <v>44336</v>
      </c>
      <c r="ME24" s="103">
        <v>20064990</v>
      </c>
      <c r="MF24" s="104">
        <v>3000000</v>
      </c>
      <c r="MH24" s="1" t="s">
        <v>98</v>
      </c>
      <c r="MK24" s="16" t="s">
        <v>69</v>
      </c>
      <c r="ML24" s="16">
        <v>44511</v>
      </c>
      <c r="MM24" s="103">
        <v>41058600</v>
      </c>
      <c r="MN24" s="104">
        <v>20000000</v>
      </c>
      <c r="MP24" s="1" t="s">
        <v>97</v>
      </c>
      <c r="MS24" s="16" t="s">
        <v>76</v>
      </c>
      <c r="MT24" s="16">
        <v>44700</v>
      </c>
      <c r="MU24" s="103">
        <v>119209926</v>
      </c>
      <c r="MV24" s="104">
        <v>80000000</v>
      </c>
      <c r="NA24" s="16" t="s">
        <v>34</v>
      </c>
      <c r="NB24" s="16">
        <v>42971</v>
      </c>
      <c r="NC24" s="103">
        <v>16120500</v>
      </c>
      <c r="ND24" s="104">
        <v>6000000</v>
      </c>
      <c r="NF24" s="1">
        <v>6</v>
      </c>
      <c r="NG24" s="1">
        <v>50</v>
      </c>
      <c r="NH24"/>
      <c r="NI24" s="40">
        <v>190</v>
      </c>
      <c r="NJ24" s="39">
        <f t="shared" si="94"/>
        <v>228256999.99999997</v>
      </c>
      <c r="NK24" s="40">
        <v>340</v>
      </c>
      <c r="NL24" s="39">
        <f t="shared" si="95"/>
        <v>400472000</v>
      </c>
      <c r="NN24" s="106"/>
      <c r="NP24" s="16" t="s">
        <v>33</v>
      </c>
      <c r="NQ24" s="16">
        <v>43342</v>
      </c>
      <c r="NR24" s="103">
        <v>17328102</v>
      </c>
      <c r="NS24" s="104">
        <v>8000000</v>
      </c>
      <c r="NU24" s="1">
        <v>5</v>
      </c>
      <c r="NV24" s="1">
        <v>30</v>
      </c>
      <c r="NX24" s="40">
        <v>190</v>
      </c>
      <c r="NY24" s="39">
        <f t="shared" si="96"/>
        <v>233967200</v>
      </c>
      <c r="NZ24" s="40">
        <v>340</v>
      </c>
      <c r="OA24" s="39">
        <f t="shared" si="97"/>
        <v>414837200</v>
      </c>
      <c r="OC24" s="106"/>
    </row>
    <row r="25" spans="2:393" x14ac:dyDescent="0.25">
      <c r="B25" s="5"/>
      <c r="C25" s="5"/>
      <c r="D25" s="5"/>
      <c r="F25" s="5" t="s">
        <v>77</v>
      </c>
      <c r="G25" s="51">
        <f t="shared" si="99"/>
        <v>43831</v>
      </c>
      <c r="H25" s="51">
        <f t="shared" si="100"/>
        <v>44012</v>
      </c>
      <c r="I25" s="50">
        <f t="shared" si="98"/>
        <v>26</v>
      </c>
      <c r="K25" s="7">
        <v>21</v>
      </c>
      <c r="M25" s="5" t="str" cm="1">
        <f t="array" ref="M25">LOOKUP(2,1/($G$19:$G$35&lt;=$V25)/($H$19:$H$35&gt;=$V25),$F$19:$F$35)</f>
        <v>2H17</v>
      </c>
      <c r="N25" s="5" t="str" cm="1">
        <f t="array" ref="N25">LOOKUP(2,1/($G$8:$G$16&lt;=$V25)/($H$8:$H$16&gt;=$V25),$F$8:$F$16)</f>
        <v>FY17</v>
      </c>
      <c r="O25" s="5" t="str">
        <f>IFERROR(N25&amp;"-"&amp;COUNTIF($N$19:N25,N25),NA())</f>
        <v>FY17-7</v>
      </c>
      <c r="P25" s="5">
        <f>COUNTIF(V$19:V25,"&gt;="&amp;MAX($V:$V)-183)</f>
        <v>0</v>
      </c>
      <c r="Q25" s="5">
        <f>COUNTIF(V$19:V25,"&gt;="&amp;MAX($V:$V)-365)</f>
        <v>0</v>
      </c>
      <c r="R25" s="5" cm="1">
        <f t="array" ref="R25">LOOKUP(2,1/($G$46:$G$50&lt;=$V25)/($H$46:$H$50&gt;=$V25),$F$46:$F$50)</f>
        <v>0</v>
      </c>
      <c r="S25" s="5" cm="1">
        <f t="array" ref="S25">LOOKUP(2,1/($G$53:$G$56&lt;=$V25)/($H$53:$H$56&gt;=$V25),$F$53:$F$56)</f>
        <v>0</v>
      </c>
      <c r="T25" s="5" t="e">
        <f>IFERROR(IF($R25&gt;0,$R25&amp;"-"&amp;COUNTIF($R$19:$R25,$R25),NA()),NA())</f>
        <v>#N/A</v>
      </c>
      <c r="U25" s="5" t="e">
        <f>IFERROR(IF($S25&gt;0,$S25&amp;"-"&amp;COUNTIF($S$19:$S25,$S25),NA()),NA())</f>
        <v>#N/A</v>
      </c>
      <c r="V25" s="10">
        <v>42880</v>
      </c>
      <c r="W25" s="101">
        <v>16222899.496291183</v>
      </c>
      <c r="X25" s="101">
        <v>15071884.777029322</v>
      </c>
      <c r="Y25" s="102">
        <v>6000000</v>
      </c>
      <c r="AA25" s="48">
        <f t="shared" si="44"/>
        <v>21</v>
      </c>
      <c r="AB25" s="12">
        <f t="shared" si="0"/>
        <v>45162</v>
      </c>
      <c r="AC25" s="103">
        <f t="shared" si="1"/>
        <v>42995307.072027899</v>
      </c>
      <c r="AD25" s="104">
        <f t="shared" si="2"/>
        <v>20000000</v>
      </c>
      <c r="AF25" s="1">
        <v>7</v>
      </c>
      <c r="AG25" s="1">
        <v>120</v>
      </c>
      <c r="AI25" s="40">
        <v>200</v>
      </c>
      <c r="AJ25" s="39">
        <f t="shared" si="52"/>
        <v>340171800</v>
      </c>
      <c r="AK25" s="40">
        <v>350</v>
      </c>
      <c r="AL25" s="39">
        <f t="shared" si="53"/>
        <v>589531800</v>
      </c>
      <c r="AN25" s="106"/>
      <c r="AO25" s="106"/>
      <c r="AP25" s="40">
        <v>200</v>
      </c>
      <c r="AQ25" s="39">
        <f t="shared" si="54"/>
        <v>243281999.99999997</v>
      </c>
      <c r="AR25" s="40">
        <v>350</v>
      </c>
      <c r="AS25" s="39">
        <f t="shared" si="55"/>
        <v>413066999.99999994</v>
      </c>
      <c r="AU25" s="106"/>
      <c r="AW25" s="48">
        <f t="shared" si="45"/>
        <v>21</v>
      </c>
      <c r="AX25" s="12">
        <f t="shared" si="4"/>
        <v>44980</v>
      </c>
      <c r="AY25" s="103">
        <f t="shared" si="5"/>
        <v>43788940.346609913</v>
      </c>
      <c r="AZ25" s="104">
        <f t="shared" si="6"/>
        <v>20000000</v>
      </c>
      <c r="BB25" s="1">
        <v>5</v>
      </c>
      <c r="BC25" s="1">
        <v>60</v>
      </c>
      <c r="BF25" s="40">
        <v>200</v>
      </c>
      <c r="BG25" s="39">
        <f t="shared" si="56"/>
        <v>325022799.99999994</v>
      </c>
      <c r="BH25" s="40">
        <v>350</v>
      </c>
      <c r="BI25" s="39">
        <f t="shared" si="57"/>
        <v>562787800</v>
      </c>
      <c r="BK25" s="106"/>
      <c r="BL25" s="106"/>
      <c r="BM25" s="40">
        <v>200</v>
      </c>
      <c r="BN25" s="39">
        <f t="shared" si="58"/>
        <v>246875000</v>
      </c>
      <c r="BO25" s="40">
        <v>350</v>
      </c>
      <c r="BP25" s="39">
        <f t="shared" si="59"/>
        <v>419825000</v>
      </c>
      <c r="BR25" s="106"/>
      <c r="BT25" s="48" t="e">
        <f t="shared" si="8"/>
        <v>#N/A</v>
      </c>
      <c r="BU25" s="12" t="e">
        <f t="shared" si="9"/>
        <v>#N/A</v>
      </c>
      <c r="BV25" s="103" t="e">
        <f t="shared" si="10"/>
        <v>#N/A</v>
      </c>
      <c r="BW25" s="104" t="e">
        <f t="shared" si="11"/>
        <v>#N/A</v>
      </c>
      <c r="CB25" s="40">
        <v>150</v>
      </c>
      <c r="CC25" s="39">
        <f t="shared" si="60"/>
        <v>206137000</v>
      </c>
      <c r="CD25" s="40">
        <v>350</v>
      </c>
      <c r="CE25" s="39">
        <f t="shared" si="61"/>
        <v>460837000.00000006</v>
      </c>
      <c r="CG25" s="106"/>
      <c r="CH25" s="106"/>
      <c r="CI25" s="48" t="e">
        <f t="shared" si="12"/>
        <v>#N/A</v>
      </c>
      <c r="CJ25" s="12" t="e">
        <f t="shared" si="13"/>
        <v>#N/A</v>
      </c>
      <c r="CK25" s="105" t="e">
        <f t="shared" si="14"/>
        <v>#N/A</v>
      </c>
      <c r="CL25" s="105" t="e">
        <f t="shared" si="15"/>
        <v>#N/A</v>
      </c>
      <c r="CN25" s="61">
        <f t="shared" si="102"/>
        <v>7.6781150487228222E-2</v>
      </c>
      <c r="CQ25" s="40">
        <v>150</v>
      </c>
      <c r="CR25" s="39">
        <f t="shared" si="62"/>
        <v>194979000</v>
      </c>
      <c r="CS25" s="40">
        <v>350</v>
      </c>
      <c r="CT25" s="39">
        <f t="shared" si="63"/>
        <v>438599000</v>
      </c>
      <c r="CV25" s="106"/>
      <c r="CX25" s="48" t="e">
        <f t="shared" si="16"/>
        <v>#N/A</v>
      </c>
      <c r="CY25" s="12" t="e">
        <f t="shared" si="17"/>
        <v>#N/A</v>
      </c>
      <c r="CZ25" s="103" t="e">
        <f t="shared" si="18"/>
        <v>#N/A</v>
      </c>
      <c r="DA25" s="104" t="e">
        <f t="shared" si="19"/>
        <v>#N/A</v>
      </c>
      <c r="DF25" s="40">
        <v>150</v>
      </c>
      <c r="DG25" s="39">
        <f t="shared" si="64"/>
        <v>175268000</v>
      </c>
      <c r="DH25" s="40">
        <v>350</v>
      </c>
      <c r="DI25" s="39">
        <f t="shared" si="65"/>
        <v>385208000</v>
      </c>
      <c r="DK25" s="106"/>
      <c r="DL25" s="106"/>
      <c r="DM25" s="48" t="e">
        <f t="shared" si="20"/>
        <v>#N/A</v>
      </c>
      <c r="DN25" s="12" t="e">
        <f t="shared" si="21"/>
        <v>#N/A</v>
      </c>
      <c r="DO25" s="103" t="e">
        <f t="shared" si="22"/>
        <v>#N/A</v>
      </c>
      <c r="DP25" s="104" t="e">
        <f t="shared" si="23"/>
        <v>#N/A</v>
      </c>
      <c r="DR25" s="61">
        <f t="shared" si="103"/>
        <v>0.27586354035544369</v>
      </c>
      <c r="DU25" s="40">
        <v>150</v>
      </c>
      <c r="DV25" s="39">
        <f t="shared" si="66"/>
        <v>194979000</v>
      </c>
      <c r="DW25" s="40">
        <v>350</v>
      </c>
      <c r="DX25" s="39">
        <f t="shared" si="67"/>
        <v>438599000</v>
      </c>
      <c r="DZ25" s="106"/>
      <c r="EA25" s="106"/>
      <c r="EB25" s="40">
        <v>150</v>
      </c>
      <c r="EC25" s="39">
        <f t="shared" si="68"/>
        <v>133936000</v>
      </c>
      <c r="ED25" s="40">
        <v>350</v>
      </c>
      <c r="EE25" s="39">
        <f t="shared" si="69"/>
        <v>292236000</v>
      </c>
      <c r="EG25" s="106"/>
      <c r="EH25" s="106"/>
      <c r="EI25" s="47" t="str">
        <f t="shared" si="25"/>
        <v>FY18-21</v>
      </c>
      <c r="EJ25" s="16">
        <v>43062</v>
      </c>
      <c r="EK25" s="103">
        <v>25218185.292392615</v>
      </c>
      <c r="EL25" s="104">
        <f t="shared" si="26"/>
        <v>10000000</v>
      </c>
      <c r="EN25" s="104">
        <v>25000000</v>
      </c>
      <c r="EO25" s="1">
        <f t="shared" si="101"/>
        <v>1</v>
      </c>
      <c r="EQ25" s="40">
        <v>200</v>
      </c>
      <c r="ER25" s="39">
        <f t="shared" si="70"/>
        <v>223009200.00000003</v>
      </c>
      <c r="ES25" s="40">
        <v>350</v>
      </c>
      <c r="ET25" s="39">
        <f t="shared" si="71"/>
        <v>382894200</v>
      </c>
      <c r="EU25" s="106"/>
      <c r="EV25" s="106"/>
      <c r="EW25" s="106"/>
      <c r="EX25" s="16" t="s">
        <v>33</v>
      </c>
      <c r="EY25" s="16">
        <v>43426</v>
      </c>
      <c r="EZ25" s="103">
        <v>13612641.449459627</v>
      </c>
      <c r="FA25" s="104">
        <v>3000000</v>
      </c>
      <c r="FC25" s="1">
        <v>6</v>
      </c>
      <c r="FD25" s="1">
        <v>40</v>
      </c>
      <c r="FF25" s="40">
        <v>200</v>
      </c>
      <c r="FG25" s="39">
        <f t="shared" si="72"/>
        <v>267598899.99999997</v>
      </c>
      <c r="FH25" s="40">
        <v>350</v>
      </c>
      <c r="FI25" s="39">
        <f t="shared" si="73"/>
        <v>466048900</v>
      </c>
      <c r="FK25" s="106"/>
      <c r="FL25" s="106"/>
      <c r="FM25" s="40">
        <v>200</v>
      </c>
      <c r="FN25" s="39">
        <f t="shared" si="74"/>
        <v>208959400.00000003</v>
      </c>
      <c r="FO25" s="40">
        <v>350</v>
      </c>
      <c r="FP25" s="39">
        <f t="shared" si="75"/>
        <v>359589399.99999994</v>
      </c>
      <c r="FR25" s="106"/>
      <c r="FS25" s="106"/>
      <c r="FT25" s="16" t="s">
        <v>39</v>
      </c>
      <c r="FU25" s="16">
        <v>43790</v>
      </c>
      <c r="FV25" s="103">
        <v>48609266.415000923</v>
      </c>
      <c r="FW25" s="104">
        <v>40000000</v>
      </c>
      <c r="FY25" s="1">
        <v>4</v>
      </c>
      <c r="FZ25" s="1">
        <v>20</v>
      </c>
      <c r="GB25" s="40">
        <v>200</v>
      </c>
      <c r="GC25" s="39">
        <f t="shared" si="76"/>
        <v>228604999.99999997</v>
      </c>
      <c r="GD25" s="40">
        <v>350</v>
      </c>
      <c r="GE25" s="39">
        <f t="shared" si="77"/>
        <v>392359999.99999994</v>
      </c>
      <c r="GG25" s="106"/>
      <c r="GH25" s="106"/>
      <c r="GI25" s="40">
        <v>200</v>
      </c>
      <c r="GJ25" s="39">
        <f t="shared" si="78"/>
        <v>173511000</v>
      </c>
      <c r="GK25" s="40">
        <v>350</v>
      </c>
      <c r="GL25" s="39">
        <f t="shared" si="79"/>
        <v>292236000</v>
      </c>
      <c r="GN25" s="106"/>
      <c r="GO25" s="106"/>
      <c r="GP25" s="16" t="s">
        <v>38</v>
      </c>
      <c r="GQ25" s="16">
        <v>44154</v>
      </c>
      <c r="GR25" s="103">
        <v>23485624.323502589</v>
      </c>
      <c r="GS25" s="104">
        <v>8000000</v>
      </c>
      <c r="GU25" s="1" t="s">
        <v>96</v>
      </c>
      <c r="GX25" s="40">
        <v>200</v>
      </c>
      <c r="GY25" s="39">
        <f t="shared" si="80"/>
        <v>244149000</v>
      </c>
      <c r="GZ25" s="40">
        <v>350</v>
      </c>
      <c r="HA25" s="39">
        <f t="shared" si="81"/>
        <v>415433999.99999994</v>
      </c>
      <c r="HC25" s="106"/>
      <c r="HD25" s="106"/>
      <c r="HE25" s="16" t="s">
        <v>35</v>
      </c>
      <c r="HF25" s="16">
        <v>44518</v>
      </c>
      <c r="HG25" s="103">
        <v>57357794.101550631</v>
      </c>
      <c r="HH25" s="104">
        <v>40000000</v>
      </c>
      <c r="HM25" s="40">
        <v>200</v>
      </c>
      <c r="HN25" s="39">
        <f t="shared" si="82"/>
        <v>288422000</v>
      </c>
      <c r="HO25" s="40">
        <v>350</v>
      </c>
      <c r="HP25" s="39">
        <f t="shared" si="83"/>
        <v>495842000.00000006</v>
      </c>
      <c r="HR25" s="106"/>
      <c r="HS25" s="106"/>
      <c r="HT25" s="40">
        <v>200</v>
      </c>
      <c r="HU25" s="39">
        <f t="shared" si="84"/>
        <v>245445000</v>
      </c>
      <c r="HV25" s="40">
        <v>350</v>
      </c>
      <c r="HW25" s="39">
        <f t="shared" si="85"/>
        <v>417630000</v>
      </c>
      <c r="HY25" s="106"/>
      <c r="HZ25" s="106"/>
      <c r="IA25" s="16" t="s">
        <v>37</v>
      </c>
      <c r="IB25" s="16">
        <v>44889</v>
      </c>
      <c r="IC25" s="103">
        <v>71266594.101550624</v>
      </c>
      <c r="ID25" s="104">
        <v>50000000</v>
      </c>
      <c r="II25" s="40">
        <v>200</v>
      </c>
      <c r="IJ25" s="39">
        <f t="shared" si="86"/>
        <v>316059000</v>
      </c>
      <c r="IK25" s="40">
        <v>350</v>
      </c>
      <c r="IL25" s="39">
        <f t="shared" si="87"/>
        <v>545363999.99999988</v>
      </c>
      <c r="IN25" s="106"/>
      <c r="IO25" s="106"/>
      <c r="IP25" s="40">
        <v>200</v>
      </c>
      <c r="IQ25" s="39">
        <f t="shared" si="88"/>
        <v>245594000</v>
      </c>
      <c r="IR25" s="40">
        <v>350</v>
      </c>
      <c r="IS25" s="39">
        <f t="shared" si="89"/>
        <v>417433999.99999994</v>
      </c>
      <c r="IU25" s="106"/>
      <c r="IV25" s="106"/>
      <c r="IW25" s="16" t="s">
        <v>169</v>
      </c>
      <c r="IX25" s="12">
        <v>44154</v>
      </c>
      <c r="IY25" s="103">
        <v>23485624.323502589</v>
      </c>
      <c r="IZ25" s="104">
        <v>8000000</v>
      </c>
      <c r="JE25" s="40">
        <v>200</v>
      </c>
      <c r="JF25" s="39">
        <f t="shared" si="90"/>
        <v>316059000</v>
      </c>
      <c r="JG25" s="40">
        <v>350</v>
      </c>
      <c r="JH25" s="39">
        <f t="shared" si="91"/>
        <v>545363999.99999988</v>
      </c>
      <c r="JI25" s="39"/>
      <c r="JJ25" s="39"/>
      <c r="JL25" s="106"/>
      <c r="JM25" s="106"/>
      <c r="JN25" s="40">
        <v>200</v>
      </c>
      <c r="JO25" s="39">
        <f t="shared" si="92"/>
        <v>245594000</v>
      </c>
      <c r="JP25" s="40">
        <v>350</v>
      </c>
      <c r="JQ25" s="39">
        <f t="shared" si="93"/>
        <v>417433999.99999994</v>
      </c>
      <c r="JR25" s="39"/>
      <c r="JS25" s="39"/>
      <c r="JT25" s="39"/>
      <c r="JU25" s="39"/>
      <c r="JW25" s="106"/>
      <c r="JX25" s="106"/>
      <c r="JY25" s="16" t="s">
        <v>83</v>
      </c>
      <c r="JZ25" s="16">
        <v>43062</v>
      </c>
      <c r="KA25" s="103">
        <v>25136980</v>
      </c>
      <c r="KB25" s="104">
        <v>10000000</v>
      </c>
      <c r="KG25" s="46" t="s">
        <v>82</v>
      </c>
      <c r="KH25" s="46">
        <v>43244</v>
      </c>
      <c r="KI25" s="107">
        <v>36245220</v>
      </c>
      <c r="KJ25" s="108">
        <v>30000000</v>
      </c>
      <c r="KL25" s="1">
        <v>5</v>
      </c>
      <c r="KM25" s="1">
        <v>30</v>
      </c>
      <c r="KO25" s="16" t="s">
        <v>81</v>
      </c>
      <c r="KP25" s="16">
        <v>43426</v>
      </c>
      <c r="KQ25" s="103">
        <v>13172082</v>
      </c>
      <c r="KR25" s="104">
        <v>3000000</v>
      </c>
      <c r="KT25" s="1">
        <v>6</v>
      </c>
      <c r="KU25" s="1">
        <v>40</v>
      </c>
      <c r="KW25" s="16" t="s">
        <v>79</v>
      </c>
      <c r="KX25" s="16">
        <v>43608</v>
      </c>
      <c r="KY25" s="103">
        <v>12103146</v>
      </c>
      <c r="KZ25" s="104">
        <v>3000000</v>
      </c>
      <c r="LB25" s="1">
        <v>8</v>
      </c>
      <c r="LC25" s="1">
        <v>80</v>
      </c>
      <c r="LE25" s="16" t="s">
        <v>78</v>
      </c>
      <c r="LF25" s="16">
        <v>43790</v>
      </c>
      <c r="LG25" s="103">
        <v>48564054</v>
      </c>
      <c r="LH25" s="104">
        <v>40000000</v>
      </c>
      <c r="LJ25" s="1">
        <v>4</v>
      </c>
      <c r="LK25" s="1">
        <v>20</v>
      </c>
      <c r="LM25" s="16" t="s">
        <v>77</v>
      </c>
      <c r="LN25" s="16">
        <v>43972</v>
      </c>
      <c r="LO25" s="103">
        <v>24643212</v>
      </c>
      <c r="LP25" s="104">
        <v>8000000</v>
      </c>
      <c r="LU25" s="16" t="s">
        <v>70</v>
      </c>
      <c r="LV25" s="16">
        <v>44154</v>
      </c>
      <c r="LW25" s="103">
        <v>24823524</v>
      </c>
      <c r="LX25" s="104">
        <v>8000000</v>
      </c>
      <c r="MC25" s="16" t="s">
        <v>86</v>
      </c>
      <c r="MD25" s="16">
        <v>44343</v>
      </c>
      <c r="ME25" s="103">
        <v>25637634</v>
      </c>
      <c r="MF25" s="104">
        <v>8000000</v>
      </c>
      <c r="MK25" s="16" t="s">
        <v>69</v>
      </c>
      <c r="ML25" s="16">
        <v>44518</v>
      </c>
      <c r="MM25" s="103">
        <v>59644332</v>
      </c>
      <c r="MN25" s="104">
        <v>40000000</v>
      </c>
      <c r="MS25" s="16" t="s">
        <v>76</v>
      </c>
      <c r="MT25" s="16">
        <v>44707</v>
      </c>
      <c r="MU25" s="103">
        <v>20577744</v>
      </c>
      <c r="MV25" s="104">
        <v>4000000</v>
      </c>
      <c r="MX25" s="55" t="s">
        <v>95</v>
      </c>
      <c r="MY25" s="54"/>
      <c r="NA25" s="16" t="s">
        <v>34</v>
      </c>
      <c r="NB25" s="16">
        <v>42978</v>
      </c>
      <c r="NC25" s="103">
        <v>18670520</v>
      </c>
      <c r="ND25" s="104">
        <v>10000000</v>
      </c>
      <c r="NH25"/>
      <c r="NI25" s="40">
        <v>200</v>
      </c>
      <c r="NJ25" s="39">
        <f t="shared" si="94"/>
        <v>239737999.99999997</v>
      </c>
      <c r="NK25" s="40">
        <v>350</v>
      </c>
      <c r="NL25" s="39">
        <f t="shared" si="95"/>
        <v>411953000</v>
      </c>
      <c r="NN25" s="106"/>
      <c r="NP25" s="16" t="s">
        <v>33</v>
      </c>
      <c r="NQ25" s="16">
        <v>43349</v>
      </c>
      <c r="NR25" s="103">
        <v>21834252</v>
      </c>
      <c r="NS25" s="104">
        <v>12000000</v>
      </c>
      <c r="NU25" s="1">
        <v>6</v>
      </c>
      <c r="NV25" s="1">
        <v>40</v>
      </c>
      <c r="NX25" s="40">
        <v>200</v>
      </c>
      <c r="NY25" s="39">
        <f t="shared" si="96"/>
        <v>246025199.99999997</v>
      </c>
      <c r="NZ25" s="40">
        <v>350</v>
      </c>
      <c r="OA25" s="39">
        <f t="shared" si="97"/>
        <v>426895200</v>
      </c>
      <c r="OC25" s="106"/>
    </row>
    <row r="26" spans="2:393" x14ac:dyDescent="0.25">
      <c r="B26" s="5"/>
      <c r="C26" s="5"/>
      <c r="D26" s="5"/>
      <c r="F26" s="5" t="s">
        <v>70</v>
      </c>
      <c r="G26" s="51">
        <f t="shared" si="99"/>
        <v>44013</v>
      </c>
      <c r="H26" s="51">
        <f t="shared" si="100"/>
        <v>44196</v>
      </c>
      <c r="I26" s="50">
        <f t="shared" si="98"/>
        <v>27</v>
      </c>
      <c r="K26" s="7">
        <v>22</v>
      </c>
      <c r="M26" s="5" t="str" cm="1">
        <f t="array" ref="M26">LOOKUP(2,1/($G$19:$G$35&lt;=$V26)/($H$19:$H$35&gt;=$V26),$F$19:$F$35)</f>
        <v>2H17</v>
      </c>
      <c r="N26" s="5" t="str" cm="1">
        <f t="array" ref="N26">LOOKUP(2,1/($G$8:$G$16&lt;=$V26)/($H$8:$H$16&gt;=$V26),$F$8:$F$16)</f>
        <v>FY17</v>
      </c>
      <c r="O26" s="5" t="str">
        <f>IFERROR(N26&amp;"-"&amp;COUNTIF($N$19:N26,N26),NA())</f>
        <v>FY17-8</v>
      </c>
      <c r="P26" s="5">
        <f>COUNTIF(V$19:V26,"&gt;="&amp;MAX($V:$V)-183)</f>
        <v>0</v>
      </c>
      <c r="Q26" s="5">
        <f>COUNTIF(V$19:V26,"&gt;="&amp;MAX($V:$V)-365)</f>
        <v>0</v>
      </c>
      <c r="R26" s="5" cm="1">
        <f t="array" ref="R26">LOOKUP(2,1/($G$46:$G$50&lt;=$V26)/($H$46:$H$50&gt;=$V26),$F$46:$F$50)</f>
        <v>0</v>
      </c>
      <c r="S26" s="5" cm="1">
        <f t="array" ref="S26">LOOKUP(2,1/($G$53:$G$56&lt;=$V26)/($H$53:$H$56&gt;=$V26),$F$53:$F$56)</f>
        <v>0</v>
      </c>
      <c r="T26" s="5" t="e">
        <f>IFERROR(IF($R26&gt;0,$R26&amp;"-"&amp;COUNTIF($R$19:$R26,$R26),NA()),NA())</f>
        <v>#N/A</v>
      </c>
      <c r="U26" s="5" t="e">
        <f>IFERROR(IF($S26&gt;0,$S26&amp;"-"&amp;COUNTIF($S$19:$S26,$S26),NA()),NA())</f>
        <v>#N/A</v>
      </c>
      <c r="V26" s="10">
        <v>42887</v>
      </c>
      <c r="W26" s="101">
        <v>23329563.726065204</v>
      </c>
      <c r="X26" s="101">
        <v>21674331.179700878</v>
      </c>
      <c r="Y26" s="102">
        <v>10000000</v>
      </c>
      <c r="AA26" s="48">
        <f t="shared" si="44"/>
        <v>22</v>
      </c>
      <c r="AB26" s="12">
        <f t="shared" si="0"/>
        <v>45169</v>
      </c>
      <c r="AC26" s="103">
        <f t="shared" si="1"/>
        <v>59703342.595619485</v>
      </c>
      <c r="AD26" s="104">
        <f t="shared" si="2"/>
        <v>40000000</v>
      </c>
      <c r="AI26" s="40"/>
      <c r="AJ26" s="39"/>
      <c r="AN26" s="106"/>
      <c r="AO26" s="106"/>
      <c r="AP26" s="40"/>
      <c r="AQ26" s="39"/>
      <c r="AU26" s="106"/>
      <c r="AW26" s="48">
        <f t="shared" si="45"/>
        <v>22</v>
      </c>
      <c r="AX26" s="12">
        <f t="shared" si="4"/>
        <v>44987</v>
      </c>
      <c r="AY26" s="103">
        <f t="shared" si="5"/>
        <v>60656023.107327446</v>
      </c>
      <c r="AZ26" s="104">
        <f t="shared" si="6"/>
        <v>40000000</v>
      </c>
      <c r="BB26" s="1">
        <v>6</v>
      </c>
      <c r="BC26" s="1">
        <v>80</v>
      </c>
      <c r="BF26" s="40"/>
      <c r="BG26" s="39"/>
      <c r="BK26" s="106"/>
      <c r="BL26" s="106"/>
      <c r="BM26" s="40"/>
      <c r="BN26" s="39"/>
      <c r="BR26" s="106"/>
      <c r="BT26" s="48" t="e">
        <f t="shared" si="8"/>
        <v>#N/A</v>
      </c>
      <c r="BU26" s="12" t="e">
        <f t="shared" si="9"/>
        <v>#N/A</v>
      </c>
      <c r="BV26" s="103" t="e">
        <f t="shared" si="10"/>
        <v>#N/A</v>
      </c>
      <c r="BW26" s="104" t="e">
        <f t="shared" si="11"/>
        <v>#N/A</v>
      </c>
      <c r="CB26" s="40"/>
      <c r="CC26" s="39"/>
      <c r="CG26" s="106"/>
      <c r="CH26" s="106"/>
      <c r="CI26" s="48" t="e">
        <f t="shared" si="12"/>
        <v>#N/A</v>
      </c>
      <c r="CJ26" s="12" t="e">
        <f t="shared" si="13"/>
        <v>#N/A</v>
      </c>
      <c r="CK26" s="105" t="e">
        <f t="shared" si="14"/>
        <v>#N/A</v>
      </c>
      <c r="CL26" s="105" t="e">
        <f t="shared" si="15"/>
        <v>#N/A</v>
      </c>
      <c r="CN26" s="61">
        <f t="shared" si="102"/>
        <v>7.2314001171646103E-2</v>
      </c>
      <c r="CQ26" s="40"/>
      <c r="CR26" s="39"/>
      <c r="CV26" s="106"/>
      <c r="CX26" s="48" t="e">
        <f t="shared" si="16"/>
        <v>#N/A</v>
      </c>
      <c r="CY26" s="12" t="e">
        <f t="shared" si="17"/>
        <v>#N/A</v>
      </c>
      <c r="CZ26" s="103" t="e">
        <f t="shared" si="18"/>
        <v>#N/A</v>
      </c>
      <c r="DA26" s="104" t="e">
        <f t="shared" si="19"/>
        <v>#N/A</v>
      </c>
      <c r="DF26" s="40"/>
      <c r="DG26" s="39"/>
      <c r="DK26" s="106"/>
      <c r="DL26" s="106"/>
      <c r="DM26" s="48" t="e">
        <f t="shared" si="20"/>
        <v>#N/A</v>
      </c>
      <c r="DN26" s="12" t="e">
        <f t="shared" si="21"/>
        <v>#N/A</v>
      </c>
      <c r="DO26" s="103" t="e">
        <f t="shared" si="22"/>
        <v>#N/A</v>
      </c>
      <c r="DP26" s="104" t="e">
        <f t="shared" si="23"/>
        <v>#N/A</v>
      </c>
      <c r="DR26" s="61">
        <f t="shared" si="103"/>
        <v>0.28313802796334842</v>
      </c>
      <c r="DU26" s="40"/>
      <c r="DV26" s="39"/>
      <c r="DZ26" s="106"/>
      <c r="EA26" s="106"/>
      <c r="EB26" s="40"/>
      <c r="EC26" s="39"/>
      <c r="EG26" s="106"/>
      <c r="EH26" s="106"/>
      <c r="EI26" s="47" t="str">
        <f t="shared" si="25"/>
        <v>FY18-22</v>
      </c>
      <c r="EJ26" s="16">
        <v>43069</v>
      </c>
      <c r="EK26" s="103">
        <v>13093111.238571674</v>
      </c>
      <c r="EL26" s="104">
        <f t="shared" si="26"/>
        <v>3000000</v>
      </c>
      <c r="EN26" s="104">
        <v>30000000</v>
      </c>
      <c r="EO26" s="1">
        <f t="shared" si="101"/>
        <v>2</v>
      </c>
      <c r="EQ26" s="40"/>
      <c r="ER26" s="39"/>
      <c r="EU26" s="106"/>
      <c r="EV26" s="106"/>
      <c r="EW26" s="106"/>
      <c r="EX26" s="16" t="s">
        <v>33</v>
      </c>
      <c r="EY26" s="16">
        <v>43433</v>
      </c>
      <c r="EZ26" s="103">
        <v>19569770.120788299</v>
      </c>
      <c r="FA26" s="104">
        <v>8000000</v>
      </c>
      <c r="FC26" s="1">
        <v>7</v>
      </c>
      <c r="FD26" s="1">
        <v>50</v>
      </c>
      <c r="FF26" s="40"/>
      <c r="FG26" s="39"/>
      <c r="FK26" s="106"/>
      <c r="FL26" s="106"/>
      <c r="FM26" s="40"/>
      <c r="FN26" s="39"/>
      <c r="FR26" s="106"/>
      <c r="FS26" s="106"/>
      <c r="FT26" s="16" t="s">
        <v>39</v>
      </c>
      <c r="FU26" s="16">
        <v>43797</v>
      </c>
      <c r="FV26" s="103">
        <v>15126397.920663407</v>
      </c>
      <c r="FW26" s="104">
        <v>3000000</v>
      </c>
      <c r="FY26" s="1">
        <v>5</v>
      </c>
      <c r="FZ26" s="1">
        <v>40</v>
      </c>
      <c r="GB26" s="40"/>
      <c r="GC26" s="39"/>
      <c r="GG26" s="106"/>
      <c r="GH26" s="106"/>
      <c r="GI26" s="40"/>
      <c r="GJ26" s="39"/>
      <c r="GN26" s="106"/>
      <c r="GO26" s="106"/>
      <c r="GP26" s="16" t="s">
        <v>38</v>
      </c>
      <c r="GQ26" s="16">
        <v>44161</v>
      </c>
      <c r="GR26" s="103">
        <v>40190379.81149286</v>
      </c>
      <c r="GS26" s="104">
        <v>20000000</v>
      </c>
      <c r="GX26" s="40"/>
      <c r="GY26" s="39"/>
      <c r="HC26" s="106"/>
      <c r="HD26" s="106"/>
      <c r="HE26" s="16" t="s">
        <v>35</v>
      </c>
      <c r="HF26" s="16">
        <v>44525</v>
      </c>
      <c r="HG26" s="103">
        <v>81402100.334448159</v>
      </c>
      <c r="HH26" s="104">
        <v>60000000</v>
      </c>
      <c r="HJ26" s="55" t="s">
        <v>91</v>
      </c>
      <c r="HK26" s="54"/>
      <c r="HM26" s="40"/>
      <c r="HN26" s="39"/>
      <c r="HR26" s="106"/>
      <c r="HS26" s="106"/>
      <c r="HT26" s="40"/>
      <c r="HU26" s="39"/>
      <c r="HY26" s="106"/>
      <c r="HZ26" s="106"/>
      <c r="IA26" s="16" t="s">
        <v>37</v>
      </c>
      <c r="IB26" s="16">
        <v>44896</v>
      </c>
      <c r="IC26" s="103">
        <v>25213057.950744905</v>
      </c>
      <c r="ID26" s="104">
        <v>8000000</v>
      </c>
      <c r="II26" s="40"/>
      <c r="IJ26" s="39"/>
      <c r="IN26" s="106"/>
      <c r="IO26" s="106"/>
      <c r="IP26" s="40"/>
      <c r="IQ26" s="39"/>
      <c r="IU26" s="106"/>
      <c r="IV26" s="106"/>
      <c r="IW26" s="16" t="s">
        <v>169</v>
      </c>
      <c r="IX26" s="12">
        <v>44161</v>
      </c>
      <c r="IY26" s="103">
        <v>40190379.81149286</v>
      </c>
      <c r="IZ26" s="104">
        <v>20000000</v>
      </c>
      <c r="JE26" s="40"/>
      <c r="JF26" s="39"/>
      <c r="JL26" s="106"/>
      <c r="JM26" s="106"/>
      <c r="JN26" s="40"/>
      <c r="JO26" s="39"/>
      <c r="JW26" s="106"/>
      <c r="JX26" s="106"/>
      <c r="JY26" s="16" t="s">
        <v>83</v>
      </c>
      <c r="JZ26" s="16">
        <v>43069</v>
      </c>
      <c r="KA26" s="103">
        <v>13050950</v>
      </c>
      <c r="KB26" s="104">
        <v>3000000</v>
      </c>
      <c r="KG26" s="46" t="s">
        <v>82</v>
      </c>
      <c r="KH26" s="46">
        <v>43251</v>
      </c>
      <c r="KI26" s="107">
        <v>46268706</v>
      </c>
      <c r="KJ26" s="108">
        <v>40000000</v>
      </c>
      <c r="KL26" s="1">
        <v>6</v>
      </c>
      <c r="KM26" s="1">
        <v>40</v>
      </c>
      <c r="KO26" s="16" t="s">
        <v>81</v>
      </c>
      <c r="KP26" s="16">
        <v>43433</v>
      </c>
      <c r="KQ26" s="103">
        <v>19567152</v>
      </c>
      <c r="KR26" s="104">
        <v>8000000</v>
      </c>
      <c r="KT26" s="1">
        <v>7</v>
      </c>
      <c r="KU26" s="1">
        <v>50</v>
      </c>
      <c r="KW26" s="16" t="s">
        <v>79</v>
      </c>
      <c r="KX26" s="16">
        <v>43615</v>
      </c>
      <c r="KY26" s="103">
        <v>16065258</v>
      </c>
      <c r="KZ26" s="104">
        <v>8000000</v>
      </c>
      <c r="LB26" s="1">
        <v>9</v>
      </c>
      <c r="LC26" s="1">
        <v>100</v>
      </c>
      <c r="LE26" s="16" t="s">
        <v>78</v>
      </c>
      <c r="LF26" s="16">
        <v>43797</v>
      </c>
      <c r="LG26" s="103">
        <v>14264382</v>
      </c>
      <c r="LH26" s="104">
        <v>3000000</v>
      </c>
      <c r="LJ26" s="1">
        <v>5</v>
      </c>
      <c r="LK26" s="1">
        <v>40</v>
      </c>
      <c r="LM26" s="16" t="s">
        <v>77</v>
      </c>
      <c r="LN26" s="16">
        <v>43979</v>
      </c>
      <c r="LO26" s="103">
        <v>37307226</v>
      </c>
      <c r="LP26" s="104">
        <v>15000000</v>
      </c>
      <c r="LR26" s="1" t="s">
        <v>94</v>
      </c>
      <c r="LU26" s="16" t="s">
        <v>70</v>
      </c>
      <c r="LV26" s="16">
        <v>44161</v>
      </c>
      <c r="LW26" s="103">
        <v>39954420</v>
      </c>
      <c r="LX26" s="104">
        <v>20000000</v>
      </c>
      <c r="MC26" s="16" t="s">
        <v>86</v>
      </c>
      <c r="MD26" s="16">
        <v>44350</v>
      </c>
      <c r="ME26" s="103">
        <v>19342026</v>
      </c>
      <c r="MF26" s="104">
        <v>3000000</v>
      </c>
      <c r="MH26" s="1" t="s">
        <v>93</v>
      </c>
      <c r="MK26" s="16" t="s">
        <v>69</v>
      </c>
      <c r="ML26" s="16">
        <v>44525</v>
      </c>
      <c r="MM26" s="103">
        <v>83608206</v>
      </c>
      <c r="MN26" s="104">
        <v>60000000</v>
      </c>
      <c r="MS26" s="16" t="s">
        <v>76</v>
      </c>
      <c r="MT26" s="16">
        <v>44714</v>
      </c>
      <c r="MU26" s="103">
        <v>22110924</v>
      </c>
      <c r="MV26" s="104">
        <v>4000000</v>
      </c>
      <c r="MX26" s="52" t="s">
        <v>42</v>
      </c>
      <c r="MY26" s="52" t="s">
        <v>41</v>
      </c>
      <c r="NA26" s="16" t="s">
        <v>34</v>
      </c>
      <c r="NB26" s="16">
        <v>42985</v>
      </c>
      <c r="NC26" s="103">
        <v>25652990</v>
      </c>
      <c r="ND26" s="104">
        <v>15000000</v>
      </c>
      <c r="NF26" s="2" t="s">
        <v>92</v>
      </c>
      <c r="NH26"/>
      <c r="NI26" s="40"/>
      <c r="NJ26" s="39"/>
      <c r="NN26" s="106"/>
      <c r="NP26" s="16" t="s">
        <v>33</v>
      </c>
      <c r="NQ26" s="16">
        <v>43356</v>
      </c>
      <c r="NR26" s="103">
        <v>28533780</v>
      </c>
      <c r="NS26" s="104">
        <v>20000000</v>
      </c>
      <c r="NU26" s="1">
        <v>7</v>
      </c>
      <c r="NV26" s="1">
        <v>50</v>
      </c>
      <c r="NX26" s="40"/>
      <c r="NY26" s="39"/>
      <c r="OC26" s="106"/>
    </row>
    <row r="27" spans="2:393" x14ac:dyDescent="0.25">
      <c r="B27" s="5"/>
      <c r="C27" s="5"/>
      <c r="D27" s="5"/>
      <c r="F27" s="5" t="s">
        <v>86</v>
      </c>
      <c r="G27" s="51">
        <f t="shared" si="99"/>
        <v>44197</v>
      </c>
      <c r="H27" s="51">
        <f t="shared" si="100"/>
        <v>44377</v>
      </c>
      <c r="I27" s="50">
        <f t="shared" si="98"/>
        <v>25</v>
      </c>
      <c r="K27" s="7">
        <v>23</v>
      </c>
      <c r="M27" s="5" t="str" cm="1">
        <f t="array" ref="M27">LOOKUP(2,1/($G$19:$G$35&lt;=$V27)/($H$19:$H$35&gt;=$V27),$F$19:$F$35)</f>
        <v>2H17</v>
      </c>
      <c r="N27" s="5" t="str" cm="1">
        <f t="array" ref="N27">LOOKUP(2,1/($G$8:$G$16&lt;=$V27)/($H$8:$H$16&gt;=$V27),$F$8:$F$16)</f>
        <v>FY17</v>
      </c>
      <c r="O27" s="5" t="str">
        <f>IFERROR(N27&amp;"-"&amp;COUNTIF($N$19:N27,N27),NA())</f>
        <v>FY17-9</v>
      </c>
      <c r="P27" s="5">
        <f>COUNTIF(V$19:V27,"&gt;="&amp;MAX($V:$V)-183)</f>
        <v>0</v>
      </c>
      <c r="Q27" s="5">
        <f>COUNTIF(V$19:V27,"&gt;="&amp;MAX($V:$V)-365)</f>
        <v>0</v>
      </c>
      <c r="R27" s="5" cm="1">
        <f t="array" ref="R27">LOOKUP(2,1/($G$46:$G$50&lt;=$V27)/($H$46:$H$50&gt;=$V27),$F$46:$F$50)</f>
        <v>0</v>
      </c>
      <c r="S27" s="5" cm="1">
        <f t="array" ref="S27">LOOKUP(2,1/($G$53:$G$56&lt;=$V27)/($H$53:$H$56&gt;=$V27),$F$53:$F$56)</f>
        <v>0</v>
      </c>
      <c r="T27" s="5" t="e">
        <f>IFERROR(IF($R27&gt;0,$R27&amp;"-"&amp;COUNTIF($R$19:$R27,$R27),NA()),NA())</f>
        <v>#N/A</v>
      </c>
      <c r="U27" s="5" t="e">
        <f>IFERROR(IF($S27&gt;0,$S27&amp;"-"&amp;COUNTIF($S$19:$S27,$S27),NA()),NA())</f>
        <v>#N/A</v>
      </c>
      <c r="V27" s="10">
        <v>42894</v>
      </c>
      <c r="W27" s="101">
        <v>30369131.899258234</v>
      </c>
      <c r="X27" s="101">
        <v>28214441.99100586</v>
      </c>
      <c r="Y27" s="102">
        <v>15000000</v>
      </c>
      <c r="AA27" s="48">
        <f t="shared" si="44"/>
        <v>23</v>
      </c>
      <c r="AB27" s="12">
        <f t="shared" si="0"/>
        <v>45176</v>
      </c>
      <c r="AC27" s="103">
        <f t="shared" si="1"/>
        <v>20222166.06734227</v>
      </c>
      <c r="AD27" s="104">
        <f t="shared" si="2"/>
        <v>4000000</v>
      </c>
      <c r="AI27" s="60" t="s">
        <v>90</v>
      </c>
      <c r="AJ27" s="59">
        <v>5.1999999999999998E-3</v>
      </c>
      <c r="AK27" s="59">
        <v>0.9345</v>
      </c>
      <c r="AL27" s="59">
        <v>17.597000000000001</v>
      </c>
      <c r="AN27" s="106"/>
      <c r="AO27" s="106"/>
      <c r="AP27" s="60" t="s">
        <v>90</v>
      </c>
      <c r="AQ27" s="59">
        <v>-4.0000000000000001E-3</v>
      </c>
      <c r="AR27" s="59">
        <v>1.3055000000000001</v>
      </c>
      <c r="AS27" s="59">
        <v>15.814</v>
      </c>
      <c r="AU27" s="106"/>
      <c r="AW27" s="48">
        <f t="shared" si="45"/>
        <v>23</v>
      </c>
      <c r="AX27" s="12">
        <f t="shared" si="4"/>
        <v>44994</v>
      </c>
      <c r="AY27" s="103">
        <f t="shared" si="5"/>
        <v>20922155.062328976</v>
      </c>
      <c r="AZ27" s="104">
        <f t="shared" si="6"/>
        <v>4000000</v>
      </c>
      <c r="BB27" s="1">
        <v>7</v>
      </c>
      <c r="BC27" s="1">
        <v>120</v>
      </c>
      <c r="BF27" s="60" t="s">
        <v>90</v>
      </c>
      <c r="BG27" s="59">
        <v>6.7000000000000002E-3</v>
      </c>
      <c r="BH27" s="59">
        <v>0.77229999999999999</v>
      </c>
      <c r="BI27" s="59">
        <v>18.866</v>
      </c>
      <c r="BK27" s="106"/>
      <c r="BL27" s="106"/>
      <c r="BM27" s="60" t="s">
        <v>90</v>
      </c>
      <c r="BN27" s="59">
        <v>2.8999999999999998E-3</v>
      </c>
      <c r="BO27" s="59">
        <v>0.95179999999999998</v>
      </c>
      <c r="BP27" s="59">
        <v>18.071999999999999</v>
      </c>
      <c r="BR27" s="106"/>
      <c r="BT27" s="48" t="e">
        <f t="shared" si="8"/>
        <v>#N/A</v>
      </c>
      <c r="BU27" s="12" t="e">
        <f t="shared" si="9"/>
        <v>#N/A</v>
      </c>
      <c r="BV27" s="103" t="e">
        <f t="shared" si="10"/>
        <v>#N/A</v>
      </c>
      <c r="BW27" s="104" t="e">
        <f t="shared" si="11"/>
        <v>#N/A</v>
      </c>
      <c r="CB27" s="60" t="s">
        <v>90</v>
      </c>
      <c r="CC27" s="59">
        <v>-3.8999999999999998E-3</v>
      </c>
      <c r="CD27" s="59">
        <v>1.4182999999999999</v>
      </c>
      <c r="CE27" s="59">
        <v>14.324</v>
      </c>
      <c r="CG27" s="106"/>
      <c r="CH27" s="106"/>
      <c r="CI27" s="48" t="e">
        <f t="shared" si="12"/>
        <v>#N/A</v>
      </c>
      <c r="CJ27" s="12" t="e">
        <f t="shared" si="13"/>
        <v>#N/A</v>
      </c>
      <c r="CK27" s="105" t="e">
        <f t="shared" si="14"/>
        <v>#N/A</v>
      </c>
      <c r="CL27" s="105" t="e">
        <f t="shared" si="15"/>
        <v>#N/A</v>
      </c>
      <c r="CN27" s="61">
        <f t="shared" si="102"/>
        <v>6.8962688786129656E-2</v>
      </c>
      <c r="CQ27" s="60" t="s">
        <v>90</v>
      </c>
      <c r="CR27" s="59">
        <v>-3.8999999999999998E-3</v>
      </c>
      <c r="CS27" s="59">
        <v>1.4182999999999999</v>
      </c>
      <c r="CT27" s="59">
        <v>14.324</v>
      </c>
      <c r="CV27" s="106"/>
      <c r="CX27" s="48" t="e">
        <f t="shared" si="16"/>
        <v>#N/A</v>
      </c>
      <c r="CY27" s="12" t="e">
        <f t="shared" si="17"/>
        <v>#N/A</v>
      </c>
      <c r="CZ27" s="103" t="e">
        <f t="shared" si="18"/>
        <v>#N/A</v>
      </c>
      <c r="DA27" s="104" t="e">
        <f t="shared" si="19"/>
        <v>#N/A</v>
      </c>
      <c r="DF27" s="60" t="s">
        <v>90</v>
      </c>
      <c r="DG27" s="59">
        <v>-3.8999999999999998E-3</v>
      </c>
      <c r="DH27" s="59">
        <v>1.4182999999999999</v>
      </c>
      <c r="DI27" s="59">
        <v>14.324</v>
      </c>
      <c r="DK27" s="106"/>
      <c r="DL27" s="106"/>
      <c r="DM27" s="48" t="e">
        <f t="shared" si="20"/>
        <v>#N/A</v>
      </c>
      <c r="DN27" s="12" t="e">
        <f t="shared" si="21"/>
        <v>#N/A</v>
      </c>
      <c r="DO27" s="103" t="e">
        <f t="shared" si="22"/>
        <v>#N/A</v>
      </c>
      <c r="DP27" s="104" t="e">
        <f t="shared" si="23"/>
        <v>#N/A</v>
      </c>
      <c r="DR27" s="61">
        <f t="shared" si="103"/>
        <v>0.28857593977767504</v>
      </c>
      <c r="DU27" s="60" t="s">
        <v>90</v>
      </c>
      <c r="DV27" s="59">
        <v>3.8999999999999998E-3</v>
      </c>
      <c r="DW27" s="59">
        <v>1.1677999999999999</v>
      </c>
      <c r="DX27" s="59">
        <v>13.61</v>
      </c>
      <c r="DZ27" s="106"/>
      <c r="EA27" s="106"/>
      <c r="EB27" s="60" t="s">
        <v>90</v>
      </c>
      <c r="EC27" s="59">
        <v>-2.2000000000000001E-3</v>
      </c>
      <c r="ED27" s="59">
        <v>1.2639</v>
      </c>
      <c r="EE27" s="59">
        <v>15.276999999999999</v>
      </c>
      <c r="EG27" s="106"/>
      <c r="EH27" s="106"/>
      <c r="EI27" s="47" t="str">
        <f t="shared" si="25"/>
        <v>FY18-23</v>
      </c>
      <c r="EJ27" s="16">
        <v>43076</v>
      </c>
      <c r="EK27" s="103">
        <v>17159375.04916336</v>
      </c>
      <c r="EL27" s="104">
        <f t="shared" si="26"/>
        <v>6000000</v>
      </c>
      <c r="EN27" s="104">
        <v>35000000</v>
      </c>
      <c r="EO27" s="1">
        <f t="shared" si="101"/>
        <v>1</v>
      </c>
      <c r="EQ27" s="60" t="s">
        <v>90</v>
      </c>
      <c r="ER27" s="59">
        <v>8.0999999999999996E-3</v>
      </c>
      <c r="ES27" s="59">
        <v>0.67589999999999995</v>
      </c>
      <c r="ET27" s="59">
        <v>11.96</v>
      </c>
      <c r="EU27" s="106"/>
      <c r="EV27" s="106"/>
      <c r="EW27" s="106"/>
      <c r="EX27" s="16" t="s">
        <v>33</v>
      </c>
      <c r="EY27" s="16">
        <v>43440</v>
      </c>
      <c r="EZ27" s="103">
        <v>24628368.722186904</v>
      </c>
      <c r="FA27" s="104">
        <v>12000000</v>
      </c>
      <c r="FC27" s="1">
        <v>8</v>
      </c>
      <c r="FD27" s="1">
        <v>80</v>
      </c>
      <c r="FF27" s="60" t="s">
        <v>90</v>
      </c>
      <c r="FG27" s="59">
        <v>1.26E-2</v>
      </c>
      <c r="FH27" s="59">
        <v>0.20499999999999999</v>
      </c>
      <c r="FI27" s="59">
        <v>15.717000000000001</v>
      </c>
      <c r="FK27" s="106"/>
      <c r="FL27" s="106"/>
      <c r="FM27" s="60" t="s">
        <v>90</v>
      </c>
      <c r="FN27" s="59">
        <v>6.8999999999999999E-3</v>
      </c>
      <c r="FO27" s="59">
        <v>0.52470000000000006</v>
      </c>
      <c r="FP27" s="59">
        <v>13.115</v>
      </c>
      <c r="FR27" s="106"/>
      <c r="FS27" s="106"/>
      <c r="FT27" s="16" t="s">
        <v>39</v>
      </c>
      <c r="FU27" s="16">
        <v>43804</v>
      </c>
      <c r="FV27" s="103">
        <v>20501358.252367102</v>
      </c>
      <c r="FW27" s="104">
        <v>8000000</v>
      </c>
      <c r="FY27" s="1">
        <v>6</v>
      </c>
      <c r="FZ27" s="1">
        <v>60</v>
      </c>
      <c r="GB27" s="60" t="s">
        <v>90</v>
      </c>
      <c r="GC27" s="59">
        <v>5.1999999999999998E-3</v>
      </c>
      <c r="GD27" s="59">
        <v>0.47610000000000002</v>
      </c>
      <c r="GE27" s="59">
        <v>17.542000000000002</v>
      </c>
      <c r="GG27" s="106"/>
      <c r="GH27" s="106"/>
      <c r="GI27" s="60" t="s">
        <v>90</v>
      </c>
      <c r="GJ27" s="59">
        <v>-1.4E-3</v>
      </c>
      <c r="GK27" s="59">
        <v>0.89290000000000003</v>
      </c>
      <c r="GL27" s="59">
        <v>14.307</v>
      </c>
      <c r="GN27" s="106"/>
      <c r="GO27" s="106"/>
      <c r="GP27" s="16" t="s">
        <v>38</v>
      </c>
      <c r="GQ27" s="16">
        <v>44168</v>
      </c>
      <c r="GR27" s="103">
        <v>17815226.512617815</v>
      </c>
      <c r="GS27" s="104">
        <v>3000000</v>
      </c>
      <c r="GX27" s="60" t="s">
        <v>90</v>
      </c>
      <c r="GY27" s="59">
        <v>2.3999999999999998E-3</v>
      </c>
      <c r="GZ27" s="59">
        <v>0.97899999999999998</v>
      </c>
      <c r="HA27" s="59">
        <v>17.202999999999999</v>
      </c>
      <c r="HC27" s="106"/>
      <c r="HD27" s="106"/>
      <c r="HE27" s="16" t="s">
        <v>35</v>
      </c>
      <c r="HF27" s="16">
        <v>44532</v>
      </c>
      <c r="HG27" s="103">
        <v>109814245.30252357</v>
      </c>
      <c r="HH27" s="104">
        <v>80000000</v>
      </c>
      <c r="HJ27" s="52" t="s">
        <v>42</v>
      </c>
      <c r="HK27" s="52" t="s">
        <v>41</v>
      </c>
      <c r="HM27" s="60" t="s">
        <v>90</v>
      </c>
      <c r="HN27" s="59">
        <v>1.1900000000000001E-2</v>
      </c>
      <c r="HO27" s="59">
        <v>0.3367</v>
      </c>
      <c r="HP27" s="59">
        <v>22.986999999999998</v>
      </c>
      <c r="HR27" s="106"/>
      <c r="HS27" s="106"/>
      <c r="HT27" s="60" t="s">
        <v>90</v>
      </c>
      <c r="HU27" s="59">
        <v>4.7999999999999996E-3</v>
      </c>
      <c r="HV27" s="59">
        <v>0.7873</v>
      </c>
      <c r="HW27" s="59">
        <v>19.062999999999999</v>
      </c>
      <c r="HY27" s="106"/>
      <c r="HZ27" s="106"/>
      <c r="IA27" s="16" t="s">
        <v>37</v>
      </c>
      <c r="IB27" s="16">
        <v>44903</v>
      </c>
      <c r="IC27" s="103">
        <v>38341626.147765279</v>
      </c>
      <c r="ID27" s="104">
        <v>20000000</v>
      </c>
      <c r="IF27" s="55" t="s">
        <v>91</v>
      </c>
      <c r="IG27" s="54"/>
      <c r="II27" s="60" t="s">
        <v>90</v>
      </c>
      <c r="IJ27" s="59">
        <v>4.4999999999999997E-3</v>
      </c>
      <c r="IK27" s="59">
        <v>0.95699999999999996</v>
      </c>
      <c r="IL27" s="59">
        <v>17.614000000000001</v>
      </c>
      <c r="IN27" s="106"/>
      <c r="IO27" s="106"/>
      <c r="IP27" s="60" t="s">
        <v>90</v>
      </c>
      <c r="IQ27" s="59">
        <v>-1.5E-3</v>
      </c>
      <c r="IR27" s="59">
        <v>1.2149000000000001</v>
      </c>
      <c r="IS27" s="59">
        <v>16.093</v>
      </c>
      <c r="IU27" s="106"/>
      <c r="IV27" s="106"/>
      <c r="IW27" s="16" t="s">
        <v>169</v>
      </c>
      <c r="IX27" s="12">
        <v>44168</v>
      </c>
      <c r="IY27" s="103">
        <v>17815226.512617815</v>
      </c>
      <c r="IZ27" s="104">
        <v>3000000</v>
      </c>
      <c r="JB27" s="55" t="s">
        <v>91</v>
      </c>
      <c r="JC27" s="54"/>
      <c r="JE27" s="60" t="s">
        <v>90</v>
      </c>
      <c r="JF27" s="59">
        <v>4.4999999999999997E-3</v>
      </c>
      <c r="JG27" s="59">
        <v>0.95699999999999996</v>
      </c>
      <c r="JH27" s="59">
        <v>17.614000000000001</v>
      </c>
      <c r="JI27" s="59"/>
      <c r="JJ27" s="59"/>
      <c r="JL27" s="106"/>
      <c r="JM27" s="106"/>
      <c r="JN27" s="60" t="s">
        <v>90</v>
      </c>
      <c r="JO27" s="59">
        <v>-1.5E-3</v>
      </c>
      <c r="JP27" s="59">
        <v>1.2149000000000001</v>
      </c>
      <c r="JQ27" s="59">
        <v>16.093</v>
      </c>
      <c r="JR27" s="59"/>
      <c r="JS27" s="59"/>
      <c r="JT27" s="59"/>
      <c r="JU27" s="59"/>
      <c r="JW27" s="106"/>
      <c r="JX27" s="106"/>
      <c r="JY27" s="16" t="s">
        <v>83</v>
      </c>
      <c r="JZ27" s="16">
        <v>43076</v>
      </c>
      <c r="KA27" s="103">
        <v>17104120</v>
      </c>
      <c r="KB27" s="104">
        <v>6000000</v>
      </c>
      <c r="KG27" s="46" t="s">
        <v>82</v>
      </c>
      <c r="KH27" s="46">
        <v>43258</v>
      </c>
      <c r="KI27" s="107">
        <v>56733600</v>
      </c>
      <c r="KJ27" s="108">
        <v>50000000</v>
      </c>
      <c r="KO27" s="16" t="s">
        <v>81</v>
      </c>
      <c r="KP27" s="16">
        <v>43440</v>
      </c>
      <c r="KQ27" s="103">
        <v>24038586</v>
      </c>
      <c r="KR27" s="104">
        <v>12000000</v>
      </c>
      <c r="KT27" s="1">
        <v>8</v>
      </c>
      <c r="KU27" s="1">
        <v>80</v>
      </c>
      <c r="KW27" s="16" t="s">
        <v>79</v>
      </c>
      <c r="KX27" s="16">
        <v>43622</v>
      </c>
      <c r="KY27" s="103">
        <v>19292856</v>
      </c>
      <c r="KZ27" s="104">
        <v>12000000</v>
      </c>
      <c r="LE27" s="16" t="s">
        <v>78</v>
      </c>
      <c r="LF27" s="16">
        <v>43804</v>
      </c>
      <c r="LG27" s="103">
        <v>20094426</v>
      </c>
      <c r="LH27" s="104">
        <v>8000000</v>
      </c>
      <c r="LJ27" s="1">
        <v>6</v>
      </c>
      <c r="LK27" s="1">
        <v>60</v>
      </c>
      <c r="LM27" s="16" t="s">
        <v>77</v>
      </c>
      <c r="LN27" s="16">
        <v>43986</v>
      </c>
      <c r="LO27" s="103">
        <v>19562862</v>
      </c>
      <c r="LP27" s="104">
        <v>3000000</v>
      </c>
      <c r="LU27" s="16" t="s">
        <v>70</v>
      </c>
      <c r="LV27" s="16">
        <v>44168</v>
      </c>
      <c r="LW27" s="103">
        <v>17778288</v>
      </c>
      <c r="LX27" s="104">
        <v>3000000</v>
      </c>
      <c r="MC27" s="16" t="s">
        <v>86</v>
      </c>
      <c r="MD27" s="16">
        <v>44357</v>
      </c>
      <c r="ME27" s="103">
        <v>22681560</v>
      </c>
      <c r="MF27" s="104">
        <v>8000000</v>
      </c>
      <c r="MK27" s="16" t="s">
        <v>69</v>
      </c>
      <c r="ML27" s="16">
        <v>44532</v>
      </c>
      <c r="MM27" s="103">
        <v>112280586</v>
      </c>
      <c r="MN27" s="104">
        <v>80000000</v>
      </c>
      <c r="MS27" s="16" t="s">
        <v>76</v>
      </c>
      <c r="MT27" s="16">
        <v>44721</v>
      </c>
      <c r="MU27" s="103">
        <v>27492102</v>
      </c>
      <c r="MV27" s="104">
        <v>8000000</v>
      </c>
      <c r="MX27" s="1">
        <v>1</v>
      </c>
      <c r="MY27" s="1">
        <v>4</v>
      </c>
      <c r="NA27" s="16" t="s">
        <v>34</v>
      </c>
      <c r="NB27" s="16">
        <v>42992</v>
      </c>
      <c r="NC27" s="103">
        <v>42817610</v>
      </c>
      <c r="ND27" s="104">
        <v>30000000</v>
      </c>
      <c r="NH27"/>
      <c r="NI27" s="60" t="s">
        <v>90</v>
      </c>
      <c r="NJ27" s="59">
        <v>5.9999999999999995E-4</v>
      </c>
      <c r="NK27" s="59">
        <v>1.1182000000000001</v>
      </c>
      <c r="NL27" s="59">
        <v>10.284000000000001</v>
      </c>
      <c r="NN27" s="106"/>
      <c r="NP27" s="16" t="s">
        <v>33</v>
      </c>
      <c r="NQ27" s="16">
        <v>43363</v>
      </c>
      <c r="NR27" s="103">
        <v>37562184</v>
      </c>
      <c r="NS27" s="104">
        <v>30000000</v>
      </c>
      <c r="NU27" s="1">
        <v>8</v>
      </c>
      <c r="NV27" s="1">
        <v>80</v>
      </c>
      <c r="NX27" s="60" t="s">
        <v>90</v>
      </c>
      <c r="NY27" s="59">
        <v>1.17E-2</v>
      </c>
      <c r="NZ27" s="59">
        <v>0.2359</v>
      </c>
      <c r="OA27" s="59">
        <v>15.266999999999999</v>
      </c>
      <c r="OC27" s="106"/>
    </row>
    <row r="28" spans="2:393" x14ac:dyDescent="0.25">
      <c r="B28" s="5"/>
      <c r="C28" s="5"/>
      <c r="D28" s="5"/>
      <c r="F28" s="5" t="s">
        <v>69</v>
      </c>
      <c r="G28" s="51">
        <f t="shared" si="99"/>
        <v>44378</v>
      </c>
      <c r="H28" s="51">
        <f t="shared" si="100"/>
        <v>44561</v>
      </c>
      <c r="I28" s="50">
        <f t="shared" si="98"/>
        <v>27</v>
      </c>
      <c r="K28" s="7">
        <v>24</v>
      </c>
      <c r="M28" s="5" t="str" cm="1">
        <f t="array" ref="M28">LOOKUP(2,1/($G$19:$G$35&lt;=$V28)/($H$19:$H$35&gt;=$V28),$F$19:$F$35)</f>
        <v>2H17</v>
      </c>
      <c r="N28" s="5" t="str" cm="1">
        <f t="array" ref="N28">LOOKUP(2,1/($G$8:$G$16&lt;=$V28)/($H$8:$H$16&gt;=$V28),$F$8:$F$16)</f>
        <v>FY17</v>
      </c>
      <c r="O28" s="5" t="str">
        <f>IFERROR(N28&amp;"-"&amp;COUNTIF($N$19:N28,N28),NA())</f>
        <v>FY17-10</v>
      </c>
      <c r="P28" s="5">
        <f>COUNTIF(V$19:V28,"&gt;="&amp;MAX($V:$V)-183)</f>
        <v>0</v>
      </c>
      <c r="Q28" s="5">
        <f>COUNTIF(V$19:V28,"&gt;="&amp;MAX($V:$V)-365)</f>
        <v>0</v>
      </c>
      <c r="R28" s="5" cm="1">
        <f t="array" ref="R28">LOOKUP(2,1/($G$46:$G$50&lt;=$V28)/($H$46:$H$50&gt;=$V28),$F$46:$F$50)</f>
        <v>0</v>
      </c>
      <c r="S28" s="5" cm="1">
        <f t="array" ref="S28">LOOKUP(2,1/($G$53:$G$56&lt;=$V28)/($H$53:$H$56&gt;=$V28),$F$53:$F$56)</f>
        <v>0</v>
      </c>
      <c r="T28" s="5" t="e">
        <f>IFERROR(IF($R28&gt;0,$R28&amp;"-"&amp;COUNTIF($R$19:$R28,$R28),NA()),NA())</f>
        <v>#N/A</v>
      </c>
      <c r="U28" s="5" t="e">
        <f>IFERROR(IF($S28&gt;0,$S28&amp;"-"&amp;COUNTIF($S$19:$S28,$S28),NA()),NA())</f>
        <v>#N/A</v>
      </c>
      <c r="V28" s="10">
        <v>42901</v>
      </c>
      <c r="W28" s="101">
        <v>43595442.052785918</v>
      </c>
      <c r="X28" s="101">
        <v>40502345.439140752</v>
      </c>
      <c r="Y28" s="102">
        <v>30000000</v>
      </c>
      <c r="AA28" s="48">
        <f t="shared" si="44"/>
        <v>24</v>
      </c>
      <c r="AB28" s="12">
        <f t="shared" si="0"/>
        <v>45183</v>
      </c>
      <c r="AC28" s="103">
        <f t="shared" si="1"/>
        <v>32237415.277323749</v>
      </c>
      <c r="AD28" s="104">
        <f t="shared" si="2"/>
        <v>12000000</v>
      </c>
      <c r="AF28" s="55" t="s">
        <v>15</v>
      </c>
      <c r="AG28" s="54"/>
      <c r="AN28" s="106"/>
      <c r="AO28" s="106"/>
      <c r="AU28" s="106"/>
      <c r="AW28" s="48">
        <f t="shared" si="45"/>
        <v>24</v>
      </c>
      <c r="AX28" s="12">
        <f t="shared" si="4"/>
        <v>45001</v>
      </c>
      <c r="AY28" s="103">
        <f t="shared" si="5"/>
        <v>22050697.598054122</v>
      </c>
      <c r="AZ28" s="104">
        <f t="shared" si="6"/>
        <v>4000000</v>
      </c>
      <c r="BK28" s="106"/>
      <c r="BL28" s="106"/>
      <c r="BR28" s="106"/>
      <c r="BT28" s="48" t="e">
        <f t="shared" si="8"/>
        <v>#N/A</v>
      </c>
      <c r="BU28" s="12" t="e">
        <f t="shared" si="9"/>
        <v>#N/A</v>
      </c>
      <c r="BV28" s="103" t="e">
        <f t="shared" si="10"/>
        <v>#N/A</v>
      </c>
      <c r="BW28" s="104" t="e">
        <f t="shared" si="11"/>
        <v>#N/A</v>
      </c>
      <c r="CG28" s="106"/>
      <c r="CH28" s="106"/>
      <c r="CI28" s="48" t="e">
        <f t="shared" si="12"/>
        <v>#N/A</v>
      </c>
      <c r="CJ28" s="12" t="e">
        <f t="shared" si="13"/>
        <v>#N/A</v>
      </c>
      <c r="CK28" s="105" t="e">
        <f t="shared" si="14"/>
        <v>#N/A</v>
      </c>
      <c r="CL28" s="105" t="e">
        <f t="shared" si="15"/>
        <v>#N/A</v>
      </c>
      <c r="CN28" s="61">
        <f t="shared" si="102"/>
        <v>6.6355549073939146E-2</v>
      </c>
      <c r="CV28" s="106"/>
      <c r="CX28" s="48" t="e">
        <f t="shared" si="16"/>
        <v>#N/A</v>
      </c>
      <c r="CY28" s="12" t="e">
        <f t="shared" si="17"/>
        <v>#N/A</v>
      </c>
      <c r="CZ28" s="103" t="e">
        <f t="shared" si="18"/>
        <v>#N/A</v>
      </c>
      <c r="DA28" s="104" t="e">
        <f t="shared" si="19"/>
        <v>#N/A</v>
      </c>
      <c r="DK28" s="106"/>
      <c r="DL28" s="106"/>
      <c r="DM28" s="48" t="e">
        <f t="shared" si="20"/>
        <v>#N/A</v>
      </c>
      <c r="DN28" s="12" t="e">
        <f t="shared" si="21"/>
        <v>#N/A</v>
      </c>
      <c r="DO28" s="103" t="e">
        <f t="shared" si="22"/>
        <v>#N/A</v>
      </c>
      <c r="DP28" s="104" t="e">
        <f t="shared" si="23"/>
        <v>#N/A</v>
      </c>
      <c r="DR28" s="61">
        <f t="shared" si="103"/>
        <v>0.2927948340319475</v>
      </c>
      <c r="DZ28" s="106"/>
      <c r="EA28" s="106"/>
      <c r="EG28" s="106"/>
      <c r="EH28" s="106"/>
      <c r="EI28" s="47" t="str">
        <f t="shared" si="25"/>
        <v>FY18-24</v>
      </c>
      <c r="EJ28" s="16">
        <v>43083</v>
      </c>
      <c r="EK28" s="103">
        <v>19518000.077626355</v>
      </c>
      <c r="EL28" s="104">
        <f t="shared" si="26"/>
        <v>10000000</v>
      </c>
      <c r="EN28" s="104">
        <v>40000000</v>
      </c>
      <c r="EO28" s="1">
        <f t="shared" si="101"/>
        <v>1</v>
      </c>
      <c r="EU28" s="106"/>
      <c r="EV28" s="106"/>
      <c r="EW28" s="106"/>
      <c r="EX28" s="16" t="s">
        <v>33</v>
      </c>
      <c r="EY28" s="16">
        <v>43447</v>
      </c>
      <c r="EZ28" s="103">
        <v>30784708.455181174</v>
      </c>
      <c r="FA28" s="104">
        <v>20000000</v>
      </c>
      <c r="FC28" s="1">
        <v>9</v>
      </c>
      <c r="FD28" s="1">
        <v>100</v>
      </c>
      <c r="FK28" s="106"/>
      <c r="FL28" s="106"/>
      <c r="FR28" s="106"/>
      <c r="FS28" s="106"/>
      <c r="FT28" s="16" t="s">
        <v>39</v>
      </c>
      <c r="FU28" s="16">
        <v>43811</v>
      </c>
      <c r="FV28" s="103">
        <v>25306949.43994059</v>
      </c>
      <c r="FW28" s="104">
        <v>12000000</v>
      </c>
      <c r="FY28" s="1">
        <v>7</v>
      </c>
      <c r="FZ28" s="1">
        <v>80</v>
      </c>
      <c r="GG28" s="106"/>
      <c r="GH28" s="106"/>
      <c r="GN28" s="106"/>
      <c r="GO28" s="106"/>
      <c r="GP28" s="16" t="s">
        <v>38</v>
      </c>
      <c r="GQ28" s="16">
        <v>44175</v>
      </c>
      <c r="GR28" s="103">
        <v>25066381.757373061</v>
      </c>
      <c r="GS28" s="104">
        <v>8000000</v>
      </c>
      <c r="GU28" s="55" t="s">
        <v>89</v>
      </c>
      <c r="GV28" s="54"/>
      <c r="HC28" s="106"/>
      <c r="HD28" s="106"/>
      <c r="HE28" s="16" t="s">
        <v>35</v>
      </c>
      <c r="HF28" s="16">
        <v>44539</v>
      </c>
      <c r="HG28" s="103">
        <v>18912447.065977499</v>
      </c>
      <c r="HH28" s="104">
        <v>3000000</v>
      </c>
      <c r="HJ28" s="1">
        <v>1</v>
      </c>
      <c r="HK28" s="1">
        <v>4</v>
      </c>
      <c r="HR28" s="106"/>
      <c r="HS28" s="106"/>
      <c r="HY28" s="106"/>
      <c r="HZ28" s="106"/>
      <c r="IA28" s="16" t="s">
        <v>37</v>
      </c>
      <c r="IB28" s="16">
        <v>44910</v>
      </c>
      <c r="IC28" s="103">
        <v>50094358.163575552</v>
      </c>
      <c r="ID28" s="104">
        <v>30000000</v>
      </c>
      <c r="IF28" s="52" t="s">
        <v>42</v>
      </c>
      <c r="IG28" s="52" t="s">
        <v>41</v>
      </c>
      <c r="IN28" s="106"/>
      <c r="IO28" s="106"/>
      <c r="IU28" s="106"/>
      <c r="IV28" s="106"/>
      <c r="IW28" s="16" t="s">
        <v>169</v>
      </c>
      <c r="IX28" s="12">
        <v>44175</v>
      </c>
      <c r="IY28" s="103">
        <v>25066381.757373061</v>
      </c>
      <c r="IZ28" s="104">
        <v>8000000</v>
      </c>
      <c r="JB28" s="52" t="s">
        <v>42</v>
      </c>
      <c r="JC28" s="52" t="s">
        <v>41</v>
      </c>
      <c r="JL28" s="106"/>
      <c r="JM28" s="106"/>
      <c r="JW28" s="106"/>
      <c r="JX28" s="106"/>
      <c r="JY28" s="16" t="s">
        <v>83</v>
      </c>
      <c r="JZ28" s="16">
        <v>43083</v>
      </c>
      <c r="KA28" s="103">
        <v>19455150</v>
      </c>
      <c r="KB28" s="104">
        <v>10000000</v>
      </c>
      <c r="KG28" s="46" t="s">
        <v>82</v>
      </c>
      <c r="KH28" s="46">
        <v>43265</v>
      </c>
      <c r="KI28" s="107">
        <v>11832018</v>
      </c>
      <c r="KJ28" s="108">
        <v>3000000</v>
      </c>
      <c r="KL28" s="55" t="s">
        <v>88</v>
      </c>
      <c r="KM28" s="54"/>
      <c r="KO28" s="16" t="s">
        <v>81</v>
      </c>
      <c r="KP28" s="16">
        <v>43447</v>
      </c>
      <c r="KQ28" s="103">
        <v>31849290</v>
      </c>
      <c r="KR28" s="104">
        <v>20000000</v>
      </c>
      <c r="KT28" s="1">
        <v>9</v>
      </c>
      <c r="KU28" s="1">
        <v>100</v>
      </c>
      <c r="KW28" s="16" t="s">
        <v>79</v>
      </c>
      <c r="KX28" s="16">
        <v>43629</v>
      </c>
      <c r="KY28" s="103">
        <v>23176362</v>
      </c>
      <c r="KZ28" s="104">
        <v>20000000</v>
      </c>
      <c r="LE28" s="16" t="s">
        <v>78</v>
      </c>
      <c r="LF28" s="16">
        <v>43811</v>
      </c>
      <c r="LG28" s="103">
        <v>26284302</v>
      </c>
      <c r="LH28" s="104">
        <v>12000000</v>
      </c>
      <c r="LJ28" s="1">
        <v>7</v>
      </c>
      <c r="LK28" s="1">
        <v>80</v>
      </c>
      <c r="LM28" s="16" t="s">
        <v>77</v>
      </c>
      <c r="LN28" s="16">
        <v>43993</v>
      </c>
      <c r="LO28" s="103">
        <v>25377264</v>
      </c>
      <c r="LP28" s="104">
        <v>8000000</v>
      </c>
      <c r="LU28" s="16" t="s">
        <v>70</v>
      </c>
      <c r="LV28" s="16">
        <v>44175</v>
      </c>
      <c r="LW28" s="103">
        <v>26998686</v>
      </c>
      <c r="LX28" s="104">
        <v>8000000</v>
      </c>
      <c r="MC28" s="16" t="s">
        <v>86</v>
      </c>
      <c r="MD28" s="16">
        <v>44364</v>
      </c>
      <c r="ME28" s="103">
        <v>35461602</v>
      </c>
      <c r="MF28" s="104">
        <v>20000000</v>
      </c>
      <c r="MH28" s="55" t="s">
        <v>86</v>
      </c>
      <c r="MI28" s="54"/>
      <c r="MK28" s="16" t="s">
        <v>69</v>
      </c>
      <c r="ML28" s="16">
        <v>44539</v>
      </c>
      <c r="MM28" s="103">
        <v>18858048</v>
      </c>
      <c r="MN28" s="104">
        <v>3000000</v>
      </c>
      <c r="MS28" s="16" t="s">
        <v>76</v>
      </c>
      <c r="MT28" s="16">
        <v>44728</v>
      </c>
      <c r="MU28" s="103">
        <v>42222114</v>
      </c>
      <c r="MV28" s="104">
        <v>20000000</v>
      </c>
      <c r="MX28" s="1">
        <v>2</v>
      </c>
      <c r="MY28" s="1">
        <v>8</v>
      </c>
      <c r="NA28" s="16" t="s">
        <v>34</v>
      </c>
      <c r="NB28" s="16">
        <v>42999</v>
      </c>
      <c r="NC28" s="103">
        <v>69624500</v>
      </c>
      <c r="ND28" s="104">
        <v>50000000</v>
      </c>
      <c r="NF28" s="55" t="s">
        <v>87</v>
      </c>
      <c r="NG28" s="54"/>
      <c r="NH28"/>
      <c r="NN28" s="106"/>
      <c r="NP28" s="16" t="s">
        <v>33</v>
      </c>
      <c r="NQ28" s="16">
        <v>43370</v>
      </c>
      <c r="NR28" s="103">
        <v>12930786</v>
      </c>
      <c r="NS28" s="104">
        <v>3000000</v>
      </c>
      <c r="NU28" s="1">
        <v>9</v>
      </c>
      <c r="NV28" s="1">
        <v>100</v>
      </c>
      <c r="OC28" s="106"/>
    </row>
    <row r="29" spans="2:393" x14ac:dyDescent="0.25">
      <c r="B29" s="5"/>
      <c r="C29" s="5"/>
      <c r="D29" s="5"/>
      <c r="F29" s="5" t="s">
        <v>76</v>
      </c>
      <c r="G29" s="51">
        <f t="shared" si="99"/>
        <v>44562</v>
      </c>
      <c r="H29" s="51">
        <f t="shared" si="100"/>
        <v>44742</v>
      </c>
      <c r="I29" s="50">
        <f t="shared" si="98"/>
        <v>26</v>
      </c>
      <c r="K29" s="7">
        <v>25</v>
      </c>
      <c r="M29" s="5" t="str" cm="1">
        <f t="array" ref="M29">LOOKUP(2,1/($G$19:$G$35&lt;=$V29)/($H$19:$H$35&gt;=$V29),$F$19:$F$35)</f>
        <v>2H17</v>
      </c>
      <c r="N29" s="5" t="str" cm="1">
        <f t="array" ref="N29">LOOKUP(2,1/($G$8:$G$16&lt;=$V29)/($H$8:$H$16&gt;=$V29),$F$8:$F$16)</f>
        <v>FY17</v>
      </c>
      <c r="O29" s="5" t="str">
        <f>IFERROR(N29&amp;"-"&amp;COUNTIF($N$19:N29,N29),NA())</f>
        <v>FY17-11</v>
      </c>
      <c r="P29" s="5">
        <f>COUNTIF(V$19:V29,"&gt;="&amp;MAX($V:$V)-183)</f>
        <v>0</v>
      </c>
      <c r="Q29" s="5">
        <f>COUNTIF(V$19:V29,"&gt;="&amp;MAX($V:$V)-365)</f>
        <v>0</v>
      </c>
      <c r="R29" s="5" cm="1">
        <f t="array" ref="R29">LOOKUP(2,1/($G$46:$G$50&lt;=$V29)/($H$46:$H$50&gt;=$V29),$F$46:$F$50)</f>
        <v>0</v>
      </c>
      <c r="S29" s="5" cm="1">
        <f t="array" ref="S29">LOOKUP(2,1/($G$53:$G$56&lt;=$V29)/($H$53:$H$56&gt;=$V29),$F$53:$F$56)</f>
        <v>0</v>
      </c>
      <c r="T29" s="5" t="e">
        <f>IFERROR(IF($R29&gt;0,$R29&amp;"-"&amp;COUNTIF($R$19:$R29,$R29),NA()),NA())</f>
        <v>#N/A</v>
      </c>
      <c r="U29" s="5" t="e">
        <f>IFERROR(IF($S29&gt;0,$S29&amp;"-"&amp;COUNTIF($S$19:$S29,$S29),NA()),NA())</f>
        <v>#N/A</v>
      </c>
      <c r="V29" s="10">
        <v>42908</v>
      </c>
      <c r="W29" s="101">
        <v>12838852.497843711</v>
      </c>
      <c r="X29" s="101">
        <v>11927935.913121698</v>
      </c>
      <c r="Y29" s="102">
        <v>3000000</v>
      </c>
      <c r="AA29" s="48">
        <f t="shared" si="44"/>
        <v>25</v>
      </c>
      <c r="AB29" s="12">
        <f t="shared" si="0"/>
        <v>45190</v>
      </c>
      <c r="AC29" s="103">
        <f t="shared" si="1"/>
        <v>41746812.901819773</v>
      </c>
      <c r="AD29" s="104">
        <f t="shared" si="2"/>
        <v>20000000</v>
      </c>
      <c r="AF29" s="52" t="s">
        <v>42</v>
      </c>
      <c r="AG29" s="52" t="s">
        <v>41</v>
      </c>
      <c r="AI29" s="2" t="s">
        <v>41</v>
      </c>
      <c r="AJ29" s="2" t="s">
        <v>25</v>
      </c>
      <c r="AN29" s="106"/>
      <c r="AO29" s="106"/>
      <c r="AP29" s="2" t="s">
        <v>41</v>
      </c>
      <c r="AQ29" s="2" t="s">
        <v>25</v>
      </c>
      <c r="AU29" s="106"/>
      <c r="AW29" s="48">
        <f t="shared" si="45"/>
        <v>25</v>
      </c>
      <c r="AX29" s="12">
        <f t="shared" si="4"/>
        <v>45008</v>
      </c>
      <c r="AY29" s="103">
        <f t="shared" si="5"/>
        <v>25902576.588628761</v>
      </c>
      <c r="AZ29" s="104">
        <f t="shared" si="6"/>
        <v>8000000</v>
      </c>
      <c r="BF29" s="2" t="s">
        <v>41</v>
      </c>
      <c r="BG29" s="2" t="s">
        <v>25</v>
      </c>
      <c r="BK29" s="106"/>
      <c r="BL29" s="106"/>
      <c r="BM29" s="2" t="s">
        <v>41</v>
      </c>
      <c r="BN29" s="2" t="s">
        <v>25</v>
      </c>
      <c r="BR29" s="106"/>
      <c r="BT29" s="48" t="e">
        <f t="shared" si="8"/>
        <v>#N/A</v>
      </c>
      <c r="BU29" s="12" t="e">
        <f t="shared" si="9"/>
        <v>#N/A</v>
      </c>
      <c r="BV29" s="103" t="e">
        <f t="shared" si="10"/>
        <v>#N/A</v>
      </c>
      <c r="BW29" s="104" t="e">
        <f t="shared" si="11"/>
        <v>#N/A</v>
      </c>
      <c r="CB29" s="2" t="s">
        <v>41</v>
      </c>
      <c r="CC29" s="2" t="s">
        <v>25</v>
      </c>
      <c r="CG29" s="106"/>
      <c r="CH29" s="106"/>
      <c r="CI29" s="48" t="e">
        <f t="shared" si="12"/>
        <v>#N/A</v>
      </c>
      <c r="CJ29" s="12" t="e">
        <f t="shared" si="13"/>
        <v>#N/A</v>
      </c>
      <c r="CK29" s="105" t="e">
        <f t="shared" si="14"/>
        <v>#N/A</v>
      </c>
      <c r="CL29" s="105" t="e">
        <f t="shared" si="15"/>
        <v>#N/A</v>
      </c>
      <c r="CN29" s="61">
        <f t="shared" si="102"/>
        <v>6.4269482250826737E-2</v>
      </c>
      <c r="CQ29" s="2" t="s">
        <v>41</v>
      </c>
      <c r="CR29" s="2" t="s">
        <v>25</v>
      </c>
      <c r="CV29" s="106"/>
      <c r="CX29" s="48" t="e">
        <f t="shared" si="16"/>
        <v>#N/A</v>
      </c>
      <c r="CY29" s="12" t="e">
        <f t="shared" si="17"/>
        <v>#N/A</v>
      </c>
      <c r="CZ29" s="103" t="e">
        <f t="shared" si="18"/>
        <v>#N/A</v>
      </c>
      <c r="DA29" s="104" t="e">
        <f t="shared" si="19"/>
        <v>#N/A</v>
      </c>
      <c r="DF29" s="2" t="s">
        <v>41</v>
      </c>
      <c r="DG29" s="2" t="s">
        <v>25</v>
      </c>
      <c r="DK29" s="106"/>
      <c r="DL29" s="106"/>
      <c r="DM29" s="48" t="e">
        <f t="shared" si="20"/>
        <v>#N/A</v>
      </c>
      <c r="DN29" s="12" t="e">
        <f t="shared" si="21"/>
        <v>#N/A</v>
      </c>
      <c r="DO29" s="103" t="e">
        <f t="shared" si="22"/>
        <v>#N/A</v>
      </c>
      <c r="DP29" s="104" t="e">
        <f t="shared" si="23"/>
        <v>#N/A</v>
      </c>
      <c r="DR29" s="61">
        <f t="shared" si="103"/>
        <v>0.29616329856999157</v>
      </c>
      <c r="DU29" s="2" t="s">
        <v>41</v>
      </c>
      <c r="DV29" s="2" t="s">
        <v>25</v>
      </c>
      <c r="DZ29" s="106"/>
      <c r="EA29" s="106"/>
      <c r="EB29" s="2" t="s">
        <v>41</v>
      </c>
      <c r="EC29" s="2" t="s">
        <v>25</v>
      </c>
      <c r="EG29" s="106"/>
      <c r="EH29" s="106"/>
      <c r="EI29" s="47" t="str">
        <f t="shared" si="25"/>
        <v>FY18-25</v>
      </c>
      <c r="EJ29" s="16">
        <v>43090</v>
      </c>
      <c r="EK29" s="103">
        <v>23423034.712782472</v>
      </c>
      <c r="EL29" s="104">
        <f t="shared" si="26"/>
        <v>15000000</v>
      </c>
      <c r="EN29" s="104">
        <v>50000000</v>
      </c>
      <c r="EO29" s="1">
        <f t="shared" si="101"/>
        <v>1</v>
      </c>
      <c r="EQ29" s="2" t="s">
        <v>41</v>
      </c>
      <c r="ER29" s="2" t="s">
        <v>25</v>
      </c>
      <c r="EU29" s="106"/>
      <c r="EV29" s="106"/>
      <c r="EW29" s="106"/>
      <c r="EX29" s="16" t="s">
        <v>33</v>
      </c>
      <c r="EY29" s="16">
        <v>43454</v>
      </c>
      <c r="EZ29" s="103">
        <v>32972327.018436104</v>
      </c>
      <c r="FA29" s="104">
        <v>25000000</v>
      </c>
      <c r="FF29" s="2" t="s">
        <v>41</v>
      </c>
      <c r="FG29" s="2" t="s">
        <v>25</v>
      </c>
      <c r="FK29" s="106"/>
      <c r="FL29" s="106"/>
      <c r="FM29" s="2" t="s">
        <v>41</v>
      </c>
      <c r="FN29" s="2" t="s">
        <v>25</v>
      </c>
      <c r="FR29" s="106"/>
      <c r="FS29" s="106"/>
      <c r="FT29" s="16" t="s">
        <v>39</v>
      </c>
      <c r="FU29" s="16">
        <v>43818</v>
      </c>
      <c r="FV29" s="103">
        <v>25742781.855312832</v>
      </c>
      <c r="FW29" s="104">
        <v>15000000</v>
      </c>
      <c r="FY29" s="1">
        <v>8</v>
      </c>
      <c r="FZ29" s="1">
        <v>100</v>
      </c>
      <c r="GB29" s="2" t="s">
        <v>41</v>
      </c>
      <c r="GC29" s="2" t="s">
        <v>25</v>
      </c>
      <c r="GG29" s="106"/>
      <c r="GH29" s="106"/>
      <c r="GI29" s="2" t="s">
        <v>41</v>
      </c>
      <c r="GJ29" s="2" t="s">
        <v>25</v>
      </c>
      <c r="GN29" s="106"/>
      <c r="GO29" s="106"/>
      <c r="GP29" s="16" t="s">
        <v>38</v>
      </c>
      <c r="GQ29" s="16">
        <v>44182</v>
      </c>
      <c r="GR29" s="103">
        <v>40397165.825478874</v>
      </c>
      <c r="GS29" s="104">
        <v>20000000</v>
      </c>
      <c r="GU29" s="52" t="s">
        <v>42</v>
      </c>
      <c r="GV29" s="52" t="s">
        <v>41</v>
      </c>
      <c r="GX29" s="2" t="s">
        <v>41</v>
      </c>
      <c r="GY29" s="2" t="s">
        <v>25</v>
      </c>
      <c r="HC29" s="106"/>
      <c r="HD29" s="106"/>
      <c r="HE29" s="16" t="s">
        <v>35</v>
      </c>
      <c r="HF29" s="16">
        <v>44546</v>
      </c>
      <c r="HG29" s="103">
        <v>26709691.456369717</v>
      </c>
      <c r="HH29" s="104">
        <v>8000000</v>
      </c>
      <c r="HJ29" s="1">
        <v>2</v>
      </c>
      <c r="HK29" s="1">
        <v>8</v>
      </c>
      <c r="HM29" s="2" t="s">
        <v>41</v>
      </c>
      <c r="HN29" s="2" t="s">
        <v>25</v>
      </c>
      <c r="HR29" s="106"/>
      <c r="HS29" s="106"/>
      <c r="HT29" s="2" t="s">
        <v>41</v>
      </c>
      <c r="HU29" s="2" t="s">
        <v>25</v>
      </c>
      <c r="HY29" s="106"/>
      <c r="HZ29" s="106"/>
      <c r="IA29" s="16" t="s">
        <v>37</v>
      </c>
      <c r="IB29" s="16">
        <v>44917</v>
      </c>
      <c r="IC29" s="103">
        <v>75733957.798723027</v>
      </c>
      <c r="ID29" s="104">
        <v>50000000</v>
      </c>
      <c r="IF29" s="1">
        <v>1</v>
      </c>
      <c r="IG29" s="1">
        <v>4</v>
      </c>
      <c r="II29" s="2" t="s">
        <v>41</v>
      </c>
      <c r="IJ29" s="2" t="s">
        <v>25</v>
      </c>
      <c r="IN29" s="106"/>
      <c r="IO29" s="106"/>
      <c r="IP29" s="2" t="s">
        <v>41</v>
      </c>
      <c r="IQ29" s="2" t="s">
        <v>25</v>
      </c>
      <c r="IU29" s="106"/>
      <c r="IV29" s="106"/>
      <c r="IW29" s="16" t="s">
        <v>169</v>
      </c>
      <c r="IX29" s="12">
        <v>44182</v>
      </c>
      <c r="IY29" s="103">
        <v>40397165.825478874</v>
      </c>
      <c r="IZ29" s="104">
        <v>20000000</v>
      </c>
      <c r="JB29" s="1">
        <v>1</v>
      </c>
      <c r="JC29" s="1">
        <v>4</v>
      </c>
      <c r="JE29" s="2" t="s">
        <v>41</v>
      </c>
      <c r="JF29" s="2" t="s">
        <v>25</v>
      </c>
      <c r="JL29" s="106"/>
      <c r="JM29" s="106"/>
      <c r="JN29" s="2" t="s">
        <v>41</v>
      </c>
      <c r="JO29" s="2" t="s">
        <v>25</v>
      </c>
      <c r="JW29" s="106"/>
      <c r="JX29" s="106"/>
      <c r="JY29" s="16" t="s">
        <v>83</v>
      </c>
      <c r="JZ29" s="16">
        <v>43090</v>
      </c>
      <c r="KA29" s="103">
        <v>23347610</v>
      </c>
      <c r="KB29" s="104">
        <v>15000000</v>
      </c>
      <c r="KG29" s="46" t="s">
        <v>82</v>
      </c>
      <c r="KH29" s="46">
        <v>43272</v>
      </c>
      <c r="KI29" s="107">
        <v>11013750</v>
      </c>
      <c r="KJ29" s="108">
        <v>3000000</v>
      </c>
      <c r="KL29" s="52" t="s">
        <v>42</v>
      </c>
      <c r="KM29" s="52" t="s">
        <v>41</v>
      </c>
      <c r="KO29" s="16" t="s">
        <v>81</v>
      </c>
      <c r="KP29" s="16">
        <v>43454</v>
      </c>
      <c r="KQ29" s="103">
        <v>32226612</v>
      </c>
      <c r="KR29" s="104">
        <v>25000000</v>
      </c>
      <c r="KW29" s="16" t="s">
        <v>79</v>
      </c>
      <c r="KX29" s="16">
        <v>43636</v>
      </c>
      <c r="KY29" s="103">
        <v>29148900</v>
      </c>
      <c r="KZ29" s="104">
        <v>30000000</v>
      </c>
      <c r="LE29" s="16" t="s">
        <v>78</v>
      </c>
      <c r="LF29" s="16">
        <v>43818</v>
      </c>
      <c r="LG29" s="103">
        <v>25968888</v>
      </c>
      <c r="LH29" s="104">
        <v>15000000</v>
      </c>
      <c r="LJ29" s="1">
        <v>8</v>
      </c>
      <c r="LK29" s="1">
        <v>100</v>
      </c>
      <c r="LM29" s="16" t="s">
        <v>77</v>
      </c>
      <c r="LN29" s="16">
        <v>44000</v>
      </c>
      <c r="LO29" s="103">
        <v>30338154</v>
      </c>
      <c r="LP29" s="104">
        <v>15000000</v>
      </c>
      <c r="LU29" s="16" t="s">
        <v>70</v>
      </c>
      <c r="LV29" s="16">
        <v>44182</v>
      </c>
      <c r="LW29" s="103">
        <v>42468030</v>
      </c>
      <c r="LX29" s="104">
        <v>20000000</v>
      </c>
      <c r="MC29" s="16" t="s">
        <v>86</v>
      </c>
      <c r="MD29" s="16">
        <v>44371</v>
      </c>
      <c r="ME29" s="103">
        <v>54940182</v>
      </c>
      <c r="MF29" s="104">
        <v>40000000</v>
      </c>
      <c r="MH29" s="52" t="s">
        <v>42</v>
      </c>
      <c r="MI29" s="52" t="s">
        <v>41</v>
      </c>
      <c r="MK29" s="16" t="s">
        <v>69</v>
      </c>
      <c r="ML29" s="16">
        <v>44546</v>
      </c>
      <c r="MM29" s="103">
        <v>25826988</v>
      </c>
      <c r="MN29" s="104">
        <v>8000000</v>
      </c>
      <c r="MS29" s="16" t="s">
        <v>76</v>
      </c>
      <c r="MT29" s="16">
        <v>44735</v>
      </c>
      <c r="MU29" s="103">
        <v>59448576</v>
      </c>
      <c r="MV29" s="104">
        <v>40000000</v>
      </c>
      <c r="MX29" s="1">
        <v>3</v>
      </c>
      <c r="MY29" s="1">
        <v>20</v>
      </c>
      <c r="NA29" s="16" t="s">
        <v>34</v>
      </c>
      <c r="NB29" s="16">
        <v>43006</v>
      </c>
      <c r="NC29" s="103">
        <v>14266890</v>
      </c>
      <c r="ND29" s="104">
        <v>3000000</v>
      </c>
      <c r="NF29" s="52" t="s">
        <v>42</v>
      </c>
      <c r="NG29" s="52" t="s">
        <v>41</v>
      </c>
      <c r="NH29"/>
      <c r="NI29" s="2" t="s">
        <v>41</v>
      </c>
      <c r="NJ29" s="2" t="s">
        <v>25</v>
      </c>
      <c r="NN29" s="106"/>
      <c r="NP29" s="16" t="s">
        <v>33</v>
      </c>
      <c r="NQ29" s="16">
        <v>43377</v>
      </c>
      <c r="NR29" s="103">
        <v>18459936</v>
      </c>
      <c r="NS29" s="104">
        <v>8000000</v>
      </c>
      <c r="NX29" s="2" t="s">
        <v>41</v>
      </c>
      <c r="NY29" s="2" t="s">
        <v>25</v>
      </c>
      <c r="OC29" s="106"/>
    </row>
    <row r="30" spans="2:393" x14ac:dyDescent="0.25">
      <c r="B30" s="5"/>
      <c r="C30" s="5"/>
      <c r="D30" s="5"/>
      <c r="F30" s="5" t="s">
        <v>85</v>
      </c>
      <c r="G30" s="51">
        <f t="shared" si="99"/>
        <v>44743</v>
      </c>
      <c r="H30" s="51">
        <f t="shared" si="100"/>
        <v>44926</v>
      </c>
      <c r="I30" s="50">
        <f t="shared" si="98"/>
        <v>26</v>
      </c>
      <c r="K30" s="7">
        <v>26</v>
      </c>
      <c r="M30" s="5" t="str" cm="1">
        <f t="array" ref="M30">LOOKUP(2,1/($G$19:$G$35&lt;=$V30)/($H$19:$H$35&gt;=$V30),$F$19:$F$35)</f>
        <v>2H17</v>
      </c>
      <c r="N30" s="5" t="str" cm="1">
        <f t="array" ref="N30">LOOKUP(2,1/($G$8:$G$16&lt;=$V30)/($H$8:$H$16&gt;=$V30),$F$8:$F$16)</f>
        <v>FY17</v>
      </c>
      <c r="O30" s="5" t="str">
        <f>IFERROR(N30&amp;"-"&amp;COUNTIF($N$19:N30,N30),NA())</f>
        <v>FY17-12</v>
      </c>
      <c r="P30" s="5">
        <f>COUNTIF(V$19:V30,"&gt;="&amp;MAX($V:$V)-183)</f>
        <v>0</v>
      </c>
      <c r="Q30" s="5">
        <f>COUNTIF(V$19:V30,"&gt;="&amp;MAX($V:$V)-365)</f>
        <v>0</v>
      </c>
      <c r="R30" s="5" cm="1">
        <f t="array" ref="R30">LOOKUP(2,1/($G$46:$G$50&lt;=$V30)/($H$46:$H$50&gt;=$V30),$F$46:$F$50)</f>
        <v>0</v>
      </c>
      <c r="S30" s="5" cm="1">
        <f t="array" ref="S30">LOOKUP(2,1/($G$53:$G$56&lt;=$V30)/($H$53:$H$56&gt;=$V30),$F$53:$F$56)</f>
        <v>0</v>
      </c>
      <c r="T30" s="5" t="e">
        <f>IFERROR(IF($R30&gt;0,$R30&amp;"-"&amp;COUNTIF($R$19:$R30,$R30),NA()),NA())</f>
        <v>#N/A</v>
      </c>
      <c r="U30" s="5" t="e">
        <f>IFERROR(IF($S30&gt;0,$S30&amp;"-"&amp;COUNTIF($S$19:$S30,$S30),NA()),NA())</f>
        <v>#N/A</v>
      </c>
      <c r="V30" s="10">
        <v>42915</v>
      </c>
      <c r="W30" s="101">
        <v>17732450.414007243</v>
      </c>
      <c r="X30" s="101">
        <v>16474333.057133427</v>
      </c>
      <c r="Y30" s="102">
        <v>6000000</v>
      </c>
      <c r="AA30" s="48">
        <f t="shared" si="44"/>
        <v>26</v>
      </c>
      <c r="AB30" s="12">
        <f t="shared" si="0"/>
        <v>45197</v>
      </c>
      <c r="AC30" s="103">
        <f t="shared" si="1"/>
        <v>56641298.899422474</v>
      </c>
      <c r="AD30" s="104">
        <f t="shared" si="2"/>
        <v>40000000</v>
      </c>
      <c r="AF30" s="1">
        <v>1</v>
      </c>
      <c r="AG30" s="1">
        <v>8</v>
      </c>
      <c r="AI30" s="40">
        <v>60</v>
      </c>
      <c r="AJ30" s="39">
        <f t="shared" ref="AJ30:AJ44" si="104">($AJ$27*AI30^2+$AK$27*AI30+$AL$27)*1000000</f>
        <v>92387000</v>
      </c>
      <c r="AK30" s="40">
        <v>210</v>
      </c>
      <c r="AL30" s="39">
        <f t="shared" ref="AL30:AL44" si="105">($AJ$27*AK30^2+$AK$27*AK30+$AL$27)*1000000</f>
        <v>443162000</v>
      </c>
      <c r="AN30" s="106"/>
      <c r="AO30" s="106"/>
      <c r="AP30" s="40">
        <v>60</v>
      </c>
      <c r="AQ30" s="39">
        <f t="shared" ref="AQ30:AQ44" si="106">($AQ$27*AP30^2+$AR$27*AP30+$AS$27)*1000000</f>
        <v>79744000.000000015</v>
      </c>
      <c r="AR30" s="40">
        <v>210</v>
      </c>
      <c r="AS30" s="39">
        <f t="shared" ref="AS30:AS44" si="107">($AQ$27*AR30^2+$AR$27*AR30+$AS$27)*1000000</f>
        <v>113569000.00000001</v>
      </c>
      <c r="AU30" s="106"/>
      <c r="AW30" s="48">
        <f t="shared" si="45"/>
        <v>26</v>
      </c>
      <c r="AX30" s="12">
        <f t="shared" si="4"/>
        <v>45015</v>
      </c>
      <c r="AY30" s="103">
        <f t="shared" si="5"/>
        <v>25590152.994831257</v>
      </c>
      <c r="AZ30" s="104">
        <f t="shared" si="6"/>
        <v>8000000</v>
      </c>
      <c r="BB30" s="55" t="s">
        <v>15</v>
      </c>
      <c r="BC30" s="54"/>
      <c r="BD30" s="54"/>
      <c r="BF30" s="40">
        <v>60</v>
      </c>
      <c r="BG30" s="39">
        <f t="shared" ref="BG30:BG44" si="108">($BG$27*BF30^2+$BH$27*BF30+$BI$27)*1000000</f>
        <v>89324000</v>
      </c>
      <c r="BH30" s="40">
        <v>210</v>
      </c>
      <c r="BI30" s="39">
        <f t="shared" ref="BI30:BI44" si="109">($BG$27*BH30^2+$BH$27*BH30+$BI$27)*1000000</f>
        <v>476519000</v>
      </c>
      <c r="BK30" s="106"/>
      <c r="BL30" s="106"/>
      <c r="BM30" s="40">
        <v>60</v>
      </c>
      <c r="BN30" s="39">
        <f t="shared" ref="BN30:BN44" si="110">($BN$27*BM30^2+$BO$27*BM30+$BP$27)*1000000</f>
        <v>85620000</v>
      </c>
      <c r="BO30" s="40">
        <v>210</v>
      </c>
      <c r="BP30" s="39">
        <f t="shared" ref="BP30:BP44" si="111">($BN$27*BO30^2+$BO$27*BO30+$BP$27)*1000000</f>
        <v>345840000</v>
      </c>
      <c r="BR30" s="106"/>
      <c r="BT30" s="48" t="e">
        <f t="shared" si="8"/>
        <v>#N/A</v>
      </c>
      <c r="BU30" s="12" t="e">
        <f t="shared" si="9"/>
        <v>#N/A</v>
      </c>
      <c r="BV30" s="103" t="e">
        <f t="shared" si="10"/>
        <v>#N/A</v>
      </c>
      <c r="BW30" s="104" t="e">
        <f t="shared" si="11"/>
        <v>#N/A</v>
      </c>
      <c r="CB30" s="40">
        <v>60</v>
      </c>
      <c r="CC30" s="39">
        <f t="shared" ref="CC30:CC44" si="112">($CC$27*CB30^2+$CD$27*CB30+$CE$27)*1000000</f>
        <v>85381999.999999985</v>
      </c>
      <c r="CD30" s="40">
        <v>210</v>
      </c>
      <c r="CE30" s="39">
        <f t="shared" ref="CE30:CE44" si="113">($CC$27*CD30^2+$CD$27*CD30+$CE$27)*1000000</f>
        <v>140177000</v>
      </c>
      <c r="CG30" s="106"/>
      <c r="CH30" s="106"/>
      <c r="CI30" s="48" t="e">
        <f t="shared" si="12"/>
        <v>#N/A</v>
      </c>
      <c r="CJ30" s="12" t="e">
        <f t="shared" si="13"/>
        <v>#N/A</v>
      </c>
      <c r="CK30" s="105" t="e">
        <f t="shared" si="14"/>
        <v>#N/A</v>
      </c>
      <c r="CL30" s="105" t="e">
        <f t="shared" si="15"/>
        <v>#N/A</v>
      </c>
      <c r="CN30" s="61">
        <f t="shared" si="102"/>
        <v>6.2562465504124587E-2</v>
      </c>
      <c r="CQ30" s="40">
        <v>60</v>
      </c>
      <c r="CR30" s="39">
        <f t="shared" ref="CR30:CR44" si="114">($CR$27*CQ30^2+$CS$27*CQ30+$CT$27)*1000000</f>
        <v>85381999.999999985</v>
      </c>
      <c r="CS30" s="40">
        <v>210</v>
      </c>
      <c r="CT30" s="39">
        <f t="shared" ref="CT30:CT44" si="115">($CR$27*CS30^2+$CS$27*CS30+$CT$27)*1000000</f>
        <v>140177000</v>
      </c>
      <c r="CV30" s="106"/>
      <c r="CX30" s="48" t="e">
        <f t="shared" si="16"/>
        <v>#N/A</v>
      </c>
      <c r="CY30" s="12" t="e">
        <f t="shared" si="17"/>
        <v>#N/A</v>
      </c>
      <c r="CZ30" s="103" t="e">
        <f t="shared" si="18"/>
        <v>#N/A</v>
      </c>
      <c r="DA30" s="104" t="e">
        <f t="shared" si="19"/>
        <v>#N/A</v>
      </c>
      <c r="DF30" s="40">
        <v>60</v>
      </c>
      <c r="DG30" s="39">
        <f t="shared" ref="DG30:DG44" si="116">($DG$27*DF30^2+$DH$27*DF30+$DI$27)*1000000</f>
        <v>85381999.999999985</v>
      </c>
      <c r="DH30" s="40">
        <v>210</v>
      </c>
      <c r="DI30" s="39">
        <f t="shared" ref="DI30:DI44" si="117">($DG$27*DH30^2+$DH$27*DH30+$DI$27)*1000000</f>
        <v>140177000</v>
      </c>
      <c r="DK30" s="106"/>
      <c r="DL30" s="106"/>
      <c r="DM30" s="48" t="e">
        <f t="shared" si="20"/>
        <v>#N/A</v>
      </c>
      <c r="DN30" s="12" t="e">
        <f t="shared" si="21"/>
        <v>#N/A</v>
      </c>
      <c r="DO30" s="103" t="e">
        <f t="shared" si="22"/>
        <v>#N/A</v>
      </c>
      <c r="DP30" s="104" t="e">
        <f t="shared" si="23"/>
        <v>#N/A</v>
      </c>
      <c r="DR30" s="61">
        <f t="shared" si="103"/>
        <v>0.29891492955139642</v>
      </c>
      <c r="DU30" s="40">
        <v>60</v>
      </c>
      <c r="DV30" s="39">
        <f t="shared" ref="DV30:DV44" si="118">($CR$27*DU30^2+$CS$27*DU30+$CT$27)*1000000</f>
        <v>85381999.999999985</v>
      </c>
      <c r="DW30" s="40">
        <v>210</v>
      </c>
      <c r="DX30" s="39">
        <f t="shared" ref="DX30:DX44" si="119">($CR$27*DW30^2+$CS$27*DW30+$CT$27)*1000000</f>
        <v>140177000</v>
      </c>
      <c r="DZ30" s="106"/>
      <c r="EA30" s="106"/>
      <c r="EB30" s="40">
        <v>60</v>
      </c>
      <c r="EC30" s="39">
        <f t="shared" ref="EC30:EC44" si="120">($GJ$27*EB30^2+$GK$27*EB30+$GL$27)*1000000</f>
        <v>62841000</v>
      </c>
      <c r="ED30" s="40">
        <v>210</v>
      </c>
      <c r="EE30" s="39">
        <f t="shared" ref="EE30:EE44" si="121">($GJ$27*ED30^2+$GK$27*ED30+$GL$27)*1000000</f>
        <v>140076000</v>
      </c>
      <c r="EG30" s="106"/>
      <c r="EH30" s="106"/>
      <c r="EI30" s="47" t="str">
        <f t="shared" si="25"/>
        <v>FY18-26</v>
      </c>
      <c r="EJ30" s="16">
        <v>43097</v>
      </c>
      <c r="EK30" s="103">
        <v>27652624.450577881</v>
      </c>
      <c r="EL30" s="104">
        <f t="shared" si="26"/>
        <v>25000000</v>
      </c>
      <c r="EN30" s="104">
        <v>55000000</v>
      </c>
      <c r="EO30" s="1">
        <f t="shared" si="101"/>
        <v>1</v>
      </c>
      <c r="EQ30" s="40">
        <v>60</v>
      </c>
      <c r="ER30" s="39">
        <f t="shared" ref="ER30:ER44" si="122">($ER$27*EQ30^2+$ES$27*EQ30+$ET$27)*1000000</f>
        <v>81674000</v>
      </c>
      <c r="ES30" s="40">
        <v>210</v>
      </c>
      <c r="ET30" s="39">
        <f t="shared" ref="ET30:ET44" si="123">($ER$27*ES30^2+$ES$27*ES30+$ET$27)*1000000</f>
        <v>511109000</v>
      </c>
      <c r="EU30" s="106"/>
      <c r="EV30" s="106"/>
      <c r="EW30" s="106"/>
      <c r="EX30" s="16" t="s">
        <v>33</v>
      </c>
      <c r="EY30" s="16">
        <v>43461</v>
      </c>
      <c r="EZ30" s="103">
        <v>36354827.972027965</v>
      </c>
      <c r="FA30" s="104">
        <v>30000000</v>
      </c>
      <c r="FC30" s="1" t="s">
        <v>84</v>
      </c>
      <c r="FF30" s="40">
        <v>60</v>
      </c>
      <c r="FG30" s="39">
        <f t="shared" ref="FG30:FG44" si="124">($FG$27*FF30^2+$FH$27*FF30+$FI$27)*1000000</f>
        <v>73377000</v>
      </c>
      <c r="FH30" s="40">
        <v>210</v>
      </c>
      <c r="FI30" s="39">
        <f t="shared" ref="FI30:FI44" si="125">($FG$27*FH30^2+$FH$27*FH30+$FI$27)*1000000</f>
        <v>614426999.99999988</v>
      </c>
      <c r="FK30" s="106"/>
      <c r="FL30" s="106"/>
      <c r="FM30" s="40">
        <v>60</v>
      </c>
      <c r="FN30" s="39">
        <f t="shared" ref="FN30:FN44" si="126">($FN$27*FM30^2+$FO$27*FM30+$FP$27)*1000000</f>
        <v>69437000</v>
      </c>
      <c r="FO30" s="40">
        <v>210</v>
      </c>
      <c r="FP30" s="39">
        <f t="shared" ref="FP30:FP44" si="127">($FN$27*FO30^2+$FO$27*FO30+$FP$27)*1000000</f>
        <v>427592000.00000006</v>
      </c>
      <c r="FR30" s="106"/>
      <c r="FS30" s="106"/>
      <c r="FT30" s="16" t="s">
        <v>39</v>
      </c>
      <c r="FU30" s="16">
        <v>43825</v>
      </c>
      <c r="FV30" s="103">
        <v>25073378.303112816</v>
      </c>
      <c r="FW30" s="104">
        <v>20000000</v>
      </c>
      <c r="FY30" s="1">
        <v>9</v>
      </c>
      <c r="FZ30" s="1">
        <v>150</v>
      </c>
      <c r="GB30" s="40">
        <v>60</v>
      </c>
      <c r="GC30" s="39">
        <f t="shared" ref="GC30:GC44" si="128">($GC$27*GB30^2+$GD$27*GB30+$GE$27)*1000000</f>
        <v>64828000</v>
      </c>
      <c r="GD30" s="40">
        <v>210</v>
      </c>
      <c r="GE30" s="39">
        <f t="shared" ref="GE30:GE44" si="129">($GC$27*GD30^2+$GD$27*GD30+$GE$27)*1000000</f>
        <v>346842999.99999994</v>
      </c>
      <c r="GG30" s="106"/>
      <c r="GH30" s="106"/>
      <c r="GI30" s="40">
        <v>60</v>
      </c>
      <c r="GJ30" s="39">
        <f t="shared" ref="GJ30:GJ44" si="130">($GJ$27*GI30^2+$GK$27*GI30+$GL$27)*1000000</f>
        <v>62841000</v>
      </c>
      <c r="GK30" s="40">
        <v>210</v>
      </c>
      <c r="GL30" s="39">
        <f t="shared" ref="GL30:GL44" si="131">($GJ$27*GK30^2+$GK$27*GK30+$GL$27)*1000000</f>
        <v>140076000</v>
      </c>
      <c r="GN30" s="106"/>
      <c r="GO30" s="106"/>
      <c r="GP30" s="16" t="s">
        <v>38</v>
      </c>
      <c r="GQ30" s="16">
        <v>44189</v>
      </c>
      <c r="GR30" s="103">
        <v>19022130.495591365</v>
      </c>
      <c r="GS30" s="104">
        <v>3000000</v>
      </c>
      <c r="GU30" s="1">
        <v>1</v>
      </c>
      <c r="GV30" s="1">
        <v>8</v>
      </c>
      <c r="GX30" s="40">
        <v>60</v>
      </c>
      <c r="GY30" s="39">
        <f t="shared" ref="GY30:GY44" si="132">($GY$27*GX30^2+$GZ$27*GX30+$HA$27)*1000000</f>
        <v>84583000</v>
      </c>
      <c r="GZ30" s="40">
        <v>210</v>
      </c>
      <c r="HA30" s="39">
        <f t="shared" ref="HA30:HA44" si="133">($GY$27*GZ30^2+$GZ$27*GZ30+$HA$27)*1000000</f>
        <v>328633000</v>
      </c>
      <c r="HC30" s="106"/>
      <c r="HD30" s="106"/>
      <c r="HE30" s="16" t="s">
        <v>35</v>
      </c>
      <c r="HF30" s="16">
        <v>44553</v>
      </c>
      <c r="HG30" s="103">
        <v>40654796.959562175</v>
      </c>
      <c r="HH30" s="104">
        <v>20000000</v>
      </c>
      <c r="HJ30" s="1">
        <v>3</v>
      </c>
      <c r="HK30" s="1">
        <v>20</v>
      </c>
      <c r="HM30" s="40">
        <v>60</v>
      </c>
      <c r="HN30" s="39">
        <f t="shared" ref="HN30:HN44" si="134">($HN$27*HM30^2+$HO$27*HM30+$HP$27)*1000000</f>
        <v>86029000</v>
      </c>
      <c r="HO30" s="40">
        <v>210</v>
      </c>
      <c r="HP30" s="39">
        <f t="shared" ref="HP30:HP44" si="135">($HN$27*HO30^2+$HO$27*HO30+$HP$27)*1000000</f>
        <v>618484000</v>
      </c>
      <c r="HR30" s="106"/>
      <c r="HS30" s="106"/>
      <c r="HT30" s="40">
        <v>60</v>
      </c>
      <c r="HU30" s="39">
        <f t="shared" ref="HU30:HU44" si="136">($HU$27*HT30^2+$HV$27*HT30+$HW$27)*1000000</f>
        <v>83581000</v>
      </c>
      <c r="HV30" s="40">
        <v>210</v>
      </c>
      <c r="HW30" s="39">
        <f t="shared" ref="HW30:HW44" si="137">($HU$27*HV30^2+$HV$27*HV30+$HW$27)*1000000</f>
        <v>396075999.99999994</v>
      </c>
      <c r="HY30" s="106"/>
      <c r="HZ30" s="106"/>
      <c r="IA30" s="16" t="s">
        <v>37</v>
      </c>
      <c r="IB30" s="16">
        <v>44924</v>
      </c>
      <c r="IC30" s="103">
        <v>137554844.39039224</v>
      </c>
      <c r="ID30" s="104">
        <v>100000000</v>
      </c>
      <c r="IF30" s="1">
        <v>2</v>
      </c>
      <c r="IG30" s="1">
        <v>8</v>
      </c>
      <c r="II30" s="40">
        <v>60</v>
      </c>
      <c r="IJ30" s="39">
        <f t="shared" ref="IJ30:IJ44" si="138">($IJ$27*II30^2+$IK$27*II30+$IL$27)*1000000</f>
        <v>91234000</v>
      </c>
      <c r="IK30" s="40">
        <v>210</v>
      </c>
      <c r="IL30" s="39">
        <f t="shared" ref="IL30:IL44" si="139">($IJ$27*IK30^2+$IK$27*IK30+$IL$27)*1000000</f>
        <v>417033999.99999994</v>
      </c>
      <c r="IN30" s="106"/>
      <c r="IO30" s="106"/>
      <c r="IP30" s="40">
        <v>60</v>
      </c>
      <c r="IQ30" s="39">
        <f t="shared" ref="IQ30:IQ44" si="140">($IQ$27*IP30^2+$IR$27*IP30+$IS$27)*1000000</f>
        <v>83587000</v>
      </c>
      <c r="IR30" s="40">
        <v>210</v>
      </c>
      <c r="IS30" s="39">
        <f t="shared" ref="IS30:IS44" si="141">($IQ$27*IR30^2+$IR$27*IR30+$IS$27)*1000000</f>
        <v>205072000</v>
      </c>
      <c r="IU30" s="106"/>
      <c r="IV30" s="106"/>
      <c r="IW30" s="16" t="s">
        <v>169</v>
      </c>
      <c r="IX30" s="12">
        <v>44189</v>
      </c>
      <c r="IY30" s="103">
        <v>19022130.495591365</v>
      </c>
      <c r="IZ30" s="104">
        <v>3000000</v>
      </c>
      <c r="JB30" s="1">
        <v>2</v>
      </c>
      <c r="JC30" s="1">
        <v>8</v>
      </c>
      <c r="JE30" s="40">
        <v>60</v>
      </c>
      <c r="JF30" s="39">
        <f t="shared" ref="JF30:JF44" si="142">($IJ$27*JE30^2+$IK$27*JE30+$IL$27)*1000000</f>
        <v>91234000</v>
      </c>
      <c r="JG30" s="40">
        <v>210</v>
      </c>
      <c r="JH30" s="39">
        <f t="shared" ref="JH30:JH44" si="143">($IJ$27*JG30^2+$IK$27*JG30+$IL$27)*1000000</f>
        <v>417033999.99999994</v>
      </c>
      <c r="JI30" s="39"/>
      <c r="JJ30" s="39"/>
      <c r="JL30" s="106"/>
      <c r="JM30" s="106"/>
      <c r="JN30" s="40">
        <v>60</v>
      </c>
      <c r="JO30" s="39">
        <f t="shared" ref="JO30:JO44" si="144">($IQ$27*JN30^2+$IR$27*JN30+$IS$27)*1000000</f>
        <v>83587000</v>
      </c>
      <c r="JP30" s="40">
        <v>210</v>
      </c>
      <c r="JQ30" s="39">
        <f t="shared" ref="JQ30:JQ44" si="145">($IQ$27*JP30^2+$IR$27*JP30+$IS$27)*1000000</f>
        <v>205072000</v>
      </c>
      <c r="JR30" s="39"/>
      <c r="JS30" s="39"/>
      <c r="JT30" s="39"/>
      <c r="JU30" s="39"/>
      <c r="JW30" s="106"/>
      <c r="JX30" s="106"/>
      <c r="JY30" s="16" t="s">
        <v>83</v>
      </c>
      <c r="JZ30" s="16">
        <v>43097</v>
      </c>
      <c r="KA30" s="103">
        <v>27563580</v>
      </c>
      <c r="KB30" s="104">
        <v>25000000</v>
      </c>
      <c r="KG30" s="46" t="s">
        <v>82</v>
      </c>
      <c r="KH30" s="46">
        <v>43279</v>
      </c>
      <c r="KI30" s="107">
        <v>16538214</v>
      </c>
      <c r="KJ30" s="108">
        <v>8000000</v>
      </c>
      <c r="KL30" s="1">
        <v>1</v>
      </c>
      <c r="KM30" s="1">
        <v>3</v>
      </c>
      <c r="KO30" s="16" t="s">
        <v>81</v>
      </c>
      <c r="KP30" s="16">
        <v>43461</v>
      </c>
      <c r="KQ30" s="103">
        <v>36357684</v>
      </c>
      <c r="KR30" s="104">
        <v>30000000</v>
      </c>
      <c r="KT30" s="1" t="s">
        <v>80</v>
      </c>
      <c r="KW30" s="16" t="s">
        <v>79</v>
      </c>
      <c r="KX30" s="16">
        <v>43643</v>
      </c>
      <c r="KY30" s="103">
        <v>40007352</v>
      </c>
      <c r="KZ30" s="104">
        <v>40000000</v>
      </c>
      <c r="LE30" s="16" t="s">
        <v>78</v>
      </c>
      <c r="LF30" s="16">
        <v>43825</v>
      </c>
      <c r="LG30" s="103">
        <v>24814614</v>
      </c>
      <c r="LH30" s="104">
        <v>25000000</v>
      </c>
      <c r="LJ30" s="1">
        <v>9</v>
      </c>
      <c r="LK30" s="1">
        <v>150</v>
      </c>
      <c r="LM30" s="16" t="s">
        <v>77</v>
      </c>
      <c r="LN30" s="16">
        <v>44007</v>
      </c>
      <c r="LO30" s="103">
        <v>48107400</v>
      </c>
      <c r="LP30" s="104">
        <v>30000000</v>
      </c>
      <c r="LU30" s="16" t="s">
        <v>70</v>
      </c>
      <c r="LV30" s="16">
        <v>44189</v>
      </c>
      <c r="LW30" s="103">
        <v>18732384</v>
      </c>
      <c r="LX30" s="104">
        <v>3000000</v>
      </c>
      <c r="MC30" s="16"/>
      <c r="MD30" s="16"/>
      <c r="ME30" s="103"/>
      <c r="MF30" s="104"/>
      <c r="MH30" s="1">
        <v>1</v>
      </c>
      <c r="MI30" s="1">
        <v>3</v>
      </c>
      <c r="MK30" s="16" t="s">
        <v>69</v>
      </c>
      <c r="ML30" s="16">
        <v>44553</v>
      </c>
      <c r="MM30" s="103">
        <v>41911518</v>
      </c>
      <c r="MN30" s="104">
        <v>20000000</v>
      </c>
      <c r="MS30" s="16" t="s">
        <v>76</v>
      </c>
      <c r="MT30" s="16">
        <v>44742</v>
      </c>
      <c r="MU30" s="103">
        <v>77983752</v>
      </c>
      <c r="MV30" s="104">
        <v>60000000</v>
      </c>
      <c r="MX30" s="1">
        <v>4</v>
      </c>
      <c r="MY30" s="1">
        <v>40</v>
      </c>
      <c r="NA30" s="16" t="s">
        <v>34</v>
      </c>
      <c r="NB30" s="16">
        <v>43013</v>
      </c>
      <c r="NC30" s="103">
        <v>17496270</v>
      </c>
      <c r="ND30" s="104">
        <v>6000000</v>
      </c>
      <c r="NF30" s="1">
        <v>1</v>
      </c>
      <c r="NG30" s="1">
        <v>3</v>
      </c>
      <c r="NI30" s="40">
        <v>60</v>
      </c>
      <c r="NJ30" s="39">
        <f t="shared" ref="NJ30:NJ44" si="146">($NJ$27*NI30^2+$NK$27*NI30+$NL$27)*1000000</f>
        <v>79536000</v>
      </c>
      <c r="NK30" s="40">
        <v>210</v>
      </c>
      <c r="NL30" s="39">
        <f t="shared" ref="NL30:NL44" si="147">($NJ$27*NK30^2+$NK$27*NK30+$NL$27)*1000000</f>
        <v>271566000.00000006</v>
      </c>
      <c r="NN30" s="106"/>
      <c r="NP30" s="16" t="s">
        <v>33</v>
      </c>
      <c r="NQ30" s="16">
        <v>43384</v>
      </c>
      <c r="NR30" s="103">
        <v>24480720</v>
      </c>
      <c r="NS30" s="104">
        <v>12000000</v>
      </c>
      <c r="NU30" s="1" t="s">
        <v>75</v>
      </c>
      <c r="NX30" s="40">
        <v>60</v>
      </c>
      <c r="NY30" s="39">
        <f t="shared" ref="NY30:NY44" si="148">($NY$27*NX30^2+$NZ$27*NX30+$OA$27)*1000000</f>
        <v>71541000</v>
      </c>
      <c r="NZ30" s="40">
        <v>210</v>
      </c>
      <c r="OA30" s="39">
        <f t="shared" ref="OA30:OA44" si="149">($NY$27*NZ30^2+$NZ$27*NZ30+$OA$27)*1000000</f>
        <v>580776000.00000012</v>
      </c>
      <c r="OC30" s="106"/>
    </row>
    <row r="31" spans="2:393" x14ac:dyDescent="0.25">
      <c r="B31" s="5"/>
      <c r="C31" s="5"/>
      <c r="D31" s="5"/>
      <c r="F31" s="5" t="s">
        <v>74</v>
      </c>
      <c r="G31" s="51">
        <f t="shared" si="99"/>
        <v>44927</v>
      </c>
      <c r="H31" s="51">
        <f t="shared" si="100"/>
        <v>45107</v>
      </c>
      <c r="I31" s="50">
        <f t="shared" si="98"/>
        <v>26</v>
      </c>
      <c r="K31" s="7">
        <v>27</v>
      </c>
      <c r="M31" s="5" t="str" cm="1">
        <f t="array" ref="M31">LOOKUP(2,1/($G$19:$G$35&lt;=$V31)/($H$19:$H$35&gt;=$V31),$F$19:$F$35)</f>
        <v>1H18</v>
      </c>
      <c r="N31" s="5" t="str" cm="1">
        <f t="array" ref="N31">LOOKUP(2,1/($G$8:$G$16&lt;=$V31)/($H$8:$H$16&gt;=$V31),$F$8:$F$16)</f>
        <v>FY18</v>
      </c>
      <c r="O31" s="5" t="str">
        <f>IFERROR(N31&amp;"-"&amp;COUNTIF($N$19:N31,N31),NA())</f>
        <v>FY18-1</v>
      </c>
      <c r="P31" s="5">
        <f>COUNTIF(V$19:V31,"&gt;="&amp;MAX($V:$V)-183)</f>
        <v>0</v>
      </c>
      <c r="Q31" s="5">
        <f>COUNTIF(V$19:V31,"&gt;="&amp;MAX($V:$V)-365)</f>
        <v>0</v>
      </c>
      <c r="R31" s="5" cm="1">
        <f t="array" ref="R31">LOOKUP(2,1/($G$46:$G$50&lt;=$V31)/($H$46:$H$50&gt;=$V31),$F$46:$F$50)</f>
        <v>0</v>
      </c>
      <c r="S31" s="5" cm="1">
        <f t="array" ref="S31">LOOKUP(2,1/($G$53:$G$56&lt;=$V31)/($H$53:$H$56&gt;=$V31),$F$53:$F$56)</f>
        <v>0</v>
      </c>
      <c r="T31" s="5" t="e">
        <f>IFERROR(IF($R31&gt;0,$R31&amp;"-"&amp;COUNTIF($R$19:$R31,$R31),NA()),NA())</f>
        <v>#N/A</v>
      </c>
      <c r="U31" s="5" t="e">
        <f>IFERROR(IF($S31&gt;0,$S31&amp;"-"&amp;COUNTIF($S$19:$S31,$S31),NA()),NA())</f>
        <v>#N/A</v>
      </c>
      <c r="V31" s="10">
        <v>42922</v>
      </c>
      <c r="W31" s="101">
        <v>14311103.305157838</v>
      </c>
      <c r="X31" s="101">
        <v>13295730.525656888</v>
      </c>
      <c r="Y31" s="102">
        <v>3000000</v>
      </c>
      <c r="AA31" s="48">
        <f t="shared" si="44"/>
        <v>27</v>
      </c>
      <c r="AB31" s="12">
        <f t="shared" si="0"/>
        <v>45204</v>
      </c>
      <c r="AC31" s="103">
        <f t="shared" si="1"/>
        <v>85385106.4618067</v>
      </c>
      <c r="AD31" s="104">
        <f t="shared" si="2"/>
        <v>60000000</v>
      </c>
      <c r="AF31" s="1">
        <v>2</v>
      </c>
      <c r="AG31" s="1">
        <v>20</v>
      </c>
      <c r="AI31" s="40">
        <v>70</v>
      </c>
      <c r="AJ31" s="39">
        <f t="shared" si="104"/>
        <v>108492000.00000001</v>
      </c>
      <c r="AK31" s="40">
        <v>220</v>
      </c>
      <c r="AL31" s="39">
        <f t="shared" si="105"/>
        <v>474866999.99999994</v>
      </c>
      <c r="AN31" s="106"/>
      <c r="AO31" s="106"/>
      <c r="AP31" s="40">
        <v>70</v>
      </c>
      <c r="AQ31" s="39">
        <f t="shared" si="106"/>
        <v>87598999.999999985</v>
      </c>
      <c r="AR31" s="40">
        <v>220</v>
      </c>
      <c r="AS31" s="39">
        <f t="shared" si="107"/>
        <v>109424000.00000003</v>
      </c>
      <c r="AU31" s="106"/>
      <c r="AW31" s="48">
        <f t="shared" si="45"/>
        <v>27</v>
      </c>
      <c r="AX31" s="12">
        <f t="shared" si="4"/>
        <v>45022</v>
      </c>
      <c r="AY31" s="103">
        <f t="shared" si="5"/>
        <v>41047026.208574027</v>
      </c>
      <c r="AZ31" s="104">
        <f t="shared" si="6"/>
        <v>20000000</v>
      </c>
      <c r="BB31" s="52" t="s">
        <v>42</v>
      </c>
      <c r="BC31" s="52" t="s">
        <v>41</v>
      </c>
      <c r="BD31" s="64"/>
      <c r="BF31" s="40">
        <v>70</v>
      </c>
      <c r="BG31" s="39">
        <f t="shared" si="108"/>
        <v>105756999.99999999</v>
      </c>
      <c r="BH31" s="40">
        <v>220</v>
      </c>
      <c r="BI31" s="39">
        <f t="shared" si="109"/>
        <v>513052000</v>
      </c>
      <c r="BK31" s="106"/>
      <c r="BL31" s="106"/>
      <c r="BM31" s="40">
        <v>70</v>
      </c>
      <c r="BN31" s="39">
        <f t="shared" si="110"/>
        <v>98908000</v>
      </c>
      <c r="BO31" s="40">
        <v>220</v>
      </c>
      <c r="BP31" s="39">
        <f t="shared" si="111"/>
        <v>367828000</v>
      </c>
      <c r="BR31" s="106"/>
      <c r="BT31" s="48" t="e">
        <f t="shared" si="8"/>
        <v>#N/A</v>
      </c>
      <c r="BU31" s="12" t="e">
        <f t="shared" si="9"/>
        <v>#N/A</v>
      </c>
      <c r="BV31" s="103" t="e">
        <f t="shared" si="10"/>
        <v>#N/A</v>
      </c>
      <c r="BW31" s="104" t="e">
        <f t="shared" si="11"/>
        <v>#N/A</v>
      </c>
      <c r="CB31" s="40">
        <v>70</v>
      </c>
      <c r="CC31" s="39">
        <f t="shared" si="112"/>
        <v>94494999.999999985</v>
      </c>
      <c r="CD31" s="40">
        <v>220</v>
      </c>
      <c r="CE31" s="39">
        <f t="shared" si="113"/>
        <v>137589999.99999997</v>
      </c>
      <c r="CG31" s="106"/>
      <c r="CH31" s="106"/>
      <c r="CI31" s="48" t="e">
        <f t="shared" si="12"/>
        <v>#N/A</v>
      </c>
      <c r="CJ31" s="12" t="e">
        <f t="shared" si="13"/>
        <v>#N/A</v>
      </c>
      <c r="CK31" s="105" t="e">
        <f t="shared" si="14"/>
        <v>#N/A</v>
      </c>
      <c r="CL31" s="105" t="e">
        <f t="shared" si="15"/>
        <v>#N/A</v>
      </c>
      <c r="CN31" s="61">
        <f t="shared" si="102"/>
        <v>6.1139790092646473E-2</v>
      </c>
      <c r="CQ31" s="40">
        <v>70</v>
      </c>
      <c r="CR31" s="39">
        <f t="shared" si="114"/>
        <v>94494999.999999985</v>
      </c>
      <c r="CS31" s="40">
        <v>220</v>
      </c>
      <c r="CT31" s="39">
        <f t="shared" si="115"/>
        <v>137589999.99999997</v>
      </c>
      <c r="CV31" s="106"/>
      <c r="CX31" s="48" t="e">
        <f t="shared" si="16"/>
        <v>#N/A</v>
      </c>
      <c r="CY31" s="12" t="e">
        <f t="shared" si="17"/>
        <v>#N/A</v>
      </c>
      <c r="CZ31" s="103" t="e">
        <f t="shared" si="18"/>
        <v>#N/A</v>
      </c>
      <c r="DA31" s="104" t="e">
        <f t="shared" si="19"/>
        <v>#N/A</v>
      </c>
      <c r="DF31" s="40">
        <v>70</v>
      </c>
      <c r="DG31" s="39">
        <f t="shared" si="116"/>
        <v>94494999.999999985</v>
      </c>
      <c r="DH31" s="40">
        <v>220</v>
      </c>
      <c r="DI31" s="39">
        <f t="shared" si="117"/>
        <v>137589999.99999997</v>
      </c>
      <c r="DK31" s="106"/>
      <c r="DL31" s="106"/>
      <c r="DM31" s="48" t="e">
        <f t="shared" si="20"/>
        <v>#N/A</v>
      </c>
      <c r="DN31" s="12" t="e">
        <f t="shared" si="21"/>
        <v>#N/A</v>
      </c>
      <c r="DO31" s="103" t="e">
        <f t="shared" si="22"/>
        <v>#N/A</v>
      </c>
      <c r="DP31" s="104" t="e">
        <f t="shared" si="23"/>
        <v>#N/A</v>
      </c>
      <c r="DR31" s="61">
        <f t="shared" si="103"/>
        <v>0.30120494695901945</v>
      </c>
      <c r="DU31" s="40">
        <v>70</v>
      </c>
      <c r="DV31" s="39">
        <f t="shared" si="118"/>
        <v>94494999.999999985</v>
      </c>
      <c r="DW31" s="40">
        <v>220</v>
      </c>
      <c r="DX31" s="39">
        <f t="shared" si="119"/>
        <v>137589999.99999997</v>
      </c>
      <c r="DZ31" s="106"/>
      <c r="EA31" s="106"/>
      <c r="EB31" s="40">
        <v>70</v>
      </c>
      <c r="EC31" s="39">
        <f t="shared" si="120"/>
        <v>69950000</v>
      </c>
      <c r="ED31" s="40">
        <v>220</v>
      </c>
      <c r="EE31" s="39">
        <f t="shared" si="121"/>
        <v>142985000</v>
      </c>
      <c r="EG31" s="106"/>
      <c r="EH31" s="106"/>
      <c r="EI31" s="47" t="str">
        <f t="shared" si="25"/>
        <v>FY18-27</v>
      </c>
      <c r="EJ31" s="16">
        <v>43104</v>
      </c>
      <c r="EK31" s="103">
        <v>46986662.149387613</v>
      </c>
      <c r="EL31" s="104">
        <f t="shared" si="26"/>
        <v>35000000</v>
      </c>
      <c r="EN31" s="104"/>
      <c r="EQ31" s="40">
        <v>70</v>
      </c>
      <c r="ER31" s="39">
        <f t="shared" si="122"/>
        <v>98963000</v>
      </c>
      <c r="ES31" s="40">
        <v>220</v>
      </c>
      <c r="ET31" s="39">
        <f t="shared" si="123"/>
        <v>552698000</v>
      </c>
      <c r="EU31" s="106"/>
      <c r="EV31" s="106"/>
      <c r="EW31" s="106"/>
      <c r="EX31" s="16" t="s">
        <v>33</v>
      </c>
      <c r="EY31" s="16">
        <v>43468</v>
      </c>
      <c r="EZ31" s="103">
        <v>63766761.602034323</v>
      </c>
      <c r="FA31" s="104">
        <v>50000000</v>
      </c>
      <c r="FC31" s="1" t="s">
        <v>73</v>
      </c>
      <c r="FF31" s="40">
        <v>70</v>
      </c>
      <c r="FG31" s="39">
        <f t="shared" si="124"/>
        <v>91807000</v>
      </c>
      <c r="FH31" s="40">
        <v>220</v>
      </c>
      <c r="FI31" s="39">
        <f t="shared" si="125"/>
        <v>670657000</v>
      </c>
      <c r="FK31" s="106"/>
      <c r="FL31" s="106"/>
      <c r="FM31" s="40">
        <v>70</v>
      </c>
      <c r="FN31" s="39">
        <f t="shared" si="126"/>
        <v>83654000.000000015</v>
      </c>
      <c r="FO31" s="40">
        <v>220</v>
      </c>
      <c r="FP31" s="39">
        <f t="shared" si="127"/>
        <v>462509000</v>
      </c>
      <c r="FR31" s="106"/>
      <c r="FS31" s="106"/>
      <c r="FT31" s="16" t="s">
        <v>39</v>
      </c>
      <c r="FU31" s="16">
        <v>43832</v>
      </c>
      <c r="FV31" s="103">
        <v>14302579.986385295</v>
      </c>
      <c r="FW31" s="104">
        <v>3000000</v>
      </c>
      <c r="GB31" s="40">
        <v>70</v>
      </c>
      <c r="GC31" s="39">
        <f t="shared" si="128"/>
        <v>76349000</v>
      </c>
      <c r="GD31" s="40">
        <v>220</v>
      </c>
      <c r="GE31" s="39">
        <f t="shared" si="129"/>
        <v>373963999.99999994</v>
      </c>
      <c r="GG31" s="106"/>
      <c r="GH31" s="106"/>
      <c r="GI31" s="40">
        <v>70</v>
      </c>
      <c r="GJ31" s="39">
        <f t="shared" si="130"/>
        <v>69950000</v>
      </c>
      <c r="GK31" s="40">
        <v>220</v>
      </c>
      <c r="GL31" s="39">
        <f t="shared" si="131"/>
        <v>142985000</v>
      </c>
      <c r="GN31" s="106"/>
      <c r="GO31" s="106"/>
      <c r="GP31" s="16" t="s">
        <v>38</v>
      </c>
      <c r="GQ31" s="16">
        <v>44196</v>
      </c>
      <c r="GR31" s="103">
        <v>25387217.756156884</v>
      </c>
      <c r="GS31" s="104">
        <v>8000000</v>
      </c>
      <c r="GU31" s="1">
        <v>2</v>
      </c>
      <c r="GV31" s="1">
        <v>20</v>
      </c>
      <c r="GX31" s="40">
        <v>70</v>
      </c>
      <c r="GY31" s="39">
        <f t="shared" si="132"/>
        <v>97493000.000000015</v>
      </c>
      <c r="GZ31" s="40">
        <v>220</v>
      </c>
      <c r="HA31" s="39">
        <f t="shared" si="133"/>
        <v>348742999.99999994</v>
      </c>
      <c r="HC31" s="106"/>
      <c r="HD31" s="106"/>
      <c r="HE31" s="16" t="s">
        <v>35</v>
      </c>
      <c r="HF31" s="16">
        <v>44560</v>
      </c>
      <c r="HG31" s="103">
        <v>45526023.472179994</v>
      </c>
      <c r="HH31" s="104">
        <v>30000000</v>
      </c>
      <c r="HJ31" s="1">
        <v>4</v>
      </c>
      <c r="HK31" s="1">
        <v>40</v>
      </c>
      <c r="HM31" s="40">
        <v>70</v>
      </c>
      <c r="HN31" s="39">
        <f t="shared" si="134"/>
        <v>104866000</v>
      </c>
      <c r="HO31" s="40">
        <v>220</v>
      </c>
      <c r="HP31" s="39">
        <f t="shared" si="135"/>
        <v>673021000</v>
      </c>
      <c r="HR31" s="106"/>
      <c r="HS31" s="106"/>
      <c r="HT31" s="40">
        <v>70</v>
      </c>
      <c r="HU31" s="39">
        <f t="shared" si="136"/>
        <v>97694000</v>
      </c>
      <c r="HV31" s="40">
        <v>220</v>
      </c>
      <c r="HW31" s="39">
        <f t="shared" si="137"/>
        <v>424588999.99999994</v>
      </c>
      <c r="HY31" s="106"/>
      <c r="HZ31" s="106"/>
      <c r="IA31" s="16" t="s">
        <v>37</v>
      </c>
      <c r="IB31" s="16">
        <v>44931</v>
      </c>
      <c r="IC31" s="103">
        <v>20659761.872909699</v>
      </c>
      <c r="ID31" s="104">
        <v>4000000</v>
      </c>
      <c r="IF31" s="1">
        <v>3</v>
      </c>
      <c r="IG31" s="1">
        <v>20</v>
      </c>
      <c r="II31" s="40">
        <v>70</v>
      </c>
      <c r="IJ31" s="39">
        <f t="shared" si="138"/>
        <v>106654000</v>
      </c>
      <c r="IK31" s="40">
        <v>220</v>
      </c>
      <c r="IL31" s="39">
        <f t="shared" si="139"/>
        <v>445953999.99999994</v>
      </c>
      <c r="IN31" s="106"/>
      <c r="IO31" s="106"/>
      <c r="IP31" s="40">
        <v>70</v>
      </c>
      <c r="IQ31" s="39">
        <f t="shared" si="140"/>
        <v>93786000.000000015</v>
      </c>
      <c r="IR31" s="40">
        <v>220</v>
      </c>
      <c r="IS31" s="39">
        <f t="shared" si="141"/>
        <v>210771000</v>
      </c>
      <c r="IU31" s="106"/>
      <c r="IV31" s="106"/>
      <c r="IW31" s="16" t="s">
        <v>169</v>
      </c>
      <c r="IX31" s="12">
        <v>44196</v>
      </c>
      <c r="IY31" s="103">
        <v>25387217.756156884</v>
      </c>
      <c r="IZ31" s="104">
        <v>8000000</v>
      </c>
      <c r="JB31" s="1">
        <v>3</v>
      </c>
      <c r="JC31" s="1">
        <v>20</v>
      </c>
      <c r="JE31" s="40">
        <v>70</v>
      </c>
      <c r="JF31" s="39">
        <f t="shared" si="142"/>
        <v>106654000</v>
      </c>
      <c r="JG31" s="40">
        <v>220</v>
      </c>
      <c r="JH31" s="39">
        <f t="shared" si="143"/>
        <v>445953999.99999994</v>
      </c>
      <c r="JI31" s="39"/>
      <c r="JJ31" s="39"/>
      <c r="JL31" s="106"/>
      <c r="JM31" s="106"/>
      <c r="JN31" s="40">
        <v>70</v>
      </c>
      <c r="JO31" s="39">
        <f t="shared" si="144"/>
        <v>93786000.000000015</v>
      </c>
      <c r="JP31" s="40">
        <v>220</v>
      </c>
      <c r="JQ31" s="39">
        <f t="shared" si="145"/>
        <v>210771000</v>
      </c>
      <c r="JR31" s="39"/>
      <c r="JS31" s="39"/>
      <c r="JT31" s="39"/>
      <c r="JU31" s="39"/>
      <c r="JW31" s="106"/>
      <c r="JX31" s="106"/>
      <c r="KL31" s="1">
        <v>2</v>
      </c>
      <c r="KM31" s="1">
        <v>8</v>
      </c>
      <c r="KT31" s="1" t="s">
        <v>71</v>
      </c>
      <c r="LU31" s="16" t="s">
        <v>70</v>
      </c>
      <c r="LV31" s="16">
        <v>44196</v>
      </c>
      <c r="LW31" s="103">
        <v>27852000</v>
      </c>
      <c r="LX31" s="104">
        <v>8000000</v>
      </c>
      <c r="MC31" s="16"/>
      <c r="MD31" s="16"/>
      <c r="ME31" s="103"/>
      <c r="MF31" s="104"/>
      <c r="MH31" s="1">
        <v>2</v>
      </c>
      <c r="MI31" s="1">
        <v>8</v>
      </c>
      <c r="MK31" s="16" t="s">
        <v>69</v>
      </c>
      <c r="ML31" s="16">
        <v>44560</v>
      </c>
      <c r="MM31" s="103">
        <v>45418494</v>
      </c>
      <c r="MN31" s="104">
        <v>30000000</v>
      </c>
      <c r="MS31" s="16"/>
      <c r="MT31" s="16"/>
      <c r="MU31" s="103"/>
      <c r="MV31" s="104"/>
      <c r="MX31" s="1">
        <v>5</v>
      </c>
      <c r="MY31" s="1">
        <v>60</v>
      </c>
      <c r="NA31" s="16" t="s">
        <v>34</v>
      </c>
      <c r="NB31" s="16">
        <v>43020</v>
      </c>
      <c r="NC31" s="103">
        <v>25258200</v>
      </c>
      <c r="ND31" s="104">
        <v>10000000</v>
      </c>
      <c r="NF31" s="1">
        <v>2</v>
      </c>
      <c r="NG31" s="1">
        <v>6</v>
      </c>
      <c r="NI31" s="40">
        <v>70</v>
      </c>
      <c r="NJ31" s="39">
        <f t="shared" si="146"/>
        <v>91498000</v>
      </c>
      <c r="NK31" s="40">
        <v>220</v>
      </c>
      <c r="NL31" s="39">
        <f t="shared" si="147"/>
        <v>285328000.00000006</v>
      </c>
      <c r="NN31" s="106"/>
      <c r="NP31" s="16" t="s">
        <v>33</v>
      </c>
      <c r="NQ31" s="16">
        <v>43391</v>
      </c>
      <c r="NR31" s="103">
        <v>29189556</v>
      </c>
      <c r="NS31" s="104">
        <v>20000000</v>
      </c>
      <c r="NU31" s="1" t="s">
        <v>68</v>
      </c>
      <c r="NX31" s="40">
        <v>70</v>
      </c>
      <c r="NY31" s="39">
        <f t="shared" si="148"/>
        <v>89109999.999999985</v>
      </c>
      <c r="NZ31" s="40">
        <v>220</v>
      </c>
      <c r="OA31" s="39">
        <f t="shared" si="149"/>
        <v>633445000</v>
      </c>
      <c r="OC31" s="106"/>
    </row>
    <row r="32" spans="2:393" x14ac:dyDescent="0.25">
      <c r="B32" s="5"/>
      <c r="C32" s="5"/>
      <c r="D32" s="5"/>
      <c r="F32" s="5" t="s">
        <v>67</v>
      </c>
      <c r="G32" s="51">
        <f t="shared" si="99"/>
        <v>45108</v>
      </c>
      <c r="H32" s="51">
        <f t="shared" si="100"/>
        <v>45291</v>
      </c>
      <c r="I32" s="50">
        <f t="shared" si="98"/>
        <v>26</v>
      </c>
      <c r="K32" s="7">
        <v>28</v>
      </c>
      <c r="M32" s="5" t="str" cm="1">
        <f t="array" ref="M32">LOOKUP(2,1/($G$19:$G$35&lt;=$V32)/($H$19:$H$35&gt;=$V32),$F$19:$F$35)</f>
        <v>1H18</v>
      </c>
      <c r="N32" s="5" t="str" cm="1">
        <f t="array" ref="N32">LOOKUP(2,1/($G$8:$G$16&lt;=$V32)/($H$8:$H$16&gt;=$V32),$F$8:$F$16)</f>
        <v>FY18</v>
      </c>
      <c r="O32" s="5" t="str">
        <f>IFERROR(N32&amp;"-"&amp;COUNTIF($N$19:N32,N32),NA())</f>
        <v>FY18-2</v>
      </c>
      <c r="P32" s="5">
        <f>COUNTIF(V$19:V32,"&gt;="&amp;MAX($V:$V)-183)</f>
        <v>0</v>
      </c>
      <c r="Q32" s="5">
        <f>COUNTIF(V$19:V32,"&gt;="&amp;MAX($V:$V)-365)</f>
        <v>0</v>
      </c>
      <c r="R32" s="5" cm="1">
        <f t="array" ref="R32">LOOKUP(2,1/($G$46:$G$50&lt;=$V32)/($H$46:$H$50&gt;=$V32),$F$46:$F$50)</f>
        <v>0</v>
      </c>
      <c r="S32" s="5" cm="1">
        <f t="array" ref="S32">LOOKUP(2,1/($G$53:$G$56&lt;=$V32)/($H$53:$H$56&gt;=$V32),$F$53:$F$56)</f>
        <v>0</v>
      </c>
      <c r="T32" s="5" t="e">
        <f>IFERROR(IF($R32&gt;0,$R32&amp;"-"&amp;COUNTIF($R$19:$R32,$R32),NA()),NA())</f>
        <v>#N/A</v>
      </c>
      <c r="U32" s="5" t="e">
        <f>IFERROR(IF($S32&gt;0,$S32&amp;"-"&amp;COUNTIF($S$19:$S32,$S32),NA()),NA())</f>
        <v>#N/A</v>
      </c>
      <c r="V32" s="10">
        <v>42929</v>
      </c>
      <c r="W32" s="101">
        <v>15800128.126617214</v>
      </c>
      <c r="X32" s="101">
        <v>14679109.036033722</v>
      </c>
      <c r="Y32" s="102">
        <v>6000000</v>
      </c>
      <c r="AA32" s="48" t="e">
        <f t="shared" si="44"/>
        <v>#N/A</v>
      </c>
      <c r="AB32" s="12" t="e">
        <f t="shared" si="0"/>
        <v>#N/A</v>
      </c>
      <c r="AC32" s="103" t="e">
        <f t="shared" si="1"/>
        <v>#N/A</v>
      </c>
      <c r="AD32" s="104" t="e">
        <f t="shared" si="2"/>
        <v>#N/A</v>
      </c>
      <c r="AF32" s="1">
        <v>3</v>
      </c>
      <c r="AG32" s="1">
        <v>30</v>
      </c>
      <c r="AI32" s="40">
        <v>80</v>
      </c>
      <c r="AJ32" s="39">
        <f t="shared" si="104"/>
        <v>125637000</v>
      </c>
      <c r="AK32" s="40">
        <v>230</v>
      </c>
      <c r="AL32" s="39">
        <f t="shared" si="105"/>
        <v>507611999.99999994</v>
      </c>
      <c r="AN32" s="106"/>
      <c r="AO32" s="106"/>
      <c r="AP32" s="40">
        <v>80</v>
      </c>
      <c r="AQ32" s="39">
        <f t="shared" si="106"/>
        <v>94654000</v>
      </c>
      <c r="AR32" s="40">
        <v>230</v>
      </c>
      <c r="AS32" s="39">
        <f t="shared" si="107"/>
        <v>104479000.00000004</v>
      </c>
      <c r="AU32" s="106"/>
      <c r="AW32" s="48">
        <f t="shared" si="45"/>
        <v>28</v>
      </c>
      <c r="AX32" s="12">
        <f t="shared" si="4"/>
        <v>45029</v>
      </c>
      <c r="AY32" s="103">
        <f t="shared" si="5"/>
        <v>49471698.145332925</v>
      </c>
      <c r="AZ32" s="104">
        <f t="shared" si="6"/>
        <v>30000000</v>
      </c>
      <c r="BB32" s="1">
        <v>1</v>
      </c>
      <c r="BC32" s="1">
        <v>8</v>
      </c>
      <c r="BF32" s="40">
        <v>80</v>
      </c>
      <c r="BG32" s="39">
        <f t="shared" si="108"/>
        <v>123530000</v>
      </c>
      <c r="BH32" s="40">
        <v>230</v>
      </c>
      <c r="BI32" s="39">
        <f t="shared" si="109"/>
        <v>550925000</v>
      </c>
      <c r="BK32" s="106"/>
      <c r="BL32" s="106"/>
      <c r="BM32" s="40">
        <v>80</v>
      </c>
      <c r="BN32" s="39">
        <f t="shared" si="110"/>
        <v>112776000.00000001</v>
      </c>
      <c r="BO32" s="40">
        <v>230</v>
      </c>
      <c r="BP32" s="39">
        <f t="shared" si="111"/>
        <v>390395999.99999994</v>
      </c>
      <c r="BR32" s="106"/>
      <c r="BT32" s="48" t="e">
        <f t="shared" si="8"/>
        <v>#N/A</v>
      </c>
      <c r="BU32" s="12" t="e">
        <f t="shared" si="9"/>
        <v>#N/A</v>
      </c>
      <c r="BV32" s="103" t="e">
        <f t="shared" si="10"/>
        <v>#N/A</v>
      </c>
      <c r="BW32" s="104" t="e">
        <f t="shared" si="11"/>
        <v>#N/A</v>
      </c>
      <c r="CB32" s="40">
        <v>80</v>
      </c>
      <c r="CC32" s="39">
        <f t="shared" si="112"/>
        <v>102828000</v>
      </c>
      <c r="CD32" s="40">
        <v>230</v>
      </c>
      <c r="CE32" s="39">
        <f t="shared" si="113"/>
        <v>134223000</v>
      </c>
      <c r="CG32" s="106"/>
      <c r="CH32" s="106"/>
      <c r="CI32" s="48" t="e">
        <f t="shared" si="12"/>
        <v>#N/A</v>
      </c>
      <c r="CJ32" s="12" t="e">
        <f t="shared" si="13"/>
        <v>#N/A</v>
      </c>
      <c r="CK32" s="105" t="e">
        <f t="shared" si="14"/>
        <v>#N/A</v>
      </c>
      <c r="CL32" s="105" t="e">
        <f t="shared" si="15"/>
        <v>#N/A</v>
      </c>
      <c r="CN32" s="61">
        <f t="shared" si="102"/>
        <v>5.9935873160140485E-2</v>
      </c>
      <c r="CQ32" s="40">
        <v>80</v>
      </c>
      <c r="CR32" s="39">
        <f t="shared" si="114"/>
        <v>102828000</v>
      </c>
      <c r="CS32" s="40">
        <v>230</v>
      </c>
      <c r="CT32" s="39">
        <f t="shared" si="115"/>
        <v>134223000</v>
      </c>
      <c r="CV32" s="106"/>
      <c r="CX32" s="48" t="e">
        <f t="shared" si="16"/>
        <v>#N/A</v>
      </c>
      <c r="CY32" s="12" t="e">
        <f t="shared" si="17"/>
        <v>#N/A</v>
      </c>
      <c r="CZ32" s="103" t="e">
        <f t="shared" si="18"/>
        <v>#N/A</v>
      </c>
      <c r="DA32" s="104" t="e">
        <f t="shared" si="19"/>
        <v>#N/A</v>
      </c>
      <c r="DF32" s="40">
        <v>80</v>
      </c>
      <c r="DG32" s="39">
        <f t="shared" si="116"/>
        <v>102828000</v>
      </c>
      <c r="DH32" s="40">
        <v>230</v>
      </c>
      <c r="DI32" s="39">
        <f t="shared" si="117"/>
        <v>134223000</v>
      </c>
      <c r="DK32" s="106"/>
      <c r="DL32" s="106"/>
      <c r="DM32" s="48" t="e">
        <f t="shared" si="20"/>
        <v>#N/A</v>
      </c>
      <c r="DN32" s="12" t="e">
        <f t="shared" si="21"/>
        <v>#N/A</v>
      </c>
      <c r="DO32" s="103" t="e">
        <f t="shared" si="22"/>
        <v>#N/A</v>
      </c>
      <c r="DP32" s="104" t="e">
        <f t="shared" si="23"/>
        <v>#N/A</v>
      </c>
      <c r="DR32" s="61">
        <f t="shared" si="103"/>
        <v>0.30314052172552697</v>
      </c>
      <c r="DU32" s="40">
        <v>80</v>
      </c>
      <c r="DV32" s="39">
        <f t="shared" si="118"/>
        <v>102828000</v>
      </c>
      <c r="DW32" s="40">
        <v>230</v>
      </c>
      <c r="DX32" s="39">
        <f t="shared" si="119"/>
        <v>134223000</v>
      </c>
      <c r="DZ32" s="106"/>
      <c r="EA32" s="106"/>
      <c r="EB32" s="40">
        <v>80</v>
      </c>
      <c r="EC32" s="39">
        <f t="shared" si="120"/>
        <v>76779000</v>
      </c>
      <c r="ED32" s="40">
        <v>230</v>
      </c>
      <c r="EE32" s="39">
        <f t="shared" si="121"/>
        <v>145614000</v>
      </c>
      <c r="EG32" s="106"/>
      <c r="EH32" s="106"/>
      <c r="EI32" s="47" t="str">
        <f t="shared" si="25"/>
        <v>FY18-28</v>
      </c>
      <c r="EJ32" s="16">
        <v>43111</v>
      </c>
      <c r="EK32" s="103">
        <v>80521889.218561321</v>
      </c>
      <c r="EL32" s="104">
        <f t="shared" si="26"/>
        <v>55000000</v>
      </c>
      <c r="EN32" s="63" t="s">
        <v>66</v>
      </c>
      <c r="EO32" s="62"/>
      <c r="EQ32" s="40">
        <v>80</v>
      </c>
      <c r="ER32" s="39">
        <f t="shared" si="122"/>
        <v>117871999.99999999</v>
      </c>
      <c r="ES32" s="40">
        <v>230</v>
      </c>
      <c r="ET32" s="39">
        <f t="shared" si="123"/>
        <v>595906999.99999988</v>
      </c>
      <c r="EU32" s="106"/>
      <c r="EV32" s="106"/>
      <c r="EW32" s="106"/>
      <c r="EX32" s="16" t="s">
        <v>33</v>
      </c>
      <c r="EY32" s="16">
        <v>43475</v>
      </c>
      <c r="EZ32" s="103">
        <v>112313238.6522568</v>
      </c>
      <c r="FA32" s="104">
        <v>80000000</v>
      </c>
      <c r="FF32" s="40">
        <v>80</v>
      </c>
      <c r="FG32" s="39">
        <f t="shared" si="124"/>
        <v>112756999.99999999</v>
      </c>
      <c r="FH32" s="40">
        <v>230</v>
      </c>
      <c r="FI32" s="39">
        <f t="shared" si="125"/>
        <v>729406999.99999988</v>
      </c>
      <c r="FK32" s="106"/>
      <c r="FL32" s="106"/>
      <c r="FM32" s="40">
        <v>80</v>
      </c>
      <c r="FN32" s="39">
        <f t="shared" si="126"/>
        <v>99250999.999999985</v>
      </c>
      <c r="FO32" s="40">
        <v>230</v>
      </c>
      <c r="FP32" s="39">
        <f t="shared" si="127"/>
        <v>498806000.00000006</v>
      </c>
      <c r="FR32" s="106"/>
      <c r="FS32" s="106"/>
      <c r="FT32" s="16" t="s">
        <v>39</v>
      </c>
      <c r="FU32" s="16">
        <v>43839</v>
      </c>
      <c r="FV32" s="103">
        <v>20379060.090352122</v>
      </c>
      <c r="FW32" s="104">
        <v>8000000</v>
      </c>
      <c r="FY32" s="1" t="s">
        <v>72</v>
      </c>
      <c r="GB32" s="40">
        <v>80</v>
      </c>
      <c r="GC32" s="39">
        <f t="shared" si="128"/>
        <v>88910000</v>
      </c>
      <c r="GD32" s="40">
        <v>230</v>
      </c>
      <c r="GE32" s="39">
        <f t="shared" si="129"/>
        <v>402125000</v>
      </c>
      <c r="GG32" s="106"/>
      <c r="GH32" s="106"/>
      <c r="GI32" s="40">
        <v>80</v>
      </c>
      <c r="GJ32" s="39">
        <f t="shared" si="130"/>
        <v>76779000</v>
      </c>
      <c r="GK32" s="40">
        <v>230</v>
      </c>
      <c r="GL32" s="39">
        <f t="shared" si="131"/>
        <v>145614000</v>
      </c>
      <c r="GN32" s="106"/>
      <c r="GO32" s="106"/>
      <c r="GP32" s="16" t="s">
        <v>38</v>
      </c>
      <c r="GQ32" s="16">
        <v>44203</v>
      </c>
      <c r="GR32" s="103">
        <v>17082868.713894803</v>
      </c>
      <c r="GS32" s="104">
        <v>3000000</v>
      </c>
      <c r="GU32" s="1">
        <v>3</v>
      </c>
      <c r="GV32" s="1">
        <v>30</v>
      </c>
      <c r="GX32" s="40">
        <v>80</v>
      </c>
      <c r="GY32" s="39">
        <f t="shared" si="132"/>
        <v>110883000</v>
      </c>
      <c r="GZ32" s="40">
        <v>230</v>
      </c>
      <c r="HA32" s="39">
        <f t="shared" si="133"/>
        <v>369332999.99999994</v>
      </c>
      <c r="HC32" s="106"/>
      <c r="HD32" s="106"/>
      <c r="HE32" s="16" t="s">
        <v>35</v>
      </c>
      <c r="HF32" s="16">
        <v>44567</v>
      </c>
      <c r="HG32" s="103">
        <v>76041502.462754637</v>
      </c>
      <c r="HH32" s="104">
        <v>60000000</v>
      </c>
      <c r="HJ32" s="1">
        <v>5</v>
      </c>
      <c r="HK32" s="1">
        <v>60</v>
      </c>
      <c r="HM32" s="40">
        <v>80</v>
      </c>
      <c r="HN32" s="39">
        <f t="shared" si="134"/>
        <v>126083000</v>
      </c>
      <c r="HO32" s="40">
        <v>230</v>
      </c>
      <c r="HP32" s="39">
        <f t="shared" si="135"/>
        <v>729938000</v>
      </c>
      <c r="HR32" s="106"/>
      <c r="HS32" s="106"/>
      <c r="HT32" s="40">
        <v>80</v>
      </c>
      <c r="HU32" s="39">
        <f t="shared" si="136"/>
        <v>112767000.00000001</v>
      </c>
      <c r="HV32" s="40">
        <v>230</v>
      </c>
      <c r="HW32" s="39">
        <f t="shared" si="137"/>
        <v>454062000</v>
      </c>
      <c r="HY32" s="106"/>
      <c r="HZ32" s="106"/>
      <c r="IA32" s="16" t="s">
        <v>37</v>
      </c>
      <c r="IB32" s="16">
        <v>44938</v>
      </c>
      <c r="IC32" s="103">
        <v>22177022.316813622</v>
      </c>
      <c r="ID32" s="104">
        <v>4000000</v>
      </c>
      <c r="IF32" s="1">
        <v>4</v>
      </c>
      <c r="IG32" s="1">
        <v>40</v>
      </c>
      <c r="II32" s="40">
        <v>80</v>
      </c>
      <c r="IJ32" s="39">
        <f t="shared" si="138"/>
        <v>122974000</v>
      </c>
      <c r="IK32" s="40">
        <v>230</v>
      </c>
      <c r="IL32" s="39">
        <f t="shared" si="139"/>
        <v>475773999.99999994</v>
      </c>
      <c r="IN32" s="106"/>
      <c r="IO32" s="106"/>
      <c r="IP32" s="40">
        <v>80</v>
      </c>
      <c r="IQ32" s="39">
        <f t="shared" si="140"/>
        <v>103685000.00000001</v>
      </c>
      <c r="IR32" s="40">
        <v>230</v>
      </c>
      <c r="IS32" s="39">
        <f t="shared" si="141"/>
        <v>216170000</v>
      </c>
      <c r="IU32" s="106"/>
      <c r="IV32" s="106"/>
      <c r="IW32" s="16" t="s">
        <v>169</v>
      </c>
      <c r="IX32" s="12">
        <v>44203</v>
      </c>
      <c r="IY32" s="103">
        <v>17082868.713894803</v>
      </c>
      <c r="IZ32" s="104">
        <v>3000000</v>
      </c>
      <c r="JB32" s="1">
        <v>4</v>
      </c>
      <c r="JC32" s="1">
        <v>40</v>
      </c>
      <c r="JE32" s="40">
        <v>80</v>
      </c>
      <c r="JF32" s="39">
        <f t="shared" si="142"/>
        <v>122974000</v>
      </c>
      <c r="JG32" s="40">
        <v>230</v>
      </c>
      <c r="JH32" s="39">
        <f t="shared" si="143"/>
        <v>475773999.99999994</v>
      </c>
      <c r="JI32" s="39"/>
      <c r="JJ32" s="39"/>
      <c r="JL32" s="106"/>
      <c r="JM32" s="106"/>
      <c r="JN32" s="40">
        <v>80</v>
      </c>
      <c r="JO32" s="39">
        <f t="shared" si="144"/>
        <v>103685000.00000001</v>
      </c>
      <c r="JP32" s="40">
        <v>230</v>
      </c>
      <c r="JQ32" s="39">
        <f t="shared" si="145"/>
        <v>216170000</v>
      </c>
      <c r="JR32" s="39"/>
      <c r="JS32" s="39"/>
      <c r="JT32" s="39"/>
      <c r="JU32" s="39"/>
      <c r="JW32" s="106"/>
      <c r="JX32" s="106"/>
      <c r="KL32" s="1">
        <v>3</v>
      </c>
      <c r="KM32" s="1">
        <v>12</v>
      </c>
      <c r="LJ32" s="55" t="s">
        <v>64</v>
      </c>
      <c r="LK32" s="54"/>
      <c r="MH32" s="1">
        <v>3</v>
      </c>
      <c r="MI32" s="1">
        <v>20</v>
      </c>
      <c r="MX32" s="1">
        <v>6</v>
      </c>
      <c r="MY32" s="1">
        <v>80</v>
      </c>
      <c r="NA32" s="16" t="s">
        <v>34</v>
      </c>
      <c r="NB32" s="16">
        <v>43027</v>
      </c>
      <c r="NC32" s="103">
        <v>28366800</v>
      </c>
      <c r="ND32" s="104">
        <v>15000000</v>
      </c>
      <c r="NF32" s="1">
        <v>3</v>
      </c>
      <c r="NG32" s="1">
        <v>10</v>
      </c>
      <c r="NI32" s="40">
        <v>80</v>
      </c>
      <c r="NJ32" s="39">
        <f t="shared" si="146"/>
        <v>103580000.00000001</v>
      </c>
      <c r="NK32" s="40">
        <v>230</v>
      </c>
      <c r="NL32" s="39">
        <f t="shared" si="147"/>
        <v>299210000.00000006</v>
      </c>
      <c r="NN32" s="106"/>
      <c r="NP32" s="16" t="s">
        <v>33</v>
      </c>
      <c r="NQ32" s="16">
        <v>43398</v>
      </c>
      <c r="NR32" s="103">
        <v>34647558</v>
      </c>
      <c r="NS32" s="104">
        <v>30000000</v>
      </c>
      <c r="NX32" s="40">
        <v>80</v>
      </c>
      <c r="NY32" s="39">
        <f t="shared" si="148"/>
        <v>109018999.99999999</v>
      </c>
      <c r="NZ32" s="40">
        <v>230</v>
      </c>
      <c r="OA32" s="39">
        <f t="shared" si="149"/>
        <v>688454000.00000012</v>
      </c>
      <c r="OC32" s="106"/>
    </row>
    <row r="33" spans="2:393" x14ac:dyDescent="0.25">
      <c r="B33" s="5"/>
      <c r="C33" s="5"/>
      <c r="D33" s="5"/>
      <c r="F33" s="5" t="s">
        <v>63</v>
      </c>
      <c r="G33" s="51">
        <f t="shared" si="99"/>
        <v>45292</v>
      </c>
      <c r="H33" s="51">
        <f t="shared" si="100"/>
        <v>45473</v>
      </c>
      <c r="I33" s="50">
        <f t="shared" si="98"/>
        <v>26</v>
      </c>
      <c r="K33" s="7">
        <v>29</v>
      </c>
      <c r="M33" s="5" t="str" cm="1">
        <f t="array" ref="M33">LOOKUP(2,1/($G$19:$G$35&lt;=$V33)/($H$19:$H$35&gt;=$V33),$F$19:$F$35)</f>
        <v>1H18</v>
      </c>
      <c r="N33" s="5" t="str" cm="1">
        <f t="array" ref="N33">LOOKUP(2,1/($G$8:$G$16&lt;=$V33)/($H$8:$H$16&gt;=$V33),$F$8:$F$16)</f>
        <v>FY18</v>
      </c>
      <c r="O33" s="5" t="str">
        <f>IFERROR(N33&amp;"-"&amp;COUNTIF($N$19:N33,N33),NA())</f>
        <v>FY18-3</v>
      </c>
      <c r="P33" s="5">
        <f>COUNTIF(V$19:V33,"&gt;="&amp;MAX($V:$V)-183)</f>
        <v>0</v>
      </c>
      <c r="Q33" s="5">
        <f>COUNTIF(V$19:V33,"&gt;="&amp;MAX($V:$V)-365)</f>
        <v>0</v>
      </c>
      <c r="R33" s="5" cm="1">
        <f t="array" ref="R33">LOOKUP(2,1/($G$46:$G$50&lt;=$V33)/($H$46:$H$50&gt;=$V33),$F$46:$F$50)</f>
        <v>0</v>
      </c>
      <c r="S33" s="5" cm="1">
        <f t="array" ref="S33">LOOKUP(2,1/($G$53:$G$56&lt;=$V33)/($H$53:$H$56&gt;=$V33),$F$53:$F$56)</f>
        <v>0</v>
      </c>
      <c r="T33" s="5" t="e">
        <f>IFERROR(IF($R33&gt;0,$R33&amp;"-"&amp;COUNTIF($R$19:$R33,$R33),NA()),NA())</f>
        <v>#N/A</v>
      </c>
      <c r="U33" s="5" t="e">
        <f>IFERROR(IF($S33&gt;0,$S33&amp;"-"&amp;COUNTIF($S$19:$S33,$S33),NA()),NA())</f>
        <v>#N/A</v>
      </c>
      <c r="V33" s="10">
        <v>42936</v>
      </c>
      <c r="W33" s="101">
        <v>13695982.549594617</v>
      </c>
      <c r="X33" s="101">
        <v>12724252.587700877</v>
      </c>
      <c r="Y33" s="102">
        <v>3000000</v>
      </c>
      <c r="AA33" s="48" t="e">
        <f t="shared" si="44"/>
        <v>#N/A</v>
      </c>
      <c r="AB33" s="12" t="e">
        <f t="shared" si="0"/>
        <v>#N/A</v>
      </c>
      <c r="AC33" s="103" t="e">
        <f t="shared" si="1"/>
        <v>#N/A</v>
      </c>
      <c r="AD33" s="104" t="e">
        <f t="shared" si="2"/>
        <v>#N/A</v>
      </c>
      <c r="AF33" s="1">
        <v>4</v>
      </c>
      <c r="AG33" s="1">
        <v>50</v>
      </c>
      <c r="AI33" s="40">
        <v>90</v>
      </c>
      <c r="AJ33" s="39">
        <f t="shared" si="104"/>
        <v>143822000</v>
      </c>
      <c r="AK33" s="40">
        <v>240</v>
      </c>
      <c r="AL33" s="39">
        <f t="shared" si="105"/>
        <v>541396999.99999988</v>
      </c>
      <c r="AN33" s="106"/>
      <c r="AO33" s="106"/>
      <c r="AP33" s="40">
        <v>90</v>
      </c>
      <c r="AQ33" s="39">
        <f t="shared" si="106"/>
        <v>100908999.99999999</v>
      </c>
      <c r="AR33" s="40">
        <v>240</v>
      </c>
      <c r="AS33" s="39">
        <f t="shared" si="107"/>
        <v>98734000.000000045</v>
      </c>
      <c r="AU33" s="106"/>
      <c r="AW33" s="48">
        <f t="shared" si="45"/>
        <v>29</v>
      </c>
      <c r="AX33" s="12">
        <f t="shared" si="4"/>
        <v>45036</v>
      </c>
      <c r="AY33" s="103">
        <f t="shared" si="5"/>
        <v>21741040.681058068</v>
      </c>
      <c r="AZ33" s="104">
        <f t="shared" si="6"/>
        <v>4000000</v>
      </c>
      <c r="BB33" s="1">
        <v>2</v>
      </c>
      <c r="BC33" s="1">
        <v>20</v>
      </c>
      <c r="BF33" s="40">
        <v>90</v>
      </c>
      <c r="BG33" s="39">
        <f t="shared" si="108"/>
        <v>142643000.00000003</v>
      </c>
      <c r="BH33" s="40">
        <v>240</v>
      </c>
      <c r="BI33" s="39">
        <f t="shared" si="109"/>
        <v>590138000</v>
      </c>
      <c r="BK33" s="106"/>
      <c r="BL33" s="106"/>
      <c r="BM33" s="40">
        <v>90</v>
      </c>
      <c r="BN33" s="39">
        <f t="shared" si="110"/>
        <v>127223999.99999999</v>
      </c>
      <c r="BO33" s="40">
        <v>240</v>
      </c>
      <c r="BP33" s="39">
        <f t="shared" si="111"/>
        <v>413544000</v>
      </c>
      <c r="BR33" s="106"/>
      <c r="BT33" s="48" t="e">
        <f t="shared" si="8"/>
        <v>#N/A</v>
      </c>
      <c r="BU33" s="12" t="e">
        <f t="shared" si="9"/>
        <v>#N/A</v>
      </c>
      <c r="BV33" s="103" t="e">
        <f t="shared" si="10"/>
        <v>#N/A</v>
      </c>
      <c r="BW33" s="104" t="e">
        <f t="shared" si="11"/>
        <v>#N/A</v>
      </c>
      <c r="CB33" s="40">
        <v>90</v>
      </c>
      <c r="CC33" s="39">
        <f t="shared" si="112"/>
        <v>110380999.99999999</v>
      </c>
      <c r="CD33" s="40">
        <v>240</v>
      </c>
      <c r="CE33" s="39">
        <f t="shared" si="113"/>
        <v>130076000.00000001</v>
      </c>
      <c r="CG33" s="106"/>
      <c r="CH33" s="106"/>
      <c r="CI33" s="48" t="e">
        <f t="shared" si="12"/>
        <v>#N/A</v>
      </c>
      <c r="CJ33" s="12" t="e">
        <f t="shared" si="13"/>
        <v>#N/A</v>
      </c>
      <c r="CK33" s="105" t="e">
        <f t="shared" si="14"/>
        <v>#N/A</v>
      </c>
      <c r="CL33" s="105" t="e">
        <f t="shared" si="15"/>
        <v>#N/A</v>
      </c>
      <c r="CN33" s="61">
        <f t="shared" si="102"/>
        <v>5.8903860693834575E-2</v>
      </c>
      <c r="CQ33" s="40">
        <v>90</v>
      </c>
      <c r="CR33" s="39">
        <f t="shared" si="114"/>
        <v>110380999.99999999</v>
      </c>
      <c r="CS33" s="40">
        <v>240</v>
      </c>
      <c r="CT33" s="39">
        <f t="shared" si="115"/>
        <v>130076000.00000001</v>
      </c>
      <c r="CV33" s="106"/>
      <c r="CX33" s="48" t="e">
        <f t="shared" si="16"/>
        <v>#N/A</v>
      </c>
      <c r="CY33" s="12" t="e">
        <f t="shared" si="17"/>
        <v>#N/A</v>
      </c>
      <c r="CZ33" s="103" t="e">
        <f t="shared" si="18"/>
        <v>#N/A</v>
      </c>
      <c r="DA33" s="104" t="e">
        <f t="shared" si="19"/>
        <v>#N/A</v>
      </c>
      <c r="DF33" s="40">
        <v>90</v>
      </c>
      <c r="DG33" s="39">
        <f t="shared" si="116"/>
        <v>110380999.99999999</v>
      </c>
      <c r="DH33" s="40">
        <v>240</v>
      </c>
      <c r="DI33" s="39">
        <f t="shared" si="117"/>
        <v>130076000.00000001</v>
      </c>
      <c r="DK33" s="106"/>
      <c r="DL33" s="106"/>
      <c r="DM33" s="48" t="e">
        <f t="shared" si="20"/>
        <v>#N/A</v>
      </c>
      <c r="DN33" s="12" t="e">
        <f t="shared" si="21"/>
        <v>#N/A</v>
      </c>
      <c r="DO33" s="103" t="e">
        <f t="shared" si="22"/>
        <v>#N/A</v>
      </c>
      <c r="DP33" s="104" t="e">
        <f t="shared" si="23"/>
        <v>#N/A</v>
      </c>
      <c r="DR33" s="61">
        <f t="shared" si="103"/>
        <v>0.3047980325071924</v>
      </c>
      <c r="DU33" s="40">
        <v>90</v>
      </c>
      <c r="DV33" s="39">
        <f t="shared" si="118"/>
        <v>110380999.99999999</v>
      </c>
      <c r="DW33" s="40">
        <v>240</v>
      </c>
      <c r="DX33" s="39">
        <f t="shared" si="119"/>
        <v>130076000.00000001</v>
      </c>
      <c r="DZ33" s="106"/>
      <c r="EA33" s="106"/>
      <c r="EB33" s="40">
        <v>90</v>
      </c>
      <c r="EC33" s="39">
        <f t="shared" si="120"/>
        <v>83328000</v>
      </c>
      <c r="ED33" s="40">
        <v>240</v>
      </c>
      <c r="EE33" s="39">
        <f t="shared" si="121"/>
        <v>147963000</v>
      </c>
      <c r="EG33" s="106"/>
      <c r="EH33" s="106"/>
      <c r="EI33" s="47" t="str">
        <f t="shared" si="25"/>
        <v>FY18-29</v>
      </c>
      <c r="EJ33" s="16">
        <v>43118</v>
      </c>
      <c r="EK33" s="103">
        <v>14500914.517854061</v>
      </c>
      <c r="EL33" s="104">
        <f t="shared" si="26"/>
        <v>3000000</v>
      </c>
      <c r="EN33" s="104">
        <v>3000000</v>
      </c>
      <c r="EO33" s="1">
        <f t="shared" ref="EO33:EO39" si="150">COUNTIF($EL$45:$EL$56,EN33)</f>
        <v>4</v>
      </c>
      <c r="EQ33" s="40">
        <v>90</v>
      </c>
      <c r="ER33" s="39">
        <f t="shared" si="122"/>
        <v>138401000</v>
      </c>
      <c r="ES33" s="40">
        <v>240</v>
      </c>
      <c r="ET33" s="39">
        <f t="shared" si="123"/>
        <v>640736000</v>
      </c>
      <c r="EU33" s="106"/>
      <c r="EV33" s="106"/>
      <c r="EW33" s="106"/>
      <c r="EX33" s="16" t="s">
        <v>33</v>
      </c>
      <c r="EY33" s="16">
        <v>43482</v>
      </c>
      <c r="EZ33" s="103">
        <v>174145591.86268273</v>
      </c>
      <c r="FA33" s="104">
        <v>100000000</v>
      </c>
      <c r="FF33" s="40">
        <v>90</v>
      </c>
      <c r="FG33" s="39">
        <f t="shared" si="124"/>
        <v>136227000</v>
      </c>
      <c r="FH33" s="40">
        <v>240</v>
      </c>
      <c r="FI33" s="39">
        <f t="shared" si="125"/>
        <v>790677000</v>
      </c>
      <c r="FK33" s="106"/>
      <c r="FL33" s="106"/>
      <c r="FM33" s="40">
        <v>90</v>
      </c>
      <c r="FN33" s="39">
        <f t="shared" si="126"/>
        <v>116228000</v>
      </c>
      <c r="FO33" s="40">
        <v>240</v>
      </c>
      <c r="FP33" s="39">
        <f t="shared" si="127"/>
        <v>536483000.00000006</v>
      </c>
      <c r="FR33" s="106"/>
      <c r="FS33" s="106"/>
      <c r="FT33" s="16" t="s">
        <v>39</v>
      </c>
      <c r="FU33" s="16">
        <v>43846</v>
      </c>
      <c r="FV33" s="103">
        <v>25817218.392227244</v>
      </c>
      <c r="FW33" s="104">
        <v>12000000</v>
      </c>
      <c r="FY33" s="1" t="s">
        <v>65</v>
      </c>
      <c r="GB33" s="40">
        <v>90</v>
      </c>
      <c r="GC33" s="39">
        <f t="shared" si="128"/>
        <v>102511000</v>
      </c>
      <c r="GD33" s="40">
        <v>240</v>
      </c>
      <c r="GE33" s="39">
        <f t="shared" si="129"/>
        <v>431326000</v>
      </c>
      <c r="GG33" s="106"/>
      <c r="GH33" s="106"/>
      <c r="GI33" s="40">
        <v>90</v>
      </c>
      <c r="GJ33" s="39">
        <f t="shared" si="130"/>
        <v>83328000</v>
      </c>
      <c r="GK33" s="40">
        <v>240</v>
      </c>
      <c r="GL33" s="39">
        <f t="shared" si="131"/>
        <v>147963000</v>
      </c>
      <c r="GN33" s="106"/>
      <c r="GO33" s="106"/>
      <c r="GP33" s="16" t="s">
        <v>38</v>
      </c>
      <c r="GQ33" s="16">
        <v>44210</v>
      </c>
      <c r="GR33" s="103">
        <v>24054723.502584364</v>
      </c>
      <c r="GS33" s="104">
        <v>8000000</v>
      </c>
      <c r="GU33" s="1">
        <v>4</v>
      </c>
      <c r="GV33" s="1">
        <v>50</v>
      </c>
      <c r="GX33" s="40">
        <v>90</v>
      </c>
      <c r="GY33" s="39">
        <f t="shared" si="132"/>
        <v>124753000</v>
      </c>
      <c r="GZ33" s="40">
        <v>240</v>
      </c>
      <c r="HA33" s="39">
        <f t="shared" si="133"/>
        <v>390402999.99999994</v>
      </c>
      <c r="HC33" s="106"/>
      <c r="HD33" s="106"/>
      <c r="HE33" s="16" t="s">
        <v>35</v>
      </c>
      <c r="HF33" s="16">
        <v>44574</v>
      </c>
      <c r="HG33" s="103">
        <v>18115088.35512314</v>
      </c>
      <c r="HH33" s="104">
        <v>3000000</v>
      </c>
      <c r="HJ33" s="1">
        <v>6</v>
      </c>
      <c r="HK33" s="1">
        <v>80</v>
      </c>
      <c r="HM33" s="40">
        <v>90</v>
      </c>
      <c r="HN33" s="39">
        <f t="shared" si="134"/>
        <v>149680000</v>
      </c>
      <c r="HO33" s="40">
        <v>240</v>
      </c>
      <c r="HP33" s="39">
        <f t="shared" si="135"/>
        <v>789235000</v>
      </c>
      <c r="HR33" s="106"/>
      <c r="HS33" s="106"/>
      <c r="HT33" s="40">
        <v>90</v>
      </c>
      <c r="HU33" s="39">
        <f t="shared" si="136"/>
        <v>128799999.99999999</v>
      </c>
      <c r="HV33" s="40">
        <v>240</v>
      </c>
      <c r="HW33" s="39">
        <f t="shared" si="137"/>
        <v>484494999.99999994</v>
      </c>
      <c r="HY33" s="106"/>
      <c r="HZ33" s="106"/>
      <c r="IA33" s="16" t="s">
        <v>37</v>
      </c>
      <c r="IB33" s="16">
        <v>44945</v>
      </c>
      <c r="IC33" s="103">
        <v>28696273.517786555</v>
      </c>
      <c r="ID33" s="104">
        <v>8000000</v>
      </c>
      <c r="IF33" s="1">
        <v>5</v>
      </c>
      <c r="IG33" s="1">
        <v>60</v>
      </c>
      <c r="II33" s="40">
        <v>90</v>
      </c>
      <c r="IJ33" s="39">
        <f t="shared" si="138"/>
        <v>140194000</v>
      </c>
      <c r="IK33" s="40">
        <v>240</v>
      </c>
      <c r="IL33" s="39">
        <f t="shared" si="139"/>
        <v>506494000</v>
      </c>
      <c r="IN33" s="106"/>
      <c r="IO33" s="106"/>
      <c r="IP33" s="40">
        <v>90</v>
      </c>
      <c r="IQ33" s="39">
        <f t="shared" si="140"/>
        <v>113284000</v>
      </c>
      <c r="IR33" s="40">
        <v>240</v>
      </c>
      <c r="IS33" s="39">
        <f t="shared" si="141"/>
        <v>221269000</v>
      </c>
      <c r="IU33" s="106"/>
      <c r="IV33" s="106"/>
      <c r="IW33" s="16" t="s">
        <v>169</v>
      </c>
      <c r="IX33" s="12">
        <v>44210</v>
      </c>
      <c r="IY33" s="103">
        <v>24054723.502584364</v>
      </c>
      <c r="IZ33" s="104">
        <v>8000000</v>
      </c>
      <c r="JB33" s="1">
        <v>5</v>
      </c>
      <c r="JC33" s="1">
        <v>60</v>
      </c>
      <c r="JE33" s="40">
        <v>90</v>
      </c>
      <c r="JF33" s="39">
        <f t="shared" si="142"/>
        <v>140194000</v>
      </c>
      <c r="JG33" s="40">
        <v>240</v>
      </c>
      <c r="JH33" s="39">
        <f t="shared" si="143"/>
        <v>506494000</v>
      </c>
      <c r="JI33" s="39"/>
      <c r="JJ33" s="39"/>
      <c r="JL33" s="106"/>
      <c r="JM33" s="106"/>
      <c r="JN33" s="40">
        <v>90</v>
      </c>
      <c r="JO33" s="39">
        <f t="shared" si="144"/>
        <v>113284000</v>
      </c>
      <c r="JP33" s="40">
        <v>240</v>
      </c>
      <c r="JQ33" s="39">
        <f t="shared" si="145"/>
        <v>221269000</v>
      </c>
      <c r="JR33" s="39"/>
      <c r="JS33" s="39"/>
      <c r="JT33" s="39"/>
      <c r="JU33" s="39"/>
      <c r="JW33" s="106"/>
      <c r="JX33" s="106"/>
      <c r="KL33" s="1">
        <v>4</v>
      </c>
      <c r="KM33" s="1">
        <v>20</v>
      </c>
      <c r="LJ33" s="52" t="s">
        <v>42</v>
      </c>
      <c r="LK33" s="52" t="s">
        <v>41</v>
      </c>
      <c r="MH33" s="1">
        <v>4</v>
      </c>
      <c r="MI33" s="1">
        <v>40</v>
      </c>
      <c r="MX33" s="1">
        <v>7</v>
      </c>
      <c r="MY33" s="1">
        <v>120</v>
      </c>
      <c r="NA33" s="16" t="s">
        <v>34</v>
      </c>
      <c r="NB33" s="16">
        <v>43034</v>
      </c>
      <c r="NC33" s="103">
        <v>12711600</v>
      </c>
      <c r="ND33" s="104">
        <v>3000000</v>
      </c>
      <c r="NF33" s="1">
        <v>4</v>
      </c>
      <c r="NG33" s="1">
        <v>15</v>
      </c>
      <c r="NI33" s="40">
        <v>90</v>
      </c>
      <c r="NJ33" s="39">
        <f t="shared" si="146"/>
        <v>115782000.00000001</v>
      </c>
      <c r="NK33" s="40">
        <v>240</v>
      </c>
      <c r="NL33" s="39">
        <f t="shared" si="147"/>
        <v>313212000</v>
      </c>
      <c r="NN33" s="106"/>
      <c r="NP33" s="16" t="s">
        <v>33</v>
      </c>
      <c r="NQ33" s="16">
        <v>43405</v>
      </c>
      <c r="NR33" s="103">
        <v>42118956</v>
      </c>
      <c r="NS33" s="104">
        <v>40000000</v>
      </c>
      <c r="NX33" s="40">
        <v>90</v>
      </c>
      <c r="NY33" s="39">
        <f t="shared" si="148"/>
        <v>131268000</v>
      </c>
      <c r="NZ33" s="40">
        <v>240</v>
      </c>
      <c r="OA33" s="39">
        <f t="shared" si="149"/>
        <v>745803000.00000012</v>
      </c>
      <c r="OC33" s="106"/>
    </row>
    <row r="34" spans="2:393" x14ac:dyDescent="0.25">
      <c r="B34" s="5"/>
      <c r="C34" s="5"/>
      <c r="D34" s="5"/>
      <c r="F34" s="5" t="s">
        <v>61</v>
      </c>
      <c r="G34" s="51">
        <f t="shared" si="99"/>
        <v>45474</v>
      </c>
      <c r="H34" s="51">
        <f t="shared" si="100"/>
        <v>45657</v>
      </c>
      <c r="I34" s="50">
        <f t="shared" si="98"/>
        <v>26</v>
      </c>
      <c r="K34" s="7">
        <v>30</v>
      </c>
      <c r="M34" s="5" t="str" cm="1">
        <f t="array" ref="M34">LOOKUP(2,1/($G$19:$G$35&lt;=$V34)/($H$19:$H$35&gt;=$V34),$F$19:$F$35)</f>
        <v>1H18</v>
      </c>
      <c r="N34" s="5" t="str" cm="1">
        <f t="array" ref="N34">LOOKUP(2,1/($G$8:$G$16&lt;=$V34)/($H$8:$H$16&gt;=$V34),$F$8:$F$16)</f>
        <v>FY18</v>
      </c>
      <c r="O34" s="5" t="str">
        <f>IFERROR(N34&amp;"-"&amp;COUNTIF($N$19:N34,N34),NA())</f>
        <v>FY18-4</v>
      </c>
      <c r="P34" s="5">
        <f>COUNTIF(V$19:V34,"&gt;="&amp;MAX($V:$V)-183)</f>
        <v>0</v>
      </c>
      <c r="Q34" s="5">
        <f>COUNTIF(V$19:V34,"&gt;="&amp;MAX($V:$V)-365)</f>
        <v>0</v>
      </c>
      <c r="R34" s="5" cm="1">
        <f t="array" ref="R34">LOOKUP(2,1/($G$46:$G$50&lt;=$V34)/($H$46:$H$50&gt;=$V34),$F$46:$F$50)</f>
        <v>0</v>
      </c>
      <c r="S34" s="5" cm="1">
        <f t="array" ref="S34">LOOKUP(2,1/($G$53:$G$56&lt;=$V34)/($H$53:$H$56&gt;=$V34),$F$53:$F$56)</f>
        <v>0</v>
      </c>
      <c r="T34" s="5" t="e">
        <f>IFERROR(IF($R34&gt;0,$R34&amp;"-"&amp;COUNTIF($R$19:$R34,$R34),NA()),NA())</f>
        <v>#N/A</v>
      </c>
      <c r="U34" s="5" t="e">
        <f>IFERROR(IF($S34&gt;0,$S34&amp;"-"&amp;COUNTIF($S$19:$S34,$S34),NA()),NA())</f>
        <v>#N/A</v>
      </c>
      <c r="V34" s="10">
        <v>42943</v>
      </c>
      <c r="W34" s="101">
        <v>12329121.10746938</v>
      </c>
      <c r="X34" s="101">
        <v>11454369.964894427</v>
      </c>
      <c r="Y34" s="102">
        <v>3000000</v>
      </c>
      <c r="AA34" s="48" t="e">
        <f t="shared" si="44"/>
        <v>#N/A</v>
      </c>
      <c r="AB34" s="12" t="e">
        <f t="shared" si="0"/>
        <v>#N/A</v>
      </c>
      <c r="AC34" s="103" t="e">
        <f t="shared" si="1"/>
        <v>#N/A</v>
      </c>
      <c r="AD34" s="104" t="e">
        <f t="shared" si="2"/>
        <v>#N/A</v>
      </c>
      <c r="AF34" s="1">
        <v>5</v>
      </c>
      <c r="AG34" s="1">
        <v>100</v>
      </c>
      <c r="AI34" s="40">
        <v>100</v>
      </c>
      <c r="AJ34" s="39">
        <f t="shared" si="104"/>
        <v>163047000</v>
      </c>
      <c r="AK34" s="40">
        <v>250</v>
      </c>
      <c r="AL34" s="39">
        <f t="shared" si="105"/>
        <v>576222000</v>
      </c>
      <c r="AN34" s="106"/>
      <c r="AO34" s="106"/>
      <c r="AP34" s="40">
        <v>100</v>
      </c>
      <c r="AQ34" s="39">
        <f t="shared" si="106"/>
        <v>106364000</v>
      </c>
      <c r="AR34" s="40">
        <v>250</v>
      </c>
      <c r="AS34" s="39">
        <f t="shared" si="107"/>
        <v>92189000</v>
      </c>
      <c r="AU34" s="106"/>
      <c r="AW34" s="48">
        <f t="shared" si="45"/>
        <v>30</v>
      </c>
      <c r="AX34" s="12">
        <f t="shared" si="4"/>
        <v>45043</v>
      </c>
      <c r="AY34" s="103">
        <f t="shared" si="5"/>
        <v>27045895.28732137</v>
      </c>
      <c r="AZ34" s="104">
        <f t="shared" si="6"/>
        <v>8000000</v>
      </c>
      <c r="BB34" s="1">
        <v>3</v>
      </c>
      <c r="BC34" s="1">
        <v>30</v>
      </c>
      <c r="BF34" s="40">
        <v>100</v>
      </c>
      <c r="BG34" s="39">
        <f t="shared" si="108"/>
        <v>163096000</v>
      </c>
      <c r="BH34" s="40">
        <v>250</v>
      </c>
      <c r="BI34" s="39">
        <f t="shared" si="109"/>
        <v>630691000</v>
      </c>
      <c r="BK34" s="106"/>
      <c r="BL34" s="106"/>
      <c r="BM34" s="40">
        <v>100</v>
      </c>
      <c r="BN34" s="39">
        <f t="shared" si="110"/>
        <v>142251999.99999997</v>
      </c>
      <c r="BO34" s="40">
        <v>250</v>
      </c>
      <c r="BP34" s="39">
        <f t="shared" si="111"/>
        <v>437272000</v>
      </c>
      <c r="BR34" s="106"/>
      <c r="BT34" s="48" t="e">
        <f t="shared" si="8"/>
        <v>#N/A</v>
      </c>
      <c r="BU34" s="12" t="e">
        <f t="shared" si="9"/>
        <v>#N/A</v>
      </c>
      <c r="BV34" s="103" t="e">
        <f t="shared" si="10"/>
        <v>#N/A</v>
      </c>
      <c r="BW34" s="104" t="e">
        <f t="shared" si="11"/>
        <v>#N/A</v>
      </c>
      <c r="CB34" s="40">
        <v>100</v>
      </c>
      <c r="CC34" s="39">
        <f t="shared" si="112"/>
        <v>117153999.99999999</v>
      </c>
      <c r="CD34" s="40">
        <v>250</v>
      </c>
      <c r="CE34" s="39">
        <f t="shared" si="113"/>
        <v>125148999.99999999</v>
      </c>
      <c r="CG34" s="106"/>
      <c r="CH34" s="106"/>
      <c r="CI34" s="48" t="e">
        <f t="shared" si="12"/>
        <v>#N/A</v>
      </c>
      <c r="CJ34" s="12" t="e">
        <f t="shared" si="13"/>
        <v>#N/A</v>
      </c>
      <c r="CK34" s="105" t="e">
        <f t="shared" si="14"/>
        <v>#N/A</v>
      </c>
      <c r="CL34" s="105" t="e">
        <f t="shared" si="15"/>
        <v>#N/A</v>
      </c>
      <c r="CN34" s="61">
        <f t="shared" si="102"/>
        <v>5.8009387411241065E-2</v>
      </c>
      <c r="CQ34" s="40">
        <v>100</v>
      </c>
      <c r="CR34" s="39">
        <f t="shared" si="114"/>
        <v>117153999.99999999</v>
      </c>
      <c r="CS34" s="40">
        <v>250</v>
      </c>
      <c r="CT34" s="39">
        <f t="shared" si="115"/>
        <v>125148999.99999999</v>
      </c>
      <c r="CV34" s="106"/>
      <c r="CX34" s="48" t="e">
        <f t="shared" si="16"/>
        <v>#N/A</v>
      </c>
      <c r="CY34" s="12" t="e">
        <f t="shared" si="17"/>
        <v>#N/A</v>
      </c>
      <c r="CZ34" s="103" t="e">
        <f t="shared" si="18"/>
        <v>#N/A</v>
      </c>
      <c r="DA34" s="104" t="e">
        <f t="shared" si="19"/>
        <v>#N/A</v>
      </c>
      <c r="DF34" s="40">
        <v>100</v>
      </c>
      <c r="DG34" s="39">
        <f t="shared" si="116"/>
        <v>117153999.99999999</v>
      </c>
      <c r="DH34" s="40">
        <v>250</v>
      </c>
      <c r="DI34" s="39">
        <f t="shared" si="117"/>
        <v>125148999.99999999</v>
      </c>
      <c r="DK34" s="106"/>
      <c r="DL34" s="106"/>
      <c r="DM34" s="48" t="e">
        <f t="shared" si="20"/>
        <v>#N/A</v>
      </c>
      <c r="DN34" s="12" t="e">
        <f t="shared" si="21"/>
        <v>#N/A</v>
      </c>
      <c r="DO34" s="103" t="e">
        <f t="shared" si="22"/>
        <v>#N/A</v>
      </c>
      <c r="DP34" s="104" t="e">
        <f t="shared" si="23"/>
        <v>#N/A</v>
      </c>
      <c r="DR34" s="61">
        <f t="shared" si="103"/>
        <v>0.30623338357069074</v>
      </c>
      <c r="DU34" s="40">
        <v>100</v>
      </c>
      <c r="DV34" s="39">
        <f t="shared" si="118"/>
        <v>117153999.99999999</v>
      </c>
      <c r="DW34" s="40">
        <v>250</v>
      </c>
      <c r="DX34" s="39">
        <f t="shared" si="119"/>
        <v>125148999.99999999</v>
      </c>
      <c r="DZ34" s="106"/>
      <c r="EA34" s="106"/>
      <c r="EB34" s="40">
        <v>100</v>
      </c>
      <c r="EC34" s="39">
        <f t="shared" si="120"/>
        <v>89597000.000000015</v>
      </c>
      <c r="ED34" s="40">
        <v>250</v>
      </c>
      <c r="EE34" s="39">
        <f t="shared" si="121"/>
        <v>150031999.99999997</v>
      </c>
      <c r="EG34" s="106"/>
      <c r="EH34" s="106"/>
      <c r="EI34" s="47" t="str">
        <f t="shared" si="25"/>
        <v>FY18-30</v>
      </c>
      <c r="EJ34" s="16">
        <v>43125</v>
      </c>
      <c r="EK34" s="103">
        <v>16030550.11040193</v>
      </c>
      <c r="EL34" s="104">
        <f t="shared" si="26"/>
        <v>3000000</v>
      </c>
      <c r="EN34" s="104">
        <v>8000000</v>
      </c>
      <c r="EO34" s="1">
        <f t="shared" si="150"/>
        <v>3</v>
      </c>
      <c r="EQ34" s="40">
        <v>100</v>
      </c>
      <c r="ER34" s="39">
        <f t="shared" si="122"/>
        <v>160549999.99999997</v>
      </c>
      <c r="ES34" s="40">
        <v>250</v>
      </c>
      <c r="ET34" s="39">
        <f t="shared" si="123"/>
        <v>687185000</v>
      </c>
      <c r="EU34" s="106"/>
      <c r="EV34" s="106"/>
      <c r="EW34" s="106"/>
      <c r="EX34" s="16" t="s">
        <v>33</v>
      </c>
      <c r="EY34" s="16">
        <v>43489</v>
      </c>
      <c r="EZ34" s="103">
        <v>13937889.72089857</v>
      </c>
      <c r="FA34" s="104">
        <v>3000000</v>
      </c>
      <c r="FF34" s="40">
        <v>100</v>
      </c>
      <c r="FG34" s="39">
        <f t="shared" si="124"/>
        <v>162217000</v>
      </c>
      <c r="FH34" s="40">
        <v>250</v>
      </c>
      <c r="FI34" s="39">
        <f t="shared" si="125"/>
        <v>854467000</v>
      </c>
      <c r="FK34" s="106"/>
      <c r="FL34" s="106"/>
      <c r="FM34" s="40">
        <v>100</v>
      </c>
      <c r="FN34" s="39">
        <f t="shared" si="126"/>
        <v>134585000</v>
      </c>
      <c r="FO34" s="40">
        <v>250</v>
      </c>
      <c r="FP34" s="39">
        <f t="shared" si="127"/>
        <v>575540000</v>
      </c>
      <c r="FR34" s="106"/>
      <c r="FS34" s="106"/>
      <c r="FT34" s="16" t="s">
        <v>39</v>
      </c>
      <c r="FU34" s="16">
        <v>43853</v>
      </c>
      <c r="FV34" s="103">
        <v>34282351.135590076</v>
      </c>
      <c r="FW34" s="104">
        <v>20000000</v>
      </c>
      <c r="FY34" s="1" t="s">
        <v>62</v>
      </c>
      <c r="GB34" s="40">
        <v>100</v>
      </c>
      <c r="GC34" s="39">
        <f t="shared" si="128"/>
        <v>117152000</v>
      </c>
      <c r="GD34" s="40">
        <v>250</v>
      </c>
      <c r="GE34" s="39">
        <f t="shared" si="129"/>
        <v>461567000</v>
      </c>
      <c r="GG34" s="106"/>
      <c r="GH34" s="106"/>
      <c r="GI34" s="40">
        <v>100</v>
      </c>
      <c r="GJ34" s="39">
        <f t="shared" si="130"/>
        <v>89597000.000000015</v>
      </c>
      <c r="GK34" s="40">
        <v>250</v>
      </c>
      <c r="GL34" s="39">
        <f t="shared" si="131"/>
        <v>150031999.99999997</v>
      </c>
      <c r="GN34" s="106"/>
      <c r="GO34" s="106"/>
      <c r="GP34" s="16" t="s">
        <v>38</v>
      </c>
      <c r="GQ34" s="16">
        <v>44217</v>
      </c>
      <c r="GR34" s="103">
        <v>39055239.160839155</v>
      </c>
      <c r="GS34" s="104">
        <v>20000000</v>
      </c>
      <c r="GU34" s="1">
        <v>5</v>
      </c>
      <c r="GV34" s="1">
        <v>80</v>
      </c>
      <c r="GX34" s="40">
        <v>100</v>
      </c>
      <c r="GY34" s="39">
        <f t="shared" si="132"/>
        <v>139102999.99999997</v>
      </c>
      <c r="GZ34" s="40">
        <v>250</v>
      </c>
      <c r="HA34" s="39">
        <f t="shared" si="133"/>
        <v>411953000</v>
      </c>
      <c r="HC34" s="106"/>
      <c r="HD34" s="106"/>
      <c r="HE34" s="16" t="s">
        <v>35</v>
      </c>
      <c r="HF34" s="16">
        <v>44581</v>
      </c>
      <c r="HG34" s="103">
        <v>23312285.071450286</v>
      </c>
      <c r="HH34" s="104">
        <v>8000000</v>
      </c>
      <c r="HJ34" s="1">
        <v>7</v>
      </c>
      <c r="HK34" s="1">
        <v>120</v>
      </c>
      <c r="HM34" s="40">
        <v>100</v>
      </c>
      <c r="HN34" s="39">
        <f t="shared" si="134"/>
        <v>175657000</v>
      </c>
      <c r="HO34" s="40">
        <v>250</v>
      </c>
      <c r="HP34" s="39">
        <f t="shared" si="135"/>
        <v>850911999.99999988</v>
      </c>
      <c r="HR34" s="106"/>
      <c r="HS34" s="106"/>
      <c r="HT34" s="40">
        <v>100</v>
      </c>
      <c r="HU34" s="39">
        <f t="shared" si="136"/>
        <v>145792999.99999997</v>
      </c>
      <c r="HV34" s="40">
        <v>250</v>
      </c>
      <c r="HW34" s="39">
        <f t="shared" si="137"/>
        <v>515888000.00000006</v>
      </c>
      <c r="HY34" s="106"/>
      <c r="HZ34" s="106"/>
      <c r="IA34" s="16" t="s">
        <v>37</v>
      </c>
      <c r="IB34" s="16">
        <v>44952</v>
      </c>
      <c r="IC34" s="103">
        <v>41976722.529644273</v>
      </c>
      <c r="ID34" s="104">
        <v>20000000</v>
      </c>
      <c r="IF34" s="1">
        <v>6</v>
      </c>
      <c r="IG34" s="1">
        <v>80</v>
      </c>
      <c r="II34" s="40">
        <v>100</v>
      </c>
      <c r="IJ34" s="39">
        <f t="shared" si="138"/>
        <v>158314000</v>
      </c>
      <c r="IK34" s="40">
        <v>250</v>
      </c>
      <c r="IL34" s="39">
        <f t="shared" si="139"/>
        <v>538114000</v>
      </c>
      <c r="IN34" s="106"/>
      <c r="IO34" s="106"/>
      <c r="IP34" s="40">
        <v>100</v>
      </c>
      <c r="IQ34" s="39">
        <f t="shared" si="140"/>
        <v>122583000.00000001</v>
      </c>
      <c r="IR34" s="40">
        <v>250</v>
      </c>
      <c r="IS34" s="39">
        <f t="shared" si="141"/>
        <v>226068000</v>
      </c>
      <c r="IU34" s="106"/>
      <c r="IV34" s="106"/>
      <c r="IW34" s="16" t="s">
        <v>169</v>
      </c>
      <c r="IX34" s="12">
        <v>44217</v>
      </c>
      <c r="IY34" s="103">
        <v>39055239.160839155</v>
      </c>
      <c r="IZ34" s="104">
        <v>20000000</v>
      </c>
      <c r="JB34" s="1">
        <v>6</v>
      </c>
      <c r="JC34" s="1">
        <v>80</v>
      </c>
      <c r="JE34" s="40">
        <v>100</v>
      </c>
      <c r="JF34" s="39">
        <f t="shared" si="142"/>
        <v>158314000</v>
      </c>
      <c r="JG34" s="40">
        <v>250</v>
      </c>
      <c r="JH34" s="39">
        <f t="shared" si="143"/>
        <v>538114000</v>
      </c>
      <c r="JI34" s="39"/>
      <c r="JJ34" s="39"/>
      <c r="JL34" s="106"/>
      <c r="JM34" s="106"/>
      <c r="JN34" s="40">
        <v>100</v>
      </c>
      <c r="JO34" s="39">
        <f t="shared" si="144"/>
        <v>122583000.00000001</v>
      </c>
      <c r="JP34" s="40">
        <v>250</v>
      </c>
      <c r="JQ34" s="39">
        <f t="shared" si="145"/>
        <v>226068000</v>
      </c>
      <c r="JR34" s="39"/>
      <c r="JS34" s="39"/>
      <c r="JT34" s="39"/>
      <c r="JU34" s="39"/>
      <c r="JW34" s="106"/>
      <c r="JX34" s="106"/>
      <c r="KL34" s="1">
        <v>5</v>
      </c>
      <c r="KM34" s="1">
        <v>30</v>
      </c>
      <c r="LJ34" s="1">
        <v>1</v>
      </c>
      <c r="LK34" s="1">
        <v>3</v>
      </c>
      <c r="MH34" s="1">
        <v>5</v>
      </c>
      <c r="MI34" s="1">
        <v>60</v>
      </c>
      <c r="NA34" s="16" t="s">
        <v>34</v>
      </c>
      <c r="NB34" s="16">
        <v>43041</v>
      </c>
      <c r="NC34" s="103">
        <v>16118190</v>
      </c>
      <c r="ND34" s="104">
        <v>6000000</v>
      </c>
      <c r="NF34" s="1">
        <v>5</v>
      </c>
      <c r="NG34" s="1">
        <v>25</v>
      </c>
      <c r="NI34" s="40">
        <v>100</v>
      </c>
      <c r="NJ34" s="39">
        <f t="shared" si="146"/>
        <v>128104000.00000001</v>
      </c>
      <c r="NK34" s="40">
        <v>250</v>
      </c>
      <c r="NL34" s="39">
        <f t="shared" si="147"/>
        <v>327334000</v>
      </c>
      <c r="NN34" s="106"/>
      <c r="NP34" s="16" t="s">
        <v>33</v>
      </c>
      <c r="NQ34" s="16">
        <v>43412</v>
      </c>
      <c r="NR34" s="103">
        <v>69371610</v>
      </c>
      <c r="NS34" s="104">
        <v>60000000</v>
      </c>
      <c r="NX34" s="40">
        <v>100</v>
      </c>
      <c r="NY34" s="39">
        <f t="shared" si="148"/>
        <v>155857000</v>
      </c>
      <c r="NZ34" s="40">
        <v>250</v>
      </c>
      <c r="OA34" s="39">
        <f t="shared" si="149"/>
        <v>805492000.00000012</v>
      </c>
      <c r="OC34" s="106"/>
    </row>
    <row r="35" spans="2:393" x14ac:dyDescent="0.25">
      <c r="B35" s="5"/>
      <c r="C35" s="5"/>
      <c r="D35" s="5"/>
      <c r="F35" s="5" t="s">
        <v>60</v>
      </c>
      <c r="G35" s="51">
        <f t="shared" si="99"/>
        <v>45658</v>
      </c>
      <c r="H35" s="51">
        <f t="shared" si="100"/>
        <v>45838</v>
      </c>
      <c r="I35" s="50">
        <f t="shared" si="98"/>
        <v>26</v>
      </c>
      <c r="K35" s="7">
        <v>31</v>
      </c>
      <c r="M35" s="5" t="str" cm="1">
        <f t="array" ref="M35">LOOKUP(2,1/($G$19:$G$35&lt;=$V35)/($H$19:$H$35&gt;=$V35),$F$19:$F$35)</f>
        <v>1H18</v>
      </c>
      <c r="N35" s="5" t="str" cm="1">
        <f t="array" ref="N35">LOOKUP(2,1/($G$8:$G$16&lt;=$V35)/($H$8:$H$16&gt;=$V35),$F$8:$F$16)</f>
        <v>FY18</v>
      </c>
      <c r="O35" s="5" t="str">
        <f>IFERROR(N35&amp;"-"&amp;COUNTIF($N$19:N35,N35),NA())</f>
        <v>FY18-5</v>
      </c>
      <c r="P35" s="5">
        <f>COUNTIF(V$19:V35,"&gt;="&amp;MAX($V:$V)-183)</f>
        <v>0</v>
      </c>
      <c r="Q35" s="5">
        <f>COUNTIF(V$19:V35,"&gt;="&amp;MAX($V:$V)-365)</f>
        <v>0</v>
      </c>
      <c r="R35" s="5" cm="1">
        <f t="array" ref="R35">LOOKUP(2,1/($G$46:$G$50&lt;=$V35)/($H$46:$H$50&gt;=$V35),$F$46:$F$50)</f>
        <v>0</v>
      </c>
      <c r="S35" s="5" cm="1">
        <f t="array" ref="S35">LOOKUP(2,1/($G$53:$G$56&lt;=$V35)/($H$53:$H$56&gt;=$V35),$F$53:$F$56)</f>
        <v>0</v>
      </c>
      <c r="T35" s="5" t="e">
        <f>IFERROR(IF($R35&gt;0,$R35&amp;"-"&amp;COUNTIF($R$19:$R35,$R35),NA()),NA())</f>
        <v>#N/A</v>
      </c>
      <c r="U35" s="5" t="e">
        <f>IFERROR(IF($S35&gt;0,$S35&amp;"-"&amp;COUNTIF($S$19:$S35,$S35),NA()),NA())</f>
        <v>#N/A</v>
      </c>
      <c r="V35" s="10">
        <v>42950</v>
      </c>
      <c r="W35" s="101">
        <v>17372581.597377952</v>
      </c>
      <c r="X35" s="101">
        <v>16139996.933043985</v>
      </c>
      <c r="Y35" s="102">
        <v>6000000</v>
      </c>
      <c r="AA35" s="48" t="e">
        <f t="shared" si="44"/>
        <v>#N/A</v>
      </c>
      <c r="AB35" s="12" t="e">
        <f t="shared" si="0"/>
        <v>#N/A</v>
      </c>
      <c r="AC35" s="103" t="e">
        <f t="shared" si="1"/>
        <v>#N/A</v>
      </c>
      <c r="AD35" s="104" t="e">
        <f t="shared" si="2"/>
        <v>#N/A</v>
      </c>
      <c r="AF35" s="1">
        <v>6</v>
      </c>
      <c r="AG35" s="1">
        <v>160</v>
      </c>
      <c r="AI35" s="40">
        <v>110</v>
      </c>
      <c r="AJ35" s="39">
        <f t="shared" si="104"/>
        <v>183312000</v>
      </c>
      <c r="AK35" s="40">
        <v>260</v>
      </c>
      <c r="AL35" s="39">
        <f t="shared" si="105"/>
        <v>612087000</v>
      </c>
      <c r="AN35" s="106"/>
      <c r="AO35" s="106"/>
      <c r="AP35" s="40">
        <v>110</v>
      </c>
      <c r="AQ35" s="39">
        <f t="shared" si="106"/>
        <v>111019000</v>
      </c>
      <c r="AR35" s="40">
        <v>260</v>
      </c>
      <c r="AS35" s="39">
        <f t="shared" si="107"/>
        <v>84844000.00000003</v>
      </c>
      <c r="AU35" s="106"/>
      <c r="AW35" s="48">
        <f t="shared" si="45"/>
        <v>31</v>
      </c>
      <c r="AX35" s="12">
        <f t="shared" si="4"/>
        <v>45050</v>
      </c>
      <c r="AY35" s="103">
        <f t="shared" si="5"/>
        <v>41813564.487686224</v>
      </c>
      <c r="AZ35" s="104">
        <f t="shared" si="6"/>
        <v>20000000</v>
      </c>
      <c r="BB35" s="1">
        <v>4</v>
      </c>
      <c r="BC35" s="1">
        <v>50</v>
      </c>
      <c r="BF35" s="40">
        <v>110</v>
      </c>
      <c r="BG35" s="39">
        <f t="shared" si="108"/>
        <v>184889000</v>
      </c>
      <c r="BH35" s="40">
        <v>260</v>
      </c>
      <c r="BI35" s="39">
        <f t="shared" si="109"/>
        <v>672584000.00000012</v>
      </c>
      <c r="BK35" s="106"/>
      <c r="BL35" s="106"/>
      <c r="BM35" s="40">
        <v>110</v>
      </c>
      <c r="BN35" s="39">
        <f t="shared" si="110"/>
        <v>157860000</v>
      </c>
      <c r="BO35" s="40">
        <v>260</v>
      </c>
      <c r="BP35" s="39">
        <f t="shared" si="111"/>
        <v>461580000</v>
      </c>
      <c r="BR35" s="106"/>
      <c r="BT35" s="48" t="e">
        <f t="shared" si="8"/>
        <v>#N/A</v>
      </c>
      <c r="BU35" s="12" t="e">
        <f t="shared" si="9"/>
        <v>#N/A</v>
      </c>
      <c r="BV35" s="103" t="e">
        <f t="shared" si="10"/>
        <v>#N/A</v>
      </c>
      <c r="BW35" s="104" t="e">
        <f t="shared" si="11"/>
        <v>#N/A</v>
      </c>
      <c r="CB35" s="40">
        <v>110</v>
      </c>
      <c r="CC35" s="39">
        <f t="shared" si="112"/>
        <v>123146999.99999997</v>
      </c>
      <c r="CD35" s="40">
        <v>260</v>
      </c>
      <c r="CE35" s="39">
        <f t="shared" si="113"/>
        <v>119442000</v>
      </c>
      <c r="CG35" s="106"/>
      <c r="CH35" s="106"/>
      <c r="CI35" s="48" t="e">
        <f t="shared" si="12"/>
        <v>#N/A</v>
      </c>
      <c r="CJ35" s="12" t="e">
        <f t="shared" si="13"/>
        <v>#N/A</v>
      </c>
      <c r="CK35" s="105" t="e">
        <f t="shared" si="14"/>
        <v>#N/A</v>
      </c>
      <c r="CL35" s="105" t="e">
        <f t="shared" si="15"/>
        <v>#N/A</v>
      </c>
      <c r="CN35" s="61">
        <f t="shared" si="102"/>
        <v>5.7226675693279772E-2</v>
      </c>
      <c r="CQ35" s="40">
        <v>110</v>
      </c>
      <c r="CR35" s="39">
        <f t="shared" si="114"/>
        <v>123146999.99999997</v>
      </c>
      <c r="CS35" s="40">
        <v>260</v>
      </c>
      <c r="CT35" s="39">
        <f t="shared" si="115"/>
        <v>119442000</v>
      </c>
      <c r="CV35" s="106"/>
      <c r="CX35" s="48" t="e">
        <f t="shared" si="16"/>
        <v>#N/A</v>
      </c>
      <c r="CY35" s="12" t="e">
        <f t="shared" si="17"/>
        <v>#N/A</v>
      </c>
      <c r="CZ35" s="103" t="e">
        <f t="shared" si="18"/>
        <v>#N/A</v>
      </c>
      <c r="DA35" s="104" t="e">
        <f t="shared" si="19"/>
        <v>#N/A</v>
      </c>
      <c r="DF35" s="40">
        <v>110</v>
      </c>
      <c r="DG35" s="39">
        <f t="shared" si="116"/>
        <v>123146999.99999997</v>
      </c>
      <c r="DH35" s="40">
        <v>260</v>
      </c>
      <c r="DI35" s="39">
        <f t="shared" si="117"/>
        <v>119442000</v>
      </c>
      <c r="DK35" s="106"/>
      <c r="DL35" s="106"/>
      <c r="DM35" s="48" t="e">
        <f t="shared" si="20"/>
        <v>#N/A</v>
      </c>
      <c r="DN35" s="12" t="e">
        <f t="shared" si="21"/>
        <v>#N/A</v>
      </c>
      <c r="DO35" s="103" t="e">
        <f t="shared" si="22"/>
        <v>#N/A</v>
      </c>
      <c r="DP35" s="104" t="e">
        <f t="shared" si="23"/>
        <v>#N/A</v>
      </c>
      <c r="DR35" s="61">
        <f t="shared" si="103"/>
        <v>0.30748843446727125</v>
      </c>
      <c r="DU35" s="40">
        <v>110</v>
      </c>
      <c r="DV35" s="39">
        <f t="shared" si="118"/>
        <v>123146999.99999997</v>
      </c>
      <c r="DW35" s="40">
        <v>260</v>
      </c>
      <c r="DX35" s="39">
        <f t="shared" si="119"/>
        <v>119442000</v>
      </c>
      <c r="DZ35" s="106"/>
      <c r="EA35" s="106"/>
      <c r="EB35" s="40">
        <v>110</v>
      </c>
      <c r="EC35" s="39">
        <f t="shared" si="120"/>
        <v>95586000.000000015</v>
      </c>
      <c r="ED35" s="40">
        <v>260</v>
      </c>
      <c r="EE35" s="39">
        <f t="shared" si="121"/>
        <v>151821000</v>
      </c>
      <c r="EG35" s="106"/>
      <c r="EH35" s="106"/>
      <c r="EI35" s="47" t="str">
        <f t="shared" si="25"/>
        <v>FY18-31</v>
      </c>
      <c r="EJ35" s="16">
        <v>43132</v>
      </c>
      <c r="EK35" s="103">
        <v>12845804.885285491</v>
      </c>
      <c r="EL35" s="104">
        <f t="shared" si="26"/>
        <v>3000000</v>
      </c>
      <c r="EN35" s="104">
        <v>12000000</v>
      </c>
      <c r="EO35" s="1">
        <f t="shared" si="150"/>
        <v>1</v>
      </c>
      <c r="EQ35" s="40">
        <v>110</v>
      </c>
      <c r="ER35" s="39">
        <f t="shared" si="122"/>
        <v>184319000</v>
      </c>
      <c r="ES35" s="40">
        <v>260</v>
      </c>
      <c r="ET35" s="39">
        <f t="shared" si="123"/>
        <v>735253999.99999988</v>
      </c>
      <c r="EU35" s="106"/>
      <c r="EV35" s="106"/>
      <c r="EW35" s="106"/>
      <c r="EX35" s="16" t="s">
        <v>33</v>
      </c>
      <c r="EY35" s="16">
        <v>43496</v>
      </c>
      <c r="EZ35" s="103">
        <v>18140342.842997711</v>
      </c>
      <c r="FA35" s="104">
        <v>8000000</v>
      </c>
      <c r="FF35" s="40">
        <v>110</v>
      </c>
      <c r="FG35" s="39">
        <f t="shared" si="124"/>
        <v>190727000</v>
      </c>
      <c r="FH35" s="40">
        <v>260</v>
      </c>
      <c r="FI35" s="39">
        <f t="shared" si="125"/>
        <v>920776999.99999988</v>
      </c>
      <c r="FK35" s="106"/>
      <c r="FL35" s="106"/>
      <c r="FM35" s="40">
        <v>110</v>
      </c>
      <c r="FN35" s="39">
        <f t="shared" si="126"/>
        <v>154322000</v>
      </c>
      <c r="FO35" s="40">
        <v>260</v>
      </c>
      <c r="FP35" s="39">
        <f t="shared" si="127"/>
        <v>615977000.00000012</v>
      </c>
      <c r="FR35" s="106"/>
      <c r="FS35" s="106"/>
      <c r="FT35" s="16" t="s">
        <v>39</v>
      </c>
      <c r="FU35" s="16">
        <v>43860</v>
      </c>
      <c r="FV35" s="103">
        <v>45674629.370629363</v>
      </c>
      <c r="FW35" s="104">
        <v>40000000</v>
      </c>
      <c r="GB35" s="40">
        <v>110</v>
      </c>
      <c r="GC35" s="39">
        <f t="shared" si="128"/>
        <v>132833000</v>
      </c>
      <c r="GD35" s="40">
        <v>260</v>
      </c>
      <c r="GE35" s="39">
        <f t="shared" si="129"/>
        <v>492847999.99999994</v>
      </c>
      <c r="GG35" s="106"/>
      <c r="GH35" s="106"/>
      <c r="GI35" s="40">
        <v>110</v>
      </c>
      <c r="GJ35" s="39">
        <f t="shared" si="130"/>
        <v>95586000.000000015</v>
      </c>
      <c r="GK35" s="40">
        <v>260</v>
      </c>
      <c r="GL35" s="39">
        <f t="shared" si="131"/>
        <v>151821000</v>
      </c>
      <c r="GN35" s="106"/>
      <c r="GO35" s="106"/>
      <c r="GP35" s="16" t="s">
        <v>38</v>
      </c>
      <c r="GQ35" s="16">
        <v>44224</v>
      </c>
      <c r="GR35" s="103">
        <v>22190279.355427179</v>
      </c>
      <c r="GS35" s="104">
        <v>8000000</v>
      </c>
      <c r="GX35" s="40">
        <v>110</v>
      </c>
      <c r="GY35" s="39">
        <f t="shared" si="132"/>
        <v>153933000</v>
      </c>
      <c r="GZ35" s="40">
        <v>260</v>
      </c>
      <c r="HA35" s="39">
        <f t="shared" si="133"/>
        <v>433982999.99999994</v>
      </c>
      <c r="HC35" s="106"/>
      <c r="HD35" s="106"/>
      <c r="HE35" s="16" t="s">
        <v>35</v>
      </c>
      <c r="HF35" s="16">
        <v>44588</v>
      </c>
      <c r="HG35" s="103">
        <v>34469990.878686532</v>
      </c>
      <c r="HH35" s="104">
        <v>20000000</v>
      </c>
      <c r="HM35" s="40">
        <v>110</v>
      </c>
      <c r="HN35" s="39">
        <f t="shared" si="134"/>
        <v>204014000</v>
      </c>
      <c r="HO35" s="40">
        <v>260</v>
      </c>
      <c r="HP35" s="39">
        <f t="shared" si="135"/>
        <v>914969000</v>
      </c>
      <c r="HR35" s="106"/>
      <c r="HS35" s="106"/>
      <c r="HT35" s="40">
        <v>110</v>
      </c>
      <c r="HU35" s="39">
        <f t="shared" si="136"/>
        <v>163745999.99999997</v>
      </c>
      <c r="HV35" s="40">
        <v>260</v>
      </c>
      <c r="HW35" s="39">
        <f t="shared" si="137"/>
        <v>548241000</v>
      </c>
      <c r="HY35" s="106"/>
      <c r="HZ35" s="106"/>
      <c r="IA35" s="16" t="s">
        <v>37</v>
      </c>
      <c r="IB35" s="16">
        <v>44959</v>
      </c>
      <c r="IC35" s="103">
        <v>59808873.700212829</v>
      </c>
      <c r="ID35" s="104">
        <v>40000000</v>
      </c>
      <c r="IF35" s="1">
        <v>7</v>
      </c>
      <c r="IG35" s="1">
        <v>120</v>
      </c>
      <c r="II35" s="40">
        <v>110</v>
      </c>
      <c r="IJ35" s="39">
        <f t="shared" si="138"/>
        <v>177334000</v>
      </c>
      <c r="IK35" s="40">
        <v>260</v>
      </c>
      <c r="IL35" s="39">
        <f t="shared" si="139"/>
        <v>570634000</v>
      </c>
      <c r="IN35" s="106"/>
      <c r="IO35" s="106"/>
      <c r="IP35" s="40">
        <v>110</v>
      </c>
      <c r="IQ35" s="39">
        <f t="shared" si="140"/>
        <v>131582000</v>
      </c>
      <c r="IR35" s="40">
        <v>260</v>
      </c>
      <c r="IS35" s="39">
        <f t="shared" si="141"/>
        <v>230567000</v>
      </c>
      <c r="IU35" s="106"/>
      <c r="IV35" s="106"/>
      <c r="IW35" s="16" t="s">
        <v>169</v>
      </c>
      <c r="IX35" s="12">
        <v>44224</v>
      </c>
      <c r="IY35" s="103">
        <v>22190279.355427179</v>
      </c>
      <c r="IZ35" s="104">
        <v>8000000</v>
      </c>
      <c r="JB35" s="1">
        <v>7</v>
      </c>
      <c r="JC35" s="1">
        <v>120</v>
      </c>
      <c r="JE35" s="40">
        <v>110</v>
      </c>
      <c r="JF35" s="39">
        <f t="shared" si="142"/>
        <v>177334000</v>
      </c>
      <c r="JG35" s="40">
        <v>260</v>
      </c>
      <c r="JH35" s="39">
        <f t="shared" si="143"/>
        <v>570634000</v>
      </c>
      <c r="JI35" s="39"/>
      <c r="JJ35" s="39"/>
      <c r="JL35" s="106"/>
      <c r="JM35" s="106"/>
      <c r="JN35" s="40">
        <v>110</v>
      </c>
      <c r="JO35" s="39">
        <f t="shared" si="144"/>
        <v>131582000</v>
      </c>
      <c r="JP35" s="40">
        <v>260</v>
      </c>
      <c r="JQ35" s="39">
        <f t="shared" si="145"/>
        <v>230567000</v>
      </c>
      <c r="JR35" s="39"/>
      <c r="JS35" s="39"/>
      <c r="JT35" s="39"/>
      <c r="JU35" s="39"/>
      <c r="JW35" s="106"/>
      <c r="JX35" s="106"/>
      <c r="KL35" s="1">
        <v>6</v>
      </c>
      <c r="KM35" s="1">
        <v>40</v>
      </c>
      <c r="LJ35" s="1">
        <v>2</v>
      </c>
      <c r="LK35" s="1">
        <v>8</v>
      </c>
      <c r="MH35" s="1">
        <v>6</v>
      </c>
      <c r="MI35" s="1">
        <v>80</v>
      </c>
      <c r="NA35" s="16" t="s">
        <v>34</v>
      </c>
      <c r="NB35" s="16">
        <v>43048</v>
      </c>
      <c r="NC35" s="103">
        <v>13037420</v>
      </c>
      <c r="ND35" s="104">
        <v>3000000</v>
      </c>
      <c r="NF35" s="1">
        <v>6</v>
      </c>
      <c r="NG35" s="1">
        <v>35</v>
      </c>
      <c r="NI35" s="40">
        <v>110</v>
      </c>
      <c r="NJ35" s="39">
        <f t="shared" si="146"/>
        <v>140546000</v>
      </c>
      <c r="NK35" s="40">
        <v>260</v>
      </c>
      <c r="NL35" s="39">
        <f t="shared" si="147"/>
        <v>341576000</v>
      </c>
      <c r="NN35" s="106"/>
      <c r="NP35" s="16" t="s">
        <v>33</v>
      </c>
      <c r="NQ35" s="16">
        <v>43419</v>
      </c>
      <c r="NR35" s="103">
        <v>13565772</v>
      </c>
      <c r="NS35" s="104">
        <v>3000000</v>
      </c>
      <c r="NX35" s="40">
        <v>110</v>
      </c>
      <c r="NY35" s="39">
        <f t="shared" si="148"/>
        <v>182786000</v>
      </c>
      <c r="NZ35" s="40">
        <v>260</v>
      </c>
      <c r="OA35" s="39">
        <f t="shared" si="149"/>
        <v>867521000.00000024</v>
      </c>
      <c r="OC35" s="106"/>
    </row>
    <row r="36" spans="2:393" x14ac:dyDescent="0.25">
      <c r="B36" s="5"/>
      <c r="C36" s="5"/>
      <c r="D36" s="5"/>
      <c r="F36" s="5"/>
      <c r="G36" s="5"/>
      <c r="H36" s="5"/>
      <c r="I36" s="5"/>
      <c r="K36" s="7">
        <v>32</v>
      </c>
      <c r="M36" s="5" t="str" cm="1">
        <f t="array" ref="M36">LOOKUP(2,1/($G$19:$G$35&lt;=$V36)/($H$19:$H$35&gt;=$V36),$F$19:$F$35)</f>
        <v>1H18</v>
      </c>
      <c r="N36" s="5" t="str" cm="1">
        <f t="array" ref="N36">LOOKUP(2,1/($G$8:$G$16&lt;=$V36)/($H$8:$H$16&gt;=$V36),$F$8:$F$16)</f>
        <v>FY18</v>
      </c>
      <c r="O36" s="5" t="str">
        <f>IFERROR(N36&amp;"-"&amp;COUNTIF($N$19:N36,N36),NA())</f>
        <v>FY18-6</v>
      </c>
      <c r="P36" s="5">
        <f>COUNTIF(V$19:V36,"&gt;="&amp;MAX($V:$V)-183)</f>
        <v>0</v>
      </c>
      <c r="Q36" s="5">
        <f>COUNTIF(V$19:V36,"&gt;="&amp;MAX($V:$V)-365)</f>
        <v>0</v>
      </c>
      <c r="R36" s="5" cm="1">
        <f t="array" ref="R36">LOOKUP(2,1/($G$46:$G$50&lt;=$V36)/($H$46:$H$50&gt;=$V36),$F$46:$F$50)</f>
        <v>0</v>
      </c>
      <c r="S36" s="5" cm="1">
        <f t="array" ref="S36">LOOKUP(2,1/($G$53:$G$56&lt;=$V36)/($H$53:$H$56&gt;=$V36),$F$53:$F$56)</f>
        <v>0</v>
      </c>
      <c r="T36" s="5" t="e">
        <f>IFERROR(IF($R36&gt;0,$R36&amp;"-"&amp;COUNTIF($R$19:$R36,$R36),NA()),NA())</f>
        <v>#N/A</v>
      </c>
      <c r="U36" s="5" t="e">
        <f>IFERROR(IF($S36&gt;0,$S36&amp;"-"&amp;COUNTIF($S$19:$S36,$S36),NA()),NA())</f>
        <v>#N/A</v>
      </c>
      <c r="V36" s="10">
        <v>42957</v>
      </c>
      <c r="W36" s="101">
        <v>13797288.766603414</v>
      </c>
      <c r="X36" s="101">
        <v>12818371.1286129</v>
      </c>
      <c r="Y36" s="102">
        <v>3000000</v>
      </c>
      <c r="AA36" s="48" t="e">
        <f t="shared" si="44"/>
        <v>#N/A</v>
      </c>
      <c r="AB36" s="12" t="e">
        <f t="shared" si="0"/>
        <v>#N/A</v>
      </c>
      <c r="AC36" s="103" t="e">
        <f t="shared" si="1"/>
        <v>#N/A</v>
      </c>
      <c r="AD36" s="104" t="e">
        <f t="shared" si="2"/>
        <v>#N/A</v>
      </c>
      <c r="AI36" s="40">
        <v>120</v>
      </c>
      <c r="AJ36" s="39">
        <f t="shared" si="104"/>
        <v>204617000</v>
      </c>
      <c r="AK36" s="40">
        <v>270</v>
      </c>
      <c r="AL36" s="39">
        <f t="shared" si="105"/>
        <v>648992000</v>
      </c>
      <c r="AN36" s="106"/>
      <c r="AO36" s="106"/>
      <c r="AP36" s="40">
        <v>120</v>
      </c>
      <c r="AQ36" s="39">
        <f t="shared" si="106"/>
        <v>114874000.00000003</v>
      </c>
      <c r="AR36" s="40">
        <v>270</v>
      </c>
      <c r="AS36" s="39">
        <f t="shared" si="107"/>
        <v>76698999.999999985</v>
      </c>
      <c r="AU36" s="106"/>
      <c r="AW36" s="48">
        <f t="shared" si="45"/>
        <v>32</v>
      </c>
      <c r="AX36" s="12">
        <f t="shared" si="4"/>
        <v>45057</v>
      </c>
      <c r="AY36" s="103">
        <f t="shared" si="5"/>
        <v>19348700.760109454</v>
      </c>
      <c r="AZ36" s="104">
        <f t="shared" si="6"/>
        <v>4000000</v>
      </c>
      <c r="BB36" s="1">
        <v>5</v>
      </c>
      <c r="BC36" s="1">
        <v>100</v>
      </c>
      <c r="BF36" s="40">
        <v>120</v>
      </c>
      <c r="BG36" s="39">
        <f t="shared" si="108"/>
        <v>208022000</v>
      </c>
      <c r="BH36" s="40">
        <v>270</v>
      </c>
      <c r="BI36" s="39">
        <f t="shared" si="109"/>
        <v>715817000</v>
      </c>
      <c r="BK36" s="106"/>
      <c r="BL36" s="106"/>
      <c r="BM36" s="40">
        <v>120</v>
      </c>
      <c r="BN36" s="39">
        <f t="shared" si="110"/>
        <v>174048000</v>
      </c>
      <c r="BO36" s="40">
        <v>270</v>
      </c>
      <c r="BP36" s="39">
        <f t="shared" si="111"/>
        <v>486467999.99999994</v>
      </c>
      <c r="BR36" s="106"/>
      <c r="BT36" s="48" t="e">
        <f t="shared" si="8"/>
        <v>#N/A</v>
      </c>
      <c r="BU36" s="12" t="e">
        <f t="shared" si="9"/>
        <v>#N/A</v>
      </c>
      <c r="BV36" s="103" t="e">
        <f t="shared" si="10"/>
        <v>#N/A</v>
      </c>
      <c r="BW36" s="104" t="e">
        <f t="shared" si="11"/>
        <v>#N/A</v>
      </c>
      <c r="CB36" s="40">
        <v>120</v>
      </c>
      <c r="CC36" s="39">
        <f t="shared" si="112"/>
        <v>128360000.00000001</v>
      </c>
      <c r="CD36" s="40">
        <v>270</v>
      </c>
      <c r="CE36" s="39">
        <f t="shared" si="113"/>
        <v>112954999.99999997</v>
      </c>
      <c r="CG36" s="106"/>
      <c r="CH36" s="106"/>
      <c r="CI36" s="48" t="e">
        <f t="shared" si="12"/>
        <v>#N/A</v>
      </c>
      <c r="CJ36" s="12" t="e">
        <f t="shared" si="13"/>
        <v>#N/A</v>
      </c>
      <c r="CK36" s="105" t="e">
        <f t="shared" si="14"/>
        <v>#N/A</v>
      </c>
      <c r="CL36" s="105" t="e">
        <f t="shared" si="15"/>
        <v>#N/A</v>
      </c>
      <c r="CN36" s="61"/>
      <c r="CQ36" s="40">
        <v>120</v>
      </c>
      <c r="CR36" s="39">
        <f t="shared" si="114"/>
        <v>128360000.00000001</v>
      </c>
      <c r="CS36" s="40">
        <v>270</v>
      </c>
      <c r="CT36" s="39">
        <f t="shared" si="115"/>
        <v>112954999.99999997</v>
      </c>
      <c r="CV36" s="106"/>
      <c r="CX36" s="48" t="e">
        <f t="shared" si="16"/>
        <v>#N/A</v>
      </c>
      <c r="CY36" s="12" t="e">
        <f t="shared" si="17"/>
        <v>#N/A</v>
      </c>
      <c r="CZ36" s="103" t="e">
        <f t="shared" si="18"/>
        <v>#N/A</v>
      </c>
      <c r="DA36" s="104" t="e">
        <f t="shared" si="19"/>
        <v>#N/A</v>
      </c>
      <c r="DF36" s="40">
        <v>120</v>
      </c>
      <c r="DG36" s="39">
        <f t="shared" si="116"/>
        <v>128360000.00000001</v>
      </c>
      <c r="DH36" s="40">
        <v>270</v>
      </c>
      <c r="DI36" s="39">
        <f t="shared" si="117"/>
        <v>112954999.99999997</v>
      </c>
      <c r="DK36" s="106"/>
      <c r="DL36" s="106"/>
      <c r="DM36" s="48" t="e">
        <f t="shared" si="20"/>
        <v>#N/A</v>
      </c>
      <c r="DN36" s="12" t="e">
        <f t="shared" si="21"/>
        <v>#N/A</v>
      </c>
      <c r="DO36" s="103" t="e">
        <f t="shared" si="22"/>
        <v>#N/A</v>
      </c>
      <c r="DP36" s="104" t="e">
        <f t="shared" si="23"/>
        <v>#N/A</v>
      </c>
      <c r="DR36" s="61">
        <f t="shared" si="103"/>
        <v>0.30859514992235093</v>
      </c>
      <c r="DU36" s="40">
        <v>120</v>
      </c>
      <c r="DV36" s="39">
        <f t="shared" si="118"/>
        <v>128360000.00000001</v>
      </c>
      <c r="DW36" s="40">
        <v>270</v>
      </c>
      <c r="DX36" s="39">
        <f t="shared" si="119"/>
        <v>112954999.99999997</v>
      </c>
      <c r="DZ36" s="106"/>
      <c r="EA36" s="106"/>
      <c r="EB36" s="40">
        <v>120</v>
      </c>
      <c r="EC36" s="39">
        <f t="shared" si="120"/>
        <v>101295000</v>
      </c>
      <c r="ED36" s="40">
        <v>270</v>
      </c>
      <c r="EE36" s="39">
        <f t="shared" si="121"/>
        <v>153329999.99999997</v>
      </c>
      <c r="EG36" s="106"/>
      <c r="EH36" s="106"/>
      <c r="EI36" s="47" t="str">
        <f t="shared" si="25"/>
        <v>FY18-32</v>
      </c>
      <c r="EJ36" s="16">
        <v>43139</v>
      </c>
      <c r="EK36" s="103">
        <v>16219147.414179746</v>
      </c>
      <c r="EL36" s="104">
        <f t="shared" si="26"/>
        <v>6000000</v>
      </c>
      <c r="EN36" s="104">
        <v>20000000</v>
      </c>
      <c r="EO36" s="1">
        <f t="shared" si="150"/>
        <v>1</v>
      </c>
      <c r="EQ36" s="40">
        <v>120</v>
      </c>
      <c r="ER36" s="39">
        <f t="shared" si="122"/>
        <v>209708000</v>
      </c>
      <c r="ES36" s="40">
        <v>270</v>
      </c>
      <c r="ET36" s="39">
        <f t="shared" si="123"/>
        <v>784943000</v>
      </c>
      <c r="EU36" s="106"/>
      <c r="EV36" s="106"/>
      <c r="EW36" s="106"/>
      <c r="EX36" s="16" t="s">
        <v>33</v>
      </c>
      <c r="EY36" s="16">
        <v>43503</v>
      </c>
      <c r="EZ36" s="103">
        <v>25118955.133362219</v>
      </c>
      <c r="FA36" s="104">
        <v>12000000</v>
      </c>
      <c r="FF36" s="40">
        <v>120</v>
      </c>
      <c r="FG36" s="39">
        <f t="shared" si="124"/>
        <v>221757000</v>
      </c>
      <c r="FH36" s="40">
        <v>270</v>
      </c>
      <c r="FI36" s="39">
        <f t="shared" si="125"/>
        <v>989607000</v>
      </c>
      <c r="FK36" s="106"/>
      <c r="FL36" s="106"/>
      <c r="FM36" s="40">
        <v>120</v>
      </c>
      <c r="FN36" s="39">
        <f t="shared" si="126"/>
        <v>175439000.00000003</v>
      </c>
      <c r="FO36" s="40">
        <v>270</v>
      </c>
      <c r="FP36" s="39">
        <f t="shared" si="127"/>
        <v>657794000</v>
      </c>
      <c r="FR36" s="106"/>
      <c r="FS36" s="106"/>
      <c r="FT36" s="16" t="s">
        <v>39</v>
      </c>
      <c r="FU36" s="16">
        <v>43867</v>
      </c>
      <c r="FV36" s="103">
        <v>67313625.100563154</v>
      </c>
      <c r="FW36" s="104">
        <v>60000000</v>
      </c>
      <c r="GB36" s="40">
        <v>120</v>
      </c>
      <c r="GC36" s="39">
        <f t="shared" si="128"/>
        <v>149554000</v>
      </c>
      <c r="GD36" s="40">
        <v>270</v>
      </c>
      <c r="GE36" s="39">
        <f t="shared" si="129"/>
        <v>525169000</v>
      </c>
      <c r="GG36" s="106"/>
      <c r="GH36" s="106"/>
      <c r="GI36" s="40">
        <v>120</v>
      </c>
      <c r="GJ36" s="39">
        <f t="shared" si="130"/>
        <v>101295000</v>
      </c>
      <c r="GK36" s="40">
        <v>270</v>
      </c>
      <c r="GL36" s="39">
        <f t="shared" si="131"/>
        <v>153329999.99999997</v>
      </c>
      <c r="GN36" s="106"/>
      <c r="GO36" s="106"/>
      <c r="GP36" s="16" t="s">
        <v>38</v>
      </c>
      <c r="GQ36" s="16">
        <v>44231</v>
      </c>
      <c r="GR36" s="103">
        <v>36953457.707509883</v>
      </c>
      <c r="GS36" s="104">
        <v>20000000</v>
      </c>
      <c r="GX36" s="40">
        <v>120</v>
      </c>
      <c r="GY36" s="39">
        <f t="shared" si="132"/>
        <v>169243000</v>
      </c>
      <c r="GZ36" s="40">
        <v>270</v>
      </c>
      <c r="HA36" s="39">
        <f t="shared" si="133"/>
        <v>456492999.99999994</v>
      </c>
      <c r="HC36" s="106"/>
      <c r="HD36" s="106"/>
      <c r="HE36" s="16" t="s">
        <v>35</v>
      </c>
      <c r="HF36" s="16">
        <v>44595</v>
      </c>
      <c r="HG36" s="103">
        <v>56254159.197324418</v>
      </c>
      <c r="HH36" s="104">
        <v>40000000</v>
      </c>
      <c r="HM36" s="40">
        <v>120</v>
      </c>
      <c r="HN36" s="39">
        <f t="shared" si="134"/>
        <v>234751000</v>
      </c>
      <c r="HO36" s="40">
        <v>270</v>
      </c>
      <c r="HP36" s="39">
        <f t="shared" si="135"/>
        <v>981406000.00000012</v>
      </c>
      <c r="HR36" s="106"/>
      <c r="HS36" s="106"/>
      <c r="HT36" s="40">
        <v>120</v>
      </c>
      <c r="HU36" s="39">
        <f t="shared" si="136"/>
        <v>182659000</v>
      </c>
      <c r="HV36" s="40">
        <v>270</v>
      </c>
      <c r="HW36" s="39">
        <f t="shared" si="137"/>
        <v>581554000</v>
      </c>
      <c r="HY36" s="106"/>
      <c r="HZ36" s="106"/>
      <c r="IA36" s="16" t="s">
        <v>37</v>
      </c>
      <c r="IB36" s="16">
        <v>44966</v>
      </c>
      <c r="IC36" s="103">
        <v>20069480.4499848</v>
      </c>
      <c r="ID36" s="104">
        <v>4000000</v>
      </c>
      <c r="II36" s="40">
        <v>120</v>
      </c>
      <c r="IJ36" s="39">
        <f t="shared" si="138"/>
        <v>197254000</v>
      </c>
      <c r="IK36" s="40">
        <v>270</v>
      </c>
      <c r="IL36" s="39">
        <f t="shared" si="139"/>
        <v>604054000</v>
      </c>
      <c r="IN36" s="106"/>
      <c r="IO36" s="106"/>
      <c r="IP36" s="40">
        <v>120</v>
      </c>
      <c r="IQ36" s="39">
        <f t="shared" si="140"/>
        <v>140281000</v>
      </c>
      <c r="IR36" s="40">
        <v>270</v>
      </c>
      <c r="IS36" s="39">
        <f t="shared" si="141"/>
        <v>234766000</v>
      </c>
      <c r="IU36" s="106"/>
      <c r="IV36" s="106"/>
      <c r="IW36" s="16" t="s">
        <v>169</v>
      </c>
      <c r="IX36" s="12">
        <v>44231</v>
      </c>
      <c r="IY36" s="103">
        <v>36953457.707509883</v>
      </c>
      <c r="IZ36" s="104">
        <v>20000000</v>
      </c>
      <c r="JE36" s="40">
        <v>120</v>
      </c>
      <c r="JF36" s="39">
        <f t="shared" si="142"/>
        <v>197254000</v>
      </c>
      <c r="JG36" s="40">
        <v>270</v>
      </c>
      <c r="JH36" s="39">
        <f t="shared" si="143"/>
        <v>604054000</v>
      </c>
      <c r="JI36" s="39"/>
      <c r="JJ36" s="39"/>
      <c r="JL36" s="106"/>
      <c r="JM36" s="106"/>
      <c r="JN36" s="40">
        <v>120</v>
      </c>
      <c r="JO36" s="39">
        <f t="shared" si="144"/>
        <v>140281000</v>
      </c>
      <c r="JP36" s="40">
        <v>270</v>
      </c>
      <c r="JQ36" s="39">
        <f t="shared" si="145"/>
        <v>234766000</v>
      </c>
      <c r="JR36" s="39"/>
      <c r="JS36" s="39"/>
      <c r="JT36" s="39"/>
      <c r="JU36" s="39"/>
      <c r="JW36" s="106"/>
      <c r="JX36" s="106"/>
      <c r="KL36" s="1">
        <v>7</v>
      </c>
      <c r="KM36" s="1">
        <v>50</v>
      </c>
      <c r="LJ36" s="1">
        <v>3</v>
      </c>
      <c r="LK36" s="1">
        <v>12</v>
      </c>
      <c r="NA36" s="16" t="s">
        <v>34</v>
      </c>
      <c r="NB36" s="16">
        <v>43055</v>
      </c>
      <c r="NC36" s="103">
        <v>17395180</v>
      </c>
      <c r="ND36" s="104">
        <v>6000000</v>
      </c>
      <c r="NF36" s="1">
        <v>7</v>
      </c>
      <c r="NG36" s="1">
        <v>55</v>
      </c>
      <c r="NI36" s="40">
        <v>120</v>
      </c>
      <c r="NJ36" s="39">
        <f t="shared" si="146"/>
        <v>153107999.99999997</v>
      </c>
      <c r="NK36" s="40">
        <v>270</v>
      </c>
      <c r="NL36" s="39">
        <f t="shared" si="147"/>
        <v>355938000.00000006</v>
      </c>
      <c r="NN36" s="106"/>
      <c r="NP36" s="16" t="s">
        <v>33</v>
      </c>
      <c r="NQ36" s="16">
        <v>43426</v>
      </c>
      <c r="NR36" s="103">
        <v>13172082</v>
      </c>
      <c r="NS36" s="104">
        <v>3000000</v>
      </c>
      <c r="NX36" s="40">
        <v>120</v>
      </c>
      <c r="NY36" s="39">
        <f t="shared" si="148"/>
        <v>212055000</v>
      </c>
      <c r="NZ36" s="40">
        <v>270</v>
      </c>
      <c r="OA36" s="39">
        <f t="shared" si="149"/>
        <v>931890000.00000012</v>
      </c>
      <c r="OC36" s="106"/>
    </row>
    <row r="37" spans="2:393" x14ac:dyDescent="0.25">
      <c r="B37" s="5"/>
      <c r="C37" s="5"/>
      <c r="D37" s="5"/>
      <c r="F37" s="58" t="s">
        <v>59</v>
      </c>
      <c r="G37" s="57"/>
      <c r="H37" s="57"/>
      <c r="I37" s="57"/>
      <c r="K37" s="7">
        <v>33</v>
      </c>
      <c r="M37" s="5" t="str" cm="1">
        <f t="array" ref="M37">LOOKUP(2,1/($G$19:$G$35&lt;=$V37)/($H$19:$H$35&gt;=$V37),$F$19:$F$35)</f>
        <v>1H18</v>
      </c>
      <c r="N37" s="5" t="str" cm="1">
        <f t="array" ref="N37">LOOKUP(2,1/($G$8:$G$16&lt;=$V37)/($H$8:$H$16&gt;=$V37),$F$8:$F$16)</f>
        <v>FY18</v>
      </c>
      <c r="O37" s="5" t="str">
        <f>IFERROR(N37&amp;"-"&amp;COUNTIF($N$19:N37,N37),NA())</f>
        <v>FY18-7</v>
      </c>
      <c r="P37" s="5">
        <f>COUNTIF(V$19:V37,"&gt;="&amp;MAX($V:$V)-183)</f>
        <v>0</v>
      </c>
      <c r="Q37" s="5">
        <f>COUNTIF(V$19:V37,"&gt;="&amp;MAX($V:$V)-365)</f>
        <v>0</v>
      </c>
      <c r="R37" s="5" cm="1">
        <f t="array" ref="R37">LOOKUP(2,1/($G$46:$G$50&lt;=$V37)/($H$46:$H$50&gt;=$V37),$F$46:$F$50)</f>
        <v>0</v>
      </c>
      <c r="S37" s="5" cm="1">
        <f t="array" ref="S37">LOOKUP(2,1/($G$53:$G$56&lt;=$V37)/($H$53:$H$56&gt;=$V37),$F$53:$F$56)</f>
        <v>0</v>
      </c>
      <c r="T37" s="5" t="e">
        <f>IFERROR(IF($R37&gt;0,$R37&amp;"-"&amp;COUNTIF($R$19:$R37,$R37),NA()),NA())</f>
        <v>#N/A</v>
      </c>
      <c r="U37" s="5" t="e">
        <f>IFERROR(IF($S37&gt;0,$S37&amp;"-"&amp;COUNTIF($S$19:$S37,$S37),NA()),NA())</f>
        <v>#N/A</v>
      </c>
      <c r="V37" s="10">
        <v>42964</v>
      </c>
      <c r="W37" s="101">
        <v>13187465.068138691</v>
      </c>
      <c r="X37" s="101">
        <v>12251814.421554249</v>
      </c>
      <c r="Y37" s="102">
        <v>3000000</v>
      </c>
      <c r="AA37" s="48" t="e">
        <f t="shared" si="44"/>
        <v>#N/A</v>
      </c>
      <c r="AB37" s="12" t="e">
        <f t="shared" ref="AB37:AB56" si="151">IF(ISNA($AA37),NA(),INDEX($V:$V,MATCH($AA37,$P:$P,0)))</f>
        <v>#N/A</v>
      </c>
      <c r="AC37" s="103" t="e">
        <f t="shared" ref="AC37:AC56" si="152">IF(ISNA($AA37),NA(),INDEX($W:$W,MATCH($AA37,$P:$P,0)))</f>
        <v>#N/A</v>
      </c>
      <c r="AD37" s="104" t="e">
        <f t="shared" ref="AD37:AD56" si="153">IF(ISNA($AA37),NA(),INDEX($Y:$Y,MATCH($AA37,$P:$P,0)))</f>
        <v>#N/A</v>
      </c>
      <c r="AI37" s="40">
        <v>130</v>
      </c>
      <c r="AJ37" s="39">
        <f t="shared" si="104"/>
        <v>226962000.00000003</v>
      </c>
      <c r="AK37" s="40">
        <v>280</v>
      </c>
      <c r="AL37" s="39">
        <f t="shared" si="105"/>
        <v>686937000</v>
      </c>
      <c r="AN37" s="106"/>
      <c r="AO37" s="106"/>
      <c r="AP37" s="40">
        <v>130</v>
      </c>
      <c r="AQ37" s="39">
        <f t="shared" si="106"/>
        <v>117929000</v>
      </c>
      <c r="AR37" s="40">
        <v>280</v>
      </c>
      <c r="AS37" s="39">
        <f t="shared" si="107"/>
        <v>67753999.999999985</v>
      </c>
      <c r="AU37" s="106"/>
      <c r="AW37" s="48">
        <f t="shared" si="45"/>
        <v>33</v>
      </c>
      <c r="AX37" s="12">
        <f t="shared" ref="AX37:AX57" si="154">IF(ISNA($AW37),NA(),INDEX($V:$V,MATCH($AW37,$Q:$Q,0)))</f>
        <v>45064</v>
      </c>
      <c r="AY37" s="103">
        <f t="shared" ref="AY37:AY57" si="155">IF(ISNA($AW37),NA(),INDEX($W:$W,MATCH($AW37,$Q:$Q,0)))</f>
        <v>19409982.487078138</v>
      </c>
      <c r="AZ37" s="104">
        <f t="shared" ref="AZ37:AZ57" si="156">IF(ISNA($AW37),NA(),INDEX($Y:$Y,MATCH($AW37,$Q:$Q,0)))</f>
        <v>4000000</v>
      </c>
      <c r="BB37" s="1">
        <v>6</v>
      </c>
      <c r="BC37" s="1">
        <v>160</v>
      </c>
      <c r="BF37" s="40">
        <v>130</v>
      </c>
      <c r="BG37" s="39">
        <f t="shared" si="108"/>
        <v>232495000</v>
      </c>
      <c r="BH37" s="40">
        <v>280</v>
      </c>
      <c r="BI37" s="39">
        <f t="shared" si="109"/>
        <v>760390000</v>
      </c>
      <c r="BK37" s="106"/>
      <c r="BL37" s="106"/>
      <c r="BM37" s="40">
        <v>130</v>
      </c>
      <c r="BN37" s="39">
        <f t="shared" si="110"/>
        <v>190816000</v>
      </c>
      <c r="BO37" s="40">
        <v>280</v>
      </c>
      <c r="BP37" s="39">
        <f t="shared" si="111"/>
        <v>511936000.00000006</v>
      </c>
      <c r="BR37" s="106"/>
      <c r="BT37" s="48" t="e">
        <f t="shared" si="8"/>
        <v>#N/A</v>
      </c>
      <c r="BU37" s="12" t="e">
        <f t="shared" ref="BU37:BU57" si="157">IF(ISNA($BT37),NA(),INDEX($V:$V,MATCH($BT37,$T:$T,0)))</f>
        <v>#N/A</v>
      </c>
      <c r="BV37" s="103" t="e">
        <f t="shared" ref="BV37:BV57" si="158">IF(ISNA($BT37),NA(),INDEX($W:$W,MATCH($BT37,$T:$T,0)))</f>
        <v>#N/A</v>
      </c>
      <c r="BW37" s="104" t="e">
        <f t="shared" ref="BW37:BW57" si="159">IF(ISNA($BT37),NA(),INDEX($Y:$Y,MATCH($BT37,$T:$T,0)))</f>
        <v>#N/A</v>
      </c>
      <c r="CB37" s="40">
        <v>130</v>
      </c>
      <c r="CC37" s="39">
        <f t="shared" si="112"/>
        <v>132793000</v>
      </c>
      <c r="CD37" s="40">
        <v>280</v>
      </c>
      <c r="CE37" s="39">
        <f t="shared" si="113"/>
        <v>105687999.99999997</v>
      </c>
      <c r="CG37" s="106"/>
      <c r="CH37" s="106"/>
      <c r="CI37" s="48" t="e">
        <f t="shared" si="12"/>
        <v>#N/A</v>
      </c>
      <c r="CJ37" s="12" t="e">
        <f t="shared" ref="CJ37:CJ57" si="160">IF(ISNA(CI37),NA(),INDEX($V:$V,MATCH(CI37,$T:$T,0)))</f>
        <v>#N/A</v>
      </c>
      <c r="CK37" s="105" t="e">
        <f t="shared" ref="CK37:CK57" si="161">IF(ISNA(CI37),NA(),INDEX($W:$W,MATCH(CI37,$T:$T,0)))</f>
        <v>#N/A</v>
      </c>
      <c r="CL37" s="105" t="e">
        <f t="shared" ref="CL37:CL57" si="162">IF(ISNA(CI37),NA(),INDEX($Y:$Y,MATCH(CI37,$T:$T,0)))</f>
        <v>#N/A</v>
      </c>
      <c r="CN37" s="61"/>
      <c r="CQ37" s="40">
        <v>130</v>
      </c>
      <c r="CR37" s="39">
        <f t="shared" si="114"/>
        <v>132793000</v>
      </c>
      <c r="CS37" s="40">
        <v>280</v>
      </c>
      <c r="CT37" s="39">
        <f t="shared" si="115"/>
        <v>105687999.99999997</v>
      </c>
      <c r="CV37" s="106"/>
      <c r="CX37" s="48" t="e">
        <f t="shared" si="16"/>
        <v>#N/A</v>
      </c>
      <c r="CY37" s="12" t="e">
        <f t="shared" ref="CY37:CY57" si="163">IF(ISNA(CX37),NA(),INDEX($V:$V,MATCH(CX37,$U:$U,0)))</f>
        <v>#N/A</v>
      </c>
      <c r="CZ37" s="103" t="e">
        <f t="shared" ref="CZ37:CZ57" si="164">IF(ISNA(CX37),NA(),INDEX($W:$W,MATCH(CX37,$U:$U,0)))</f>
        <v>#N/A</v>
      </c>
      <c r="DA37" s="104" t="e">
        <f t="shared" ref="DA37:DA57" si="165">IF(ISNA(CX37),NA(),INDEX($Y:$Y,MATCH(CX37,$U:$U,0)))</f>
        <v>#N/A</v>
      </c>
      <c r="DF37" s="40">
        <v>130</v>
      </c>
      <c r="DG37" s="39">
        <f t="shared" si="116"/>
        <v>132793000</v>
      </c>
      <c r="DH37" s="40">
        <v>280</v>
      </c>
      <c r="DI37" s="39">
        <f t="shared" si="117"/>
        <v>105687999.99999997</v>
      </c>
      <c r="DK37" s="106"/>
      <c r="DL37" s="106"/>
      <c r="DM37" s="48" t="e">
        <f t="shared" si="20"/>
        <v>#N/A</v>
      </c>
      <c r="DN37" s="12" t="e">
        <f t="shared" ref="DN37:DN57" si="166">IF(ISNA(DM37),NA(),INDEX($V:$V,MATCH(DM37,$U:$U,0)))</f>
        <v>#N/A</v>
      </c>
      <c r="DO37" s="103" t="e">
        <f t="shared" ref="DO37:DO57" si="167">IF(ISNA(DM37),NA(),INDEX($W:$W,MATCH(DM37,$U:$U,0)))</f>
        <v>#N/A</v>
      </c>
      <c r="DP37" s="104" t="e">
        <f t="shared" ref="DP37:DP57" si="168">IF(ISNA(DM37),NA(),INDEX($Y:$Y,MATCH(DM37,$U:$U,0)))</f>
        <v>#N/A</v>
      </c>
      <c r="DU37" s="40">
        <v>130</v>
      </c>
      <c r="DV37" s="39">
        <f t="shared" si="118"/>
        <v>132793000</v>
      </c>
      <c r="DW37" s="40">
        <v>280</v>
      </c>
      <c r="DX37" s="39">
        <f t="shared" si="119"/>
        <v>105687999.99999997</v>
      </c>
      <c r="DZ37" s="106"/>
      <c r="EA37" s="106"/>
      <c r="EB37" s="40">
        <v>130</v>
      </c>
      <c r="EC37" s="39">
        <f t="shared" si="120"/>
        <v>106724000</v>
      </c>
      <c r="ED37" s="40">
        <v>280</v>
      </c>
      <c r="EE37" s="39">
        <f t="shared" si="121"/>
        <v>154559000</v>
      </c>
      <c r="EG37" s="106"/>
      <c r="EH37" s="106"/>
      <c r="EI37" s="47" t="str">
        <f t="shared" si="25"/>
        <v>FY18-33</v>
      </c>
      <c r="EJ37" s="16">
        <v>43146</v>
      </c>
      <c r="EK37" s="103">
        <v>14328098.030015524</v>
      </c>
      <c r="EL37" s="104">
        <f t="shared" ref="EL37:EL57" si="169">IF(ISNA($EI37),NA(),INDEX($Y:$Y,MATCH($EI37,$O:$O,0)))</f>
        <v>3000000</v>
      </c>
      <c r="EN37" s="104">
        <v>30000000</v>
      </c>
      <c r="EO37" s="1">
        <f t="shared" si="150"/>
        <v>1</v>
      </c>
      <c r="EQ37" s="40">
        <v>130</v>
      </c>
      <c r="ER37" s="39">
        <f t="shared" si="122"/>
        <v>236716999.99999997</v>
      </c>
      <c r="ES37" s="40">
        <v>280</v>
      </c>
      <c r="ET37" s="39">
        <f t="shared" si="123"/>
        <v>836252000</v>
      </c>
      <c r="EU37" s="106"/>
      <c r="EV37" s="106"/>
      <c r="EW37" s="106"/>
      <c r="EX37" s="16" t="s">
        <v>33</v>
      </c>
      <c r="EY37" s="16">
        <v>43510</v>
      </c>
      <c r="EZ37" s="103">
        <v>31354336.778265979</v>
      </c>
      <c r="FA37" s="104">
        <v>20000000</v>
      </c>
      <c r="FF37" s="40">
        <v>130</v>
      </c>
      <c r="FG37" s="39">
        <f t="shared" si="124"/>
        <v>255307000.00000003</v>
      </c>
      <c r="FH37" s="40">
        <v>280</v>
      </c>
      <c r="FI37" s="39">
        <f t="shared" si="125"/>
        <v>1060957000.0000001</v>
      </c>
      <c r="FK37" s="106"/>
      <c r="FL37" s="106"/>
      <c r="FM37" s="40">
        <v>130</v>
      </c>
      <c r="FN37" s="39">
        <f t="shared" si="126"/>
        <v>197936000.00000003</v>
      </c>
      <c r="FO37" s="40">
        <v>280</v>
      </c>
      <c r="FP37" s="39">
        <f t="shared" si="127"/>
        <v>700991000.00000012</v>
      </c>
      <c r="FR37" s="106"/>
      <c r="FS37" s="106"/>
      <c r="FT37" s="16" t="s">
        <v>39</v>
      </c>
      <c r="FU37" s="16">
        <v>43874</v>
      </c>
      <c r="FV37" s="103">
        <v>14466345.689708522</v>
      </c>
      <c r="FW37" s="104">
        <v>3000000</v>
      </c>
      <c r="GB37" s="40">
        <v>130</v>
      </c>
      <c r="GC37" s="39">
        <f t="shared" si="128"/>
        <v>167315000</v>
      </c>
      <c r="GD37" s="40">
        <v>280</v>
      </c>
      <c r="GE37" s="39">
        <f t="shared" si="129"/>
        <v>558530000.00000012</v>
      </c>
      <c r="GG37" s="106"/>
      <c r="GH37" s="106"/>
      <c r="GI37" s="40">
        <v>130</v>
      </c>
      <c r="GJ37" s="39">
        <f t="shared" si="130"/>
        <v>106724000</v>
      </c>
      <c r="GK37" s="40">
        <v>280</v>
      </c>
      <c r="GL37" s="39">
        <f t="shared" si="131"/>
        <v>154559000</v>
      </c>
      <c r="GN37" s="106"/>
      <c r="GO37" s="106"/>
      <c r="GP37" s="16" t="s">
        <v>38</v>
      </c>
      <c r="GQ37" s="16">
        <v>44238</v>
      </c>
      <c r="GR37" s="103">
        <v>48994890.605047114</v>
      </c>
      <c r="GS37" s="104">
        <v>30000000</v>
      </c>
      <c r="GX37" s="40">
        <v>130</v>
      </c>
      <c r="GY37" s="39">
        <f t="shared" si="132"/>
        <v>185033000</v>
      </c>
      <c r="GZ37" s="40">
        <v>280</v>
      </c>
      <c r="HA37" s="39">
        <f t="shared" si="133"/>
        <v>479482999.99999994</v>
      </c>
      <c r="HC37" s="106"/>
      <c r="HD37" s="106"/>
      <c r="HE37" s="16" t="s">
        <v>35</v>
      </c>
      <c r="HF37" s="16">
        <v>44602</v>
      </c>
      <c r="HG37" s="103">
        <v>79133284.037701428</v>
      </c>
      <c r="HH37" s="104">
        <v>60000000</v>
      </c>
      <c r="HM37" s="40">
        <v>130</v>
      </c>
      <c r="HN37" s="39">
        <f t="shared" si="134"/>
        <v>267868000.00000006</v>
      </c>
      <c r="HO37" s="40">
        <v>280</v>
      </c>
      <c r="HP37" s="39">
        <f t="shared" si="135"/>
        <v>1050223000.0000002</v>
      </c>
      <c r="HR37" s="106"/>
      <c r="HS37" s="106"/>
      <c r="HT37" s="40">
        <v>130</v>
      </c>
      <c r="HU37" s="39">
        <f t="shared" si="136"/>
        <v>202531999.99999997</v>
      </c>
      <c r="HV37" s="40">
        <v>280</v>
      </c>
      <c r="HW37" s="39">
        <f t="shared" si="137"/>
        <v>615827000</v>
      </c>
      <c r="HY37" s="106"/>
      <c r="HZ37" s="106"/>
      <c r="IA37" s="16" t="s">
        <v>37</v>
      </c>
      <c r="IB37" s="16">
        <v>44973</v>
      </c>
      <c r="IC37" s="103">
        <v>27295176.771055035</v>
      </c>
      <c r="ID37" s="104">
        <v>8000000</v>
      </c>
      <c r="II37" s="40">
        <v>130</v>
      </c>
      <c r="IJ37" s="39">
        <f t="shared" si="138"/>
        <v>218073999.99999997</v>
      </c>
      <c r="IK37" s="40">
        <v>280</v>
      </c>
      <c r="IL37" s="39">
        <f t="shared" si="139"/>
        <v>638374000</v>
      </c>
      <c r="IN37" s="106"/>
      <c r="IO37" s="106"/>
      <c r="IP37" s="40">
        <v>130</v>
      </c>
      <c r="IQ37" s="39">
        <f t="shared" si="140"/>
        <v>148680000</v>
      </c>
      <c r="IR37" s="40">
        <v>280</v>
      </c>
      <c r="IS37" s="39">
        <f t="shared" si="141"/>
        <v>238665000</v>
      </c>
      <c r="IU37" s="106"/>
      <c r="IV37" s="106"/>
      <c r="IW37" s="16" t="s">
        <v>169</v>
      </c>
      <c r="IX37" s="12">
        <v>44238</v>
      </c>
      <c r="IY37" s="103">
        <v>48994890.605047114</v>
      </c>
      <c r="IZ37" s="104">
        <v>30000000</v>
      </c>
      <c r="JE37" s="40">
        <v>130</v>
      </c>
      <c r="JF37" s="39">
        <f t="shared" si="142"/>
        <v>218073999.99999997</v>
      </c>
      <c r="JG37" s="40">
        <v>280</v>
      </c>
      <c r="JH37" s="39">
        <f t="shared" si="143"/>
        <v>638374000</v>
      </c>
      <c r="JI37" s="39"/>
      <c r="JJ37" s="39"/>
      <c r="JL37" s="106"/>
      <c r="JM37" s="106"/>
      <c r="JN37" s="40">
        <v>130</v>
      </c>
      <c r="JO37" s="39">
        <f t="shared" si="144"/>
        <v>148680000</v>
      </c>
      <c r="JP37" s="40">
        <v>280</v>
      </c>
      <c r="JQ37" s="39">
        <f t="shared" si="145"/>
        <v>238665000</v>
      </c>
      <c r="JR37" s="39"/>
      <c r="JS37" s="39"/>
      <c r="JT37" s="39"/>
      <c r="JU37" s="39"/>
      <c r="JW37" s="106"/>
      <c r="JX37" s="106"/>
      <c r="LJ37" s="1">
        <v>4</v>
      </c>
      <c r="LK37" s="1">
        <v>20</v>
      </c>
      <c r="NA37" s="16" t="s">
        <v>34</v>
      </c>
      <c r="NB37" s="16">
        <v>43062</v>
      </c>
      <c r="NC37" s="103">
        <v>25136980</v>
      </c>
      <c r="ND37" s="104">
        <v>10000000</v>
      </c>
      <c r="NI37" s="40">
        <v>130</v>
      </c>
      <c r="NJ37" s="39">
        <f t="shared" si="146"/>
        <v>165790000</v>
      </c>
      <c r="NK37" s="40">
        <v>280</v>
      </c>
      <c r="NL37" s="39">
        <f t="shared" si="147"/>
        <v>370420000</v>
      </c>
      <c r="NN37" s="106"/>
      <c r="NP37" s="16" t="s">
        <v>33</v>
      </c>
      <c r="NQ37" s="16">
        <v>43433</v>
      </c>
      <c r="NR37" s="103">
        <v>19567152</v>
      </c>
      <c r="NS37" s="104">
        <v>8000000</v>
      </c>
      <c r="NX37" s="40">
        <v>130</v>
      </c>
      <c r="NY37" s="39">
        <f t="shared" si="148"/>
        <v>243664000.00000003</v>
      </c>
      <c r="NZ37" s="40">
        <v>280</v>
      </c>
      <c r="OA37" s="39">
        <f t="shared" si="149"/>
        <v>998599000</v>
      </c>
      <c r="OC37" s="106"/>
    </row>
    <row r="38" spans="2:393" x14ac:dyDescent="0.25">
      <c r="B38" s="5"/>
      <c r="C38" s="5"/>
      <c r="D38" s="5"/>
      <c r="F38" s="5">
        <v>0</v>
      </c>
      <c r="G38" s="53">
        <v>42552</v>
      </c>
      <c r="H38" s="53">
        <v>43890</v>
      </c>
      <c r="I38" s="53"/>
      <c r="K38" s="7">
        <v>34</v>
      </c>
      <c r="M38" s="5" t="str" cm="1">
        <f t="array" ref="M38">LOOKUP(2,1/($G$19:$G$35&lt;=$V38)/($H$19:$H$35&gt;=$V38),$F$19:$F$35)</f>
        <v>1H18</v>
      </c>
      <c r="N38" s="5" t="str" cm="1">
        <f t="array" ref="N38">LOOKUP(2,1/($G$8:$G$16&lt;=$V38)/($H$8:$H$16&gt;=$V38),$F$8:$F$16)</f>
        <v>FY18</v>
      </c>
      <c r="O38" s="5" t="str">
        <f>IFERROR(N38&amp;"-"&amp;COUNTIF($N$19:N38,N38),NA())</f>
        <v>FY18-8</v>
      </c>
      <c r="P38" s="5">
        <f>COUNTIF(V$19:V38,"&gt;="&amp;MAX($V:$V)-183)</f>
        <v>0</v>
      </c>
      <c r="Q38" s="5">
        <f>COUNTIF(V$19:V38,"&gt;="&amp;MAX($V:$V)-365)</f>
        <v>0</v>
      </c>
      <c r="R38" s="5" cm="1">
        <f t="array" ref="R38">LOOKUP(2,1/($G$46:$G$50&lt;=$V38)/($H$46:$H$50&gt;=$V38),$F$46:$F$50)</f>
        <v>0</v>
      </c>
      <c r="S38" s="5" cm="1">
        <f t="array" ref="S38">LOOKUP(2,1/($G$53:$G$56&lt;=$V38)/($H$53:$H$56&gt;=$V38),$F$53:$F$56)</f>
        <v>0</v>
      </c>
      <c r="T38" s="5" t="e">
        <f>IFERROR(IF($R38&gt;0,$R38&amp;"-"&amp;COUNTIF($R$19:$R38,$R38),NA()),NA())</f>
        <v>#N/A</v>
      </c>
      <c r="U38" s="5" t="e">
        <f>IFERROR(IF($S38&gt;0,$S38&amp;"-"&amp;COUNTIF($S$19:$S38,$S38),NA()),NA())</f>
        <v>#N/A</v>
      </c>
      <c r="V38" s="10">
        <v>42971</v>
      </c>
      <c r="W38" s="101">
        <v>16172577.45385544</v>
      </c>
      <c r="X38" s="101">
        <v>15025133.083504396</v>
      </c>
      <c r="Y38" s="102">
        <v>6000000</v>
      </c>
      <c r="AA38" s="48" t="e">
        <f t="shared" ref="AA38:AA56" si="170">IF(AA37+1&lt;=MAX($P:$P),AA37+1,NA())</f>
        <v>#N/A</v>
      </c>
      <c r="AB38" s="12" t="e">
        <f t="shared" si="151"/>
        <v>#N/A</v>
      </c>
      <c r="AC38" s="103" t="e">
        <f t="shared" si="152"/>
        <v>#N/A</v>
      </c>
      <c r="AD38" s="104" t="e">
        <f t="shared" si="153"/>
        <v>#N/A</v>
      </c>
      <c r="AI38" s="40">
        <v>140</v>
      </c>
      <c r="AJ38" s="39">
        <f t="shared" si="104"/>
        <v>250347000</v>
      </c>
      <c r="AK38" s="40">
        <v>290</v>
      </c>
      <c r="AL38" s="39">
        <f t="shared" si="105"/>
        <v>725922000</v>
      </c>
      <c r="AN38" s="106"/>
      <c r="AO38" s="106"/>
      <c r="AP38" s="40">
        <v>140</v>
      </c>
      <c r="AQ38" s="39">
        <f t="shared" si="106"/>
        <v>120184000</v>
      </c>
      <c r="AR38" s="40">
        <v>290</v>
      </c>
      <c r="AS38" s="39">
        <f t="shared" si="107"/>
        <v>58008999.999999993</v>
      </c>
      <c r="AU38" s="106"/>
      <c r="AW38" s="48">
        <f t="shared" ref="AW38:AW57" si="171">IF(AW37+1&lt;=MAX($Q:$Q),AW37+1,NA())</f>
        <v>34</v>
      </c>
      <c r="AX38" s="12">
        <f t="shared" si="154"/>
        <v>45071</v>
      </c>
      <c r="AY38" s="103">
        <f t="shared" si="155"/>
        <v>30887849.079219788</v>
      </c>
      <c r="AZ38" s="104">
        <f t="shared" si="156"/>
        <v>12000000</v>
      </c>
      <c r="BF38" s="40">
        <v>140</v>
      </c>
      <c r="BG38" s="39">
        <f t="shared" si="108"/>
        <v>258308000</v>
      </c>
      <c r="BH38" s="40">
        <v>290</v>
      </c>
      <c r="BI38" s="39">
        <f t="shared" si="109"/>
        <v>806303000</v>
      </c>
      <c r="BK38" s="106"/>
      <c r="BL38" s="106"/>
      <c r="BM38" s="40">
        <v>140</v>
      </c>
      <c r="BN38" s="39">
        <f t="shared" si="110"/>
        <v>208164000.00000003</v>
      </c>
      <c r="BO38" s="40">
        <v>290</v>
      </c>
      <c r="BP38" s="39">
        <f t="shared" si="111"/>
        <v>537984000</v>
      </c>
      <c r="BR38" s="106"/>
      <c r="BT38" s="48" t="e">
        <f t="shared" si="8"/>
        <v>#N/A</v>
      </c>
      <c r="BU38" s="12" t="e">
        <f t="shared" si="157"/>
        <v>#N/A</v>
      </c>
      <c r="BV38" s="103" t="e">
        <f t="shared" si="158"/>
        <v>#N/A</v>
      </c>
      <c r="BW38" s="104" t="e">
        <f t="shared" si="159"/>
        <v>#N/A</v>
      </c>
      <c r="CB38" s="40">
        <v>140</v>
      </c>
      <c r="CC38" s="39">
        <f t="shared" si="112"/>
        <v>136446000</v>
      </c>
      <c r="CD38" s="40">
        <v>290</v>
      </c>
      <c r="CE38" s="39">
        <f t="shared" si="113"/>
        <v>97640999.999999955</v>
      </c>
      <c r="CG38" s="43" t="s">
        <v>58</v>
      </c>
      <c r="CH38" s="106"/>
      <c r="CI38" s="48" t="e">
        <f t="shared" si="12"/>
        <v>#N/A</v>
      </c>
      <c r="CJ38" s="12" t="e">
        <f t="shared" si="160"/>
        <v>#N/A</v>
      </c>
      <c r="CK38" s="105" t="e">
        <f t="shared" si="161"/>
        <v>#N/A</v>
      </c>
      <c r="CL38" s="105" t="e">
        <f t="shared" si="162"/>
        <v>#N/A</v>
      </c>
      <c r="CN38" s="61"/>
      <c r="CQ38" s="40">
        <v>140</v>
      </c>
      <c r="CR38" s="39">
        <f t="shared" si="114"/>
        <v>136446000</v>
      </c>
      <c r="CS38" s="40">
        <v>290</v>
      </c>
      <c r="CT38" s="39">
        <f t="shared" si="115"/>
        <v>97640999.999999955</v>
      </c>
      <c r="CV38" s="106"/>
      <c r="CX38" s="48" t="e">
        <f t="shared" si="16"/>
        <v>#N/A</v>
      </c>
      <c r="CY38" s="12" t="e">
        <f t="shared" si="163"/>
        <v>#N/A</v>
      </c>
      <c r="CZ38" s="103" t="e">
        <f t="shared" si="164"/>
        <v>#N/A</v>
      </c>
      <c r="DA38" s="104" t="e">
        <f t="shared" si="165"/>
        <v>#N/A</v>
      </c>
      <c r="DF38" s="40">
        <v>140</v>
      </c>
      <c r="DG38" s="39">
        <f t="shared" si="116"/>
        <v>136446000</v>
      </c>
      <c r="DH38" s="40">
        <v>290</v>
      </c>
      <c r="DI38" s="39">
        <f t="shared" si="117"/>
        <v>97640999.999999955</v>
      </c>
      <c r="DK38" s="106"/>
      <c r="DL38" s="106"/>
      <c r="DM38" s="48" t="e">
        <f t="shared" si="20"/>
        <v>#N/A</v>
      </c>
      <c r="DN38" s="12" t="e">
        <f t="shared" si="166"/>
        <v>#N/A</v>
      </c>
      <c r="DO38" s="103" t="e">
        <f t="shared" si="167"/>
        <v>#N/A</v>
      </c>
      <c r="DP38" s="104" t="e">
        <f t="shared" si="168"/>
        <v>#N/A</v>
      </c>
      <c r="DU38" s="40">
        <v>140</v>
      </c>
      <c r="DV38" s="39">
        <f t="shared" si="118"/>
        <v>136446000</v>
      </c>
      <c r="DW38" s="40">
        <v>290</v>
      </c>
      <c r="DX38" s="39">
        <f t="shared" si="119"/>
        <v>97640999.999999955</v>
      </c>
      <c r="DZ38" s="106"/>
      <c r="EA38" s="106"/>
      <c r="EB38" s="40">
        <v>140</v>
      </c>
      <c r="EC38" s="39">
        <f t="shared" si="120"/>
        <v>111873000</v>
      </c>
      <c r="ED38" s="40">
        <v>290</v>
      </c>
      <c r="EE38" s="39">
        <f t="shared" si="121"/>
        <v>155508000</v>
      </c>
      <c r="EG38" s="106"/>
      <c r="EH38" s="106"/>
      <c r="EI38" s="47" t="str">
        <f t="shared" si="25"/>
        <v>FY18-34</v>
      </c>
      <c r="EJ38" s="16">
        <v>43153</v>
      </c>
      <c r="EK38" s="103">
        <v>17186081.045368291</v>
      </c>
      <c r="EL38" s="104">
        <f t="shared" si="169"/>
        <v>6000000</v>
      </c>
      <c r="EN38" s="104">
        <v>40000000</v>
      </c>
      <c r="EO38" s="1">
        <f t="shared" si="150"/>
        <v>1</v>
      </c>
      <c r="EQ38" s="40">
        <v>140</v>
      </c>
      <c r="ER38" s="39">
        <f t="shared" si="122"/>
        <v>265345999.99999994</v>
      </c>
      <c r="ES38" s="40">
        <v>290</v>
      </c>
      <c r="ET38" s="39">
        <f t="shared" si="123"/>
        <v>889180999.99999988</v>
      </c>
      <c r="EU38" s="106"/>
      <c r="EV38" s="106"/>
      <c r="EW38" s="106"/>
      <c r="EX38" s="16" t="s">
        <v>33</v>
      </c>
      <c r="EY38" s="16">
        <v>43517</v>
      </c>
      <c r="EZ38" s="103">
        <v>38283030.633083731</v>
      </c>
      <c r="FA38" s="104">
        <v>30000000</v>
      </c>
      <c r="FF38" s="40">
        <v>140</v>
      </c>
      <c r="FG38" s="39">
        <f t="shared" si="124"/>
        <v>291377000</v>
      </c>
      <c r="FH38" s="40">
        <v>290</v>
      </c>
      <c r="FI38" s="39">
        <f t="shared" si="125"/>
        <v>1134827000.0000002</v>
      </c>
      <c r="FK38" s="106"/>
      <c r="FL38" s="106"/>
      <c r="FM38" s="40">
        <v>140</v>
      </c>
      <c r="FN38" s="39">
        <f t="shared" si="126"/>
        <v>221813000.00000006</v>
      </c>
      <c r="FO38" s="40">
        <v>290</v>
      </c>
      <c r="FP38" s="39">
        <f t="shared" si="127"/>
        <v>745568000</v>
      </c>
      <c r="FR38" s="106"/>
      <c r="FS38" s="106"/>
      <c r="FT38" s="16" t="s">
        <v>39</v>
      </c>
      <c r="FU38" s="16">
        <v>43881</v>
      </c>
      <c r="FV38" s="103">
        <v>21317199.148677409</v>
      </c>
      <c r="FW38" s="104">
        <v>8000000</v>
      </c>
      <c r="GB38" s="40">
        <v>140</v>
      </c>
      <c r="GC38" s="39">
        <f t="shared" si="128"/>
        <v>186116000</v>
      </c>
      <c r="GD38" s="40">
        <v>290</v>
      </c>
      <c r="GE38" s="39">
        <f t="shared" si="129"/>
        <v>592931000</v>
      </c>
      <c r="GG38" s="106"/>
      <c r="GH38" s="106"/>
      <c r="GI38" s="40">
        <v>140</v>
      </c>
      <c r="GJ38" s="39">
        <f t="shared" si="130"/>
        <v>111873000</v>
      </c>
      <c r="GK38" s="40">
        <v>290</v>
      </c>
      <c r="GL38" s="39">
        <f t="shared" si="131"/>
        <v>155508000</v>
      </c>
      <c r="GN38" s="106"/>
      <c r="GO38" s="106"/>
      <c r="GP38" s="16" t="s">
        <v>38</v>
      </c>
      <c r="GQ38" s="16">
        <v>44245</v>
      </c>
      <c r="GR38" s="103">
        <v>78306876.740650654</v>
      </c>
      <c r="GS38" s="104">
        <v>50000000</v>
      </c>
      <c r="GX38" s="40">
        <v>140</v>
      </c>
      <c r="GY38" s="39">
        <f t="shared" si="132"/>
        <v>201303000</v>
      </c>
      <c r="GZ38" s="40">
        <v>290</v>
      </c>
      <c r="HA38" s="39">
        <f t="shared" si="133"/>
        <v>502952999.99999994</v>
      </c>
      <c r="HC38" s="106"/>
      <c r="HD38" s="106"/>
      <c r="HE38" s="16" t="s">
        <v>35</v>
      </c>
      <c r="HF38" s="16">
        <v>44609</v>
      </c>
      <c r="HG38" s="103">
        <v>115947240.37701429</v>
      </c>
      <c r="HH38" s="104">
        <v>80000000</v>
      </c>
      <c r="HM38" s="40">
        <v>140</v>
      </c>
      <c r="HN38" s="39">
        <f t="shared" si="134"/>
        <v>303365000</v>
      </c>
      <c r="HO38" s="40">
        <v>290</v>
      </c>
      <c r="HP38" s="39">
        <f t="shared" si="135"/>
        <v>1121420000</v>
      </c>
      <c r="HR38" s="106"/>
      <c r="HS38" s="106"/>
      <c r="HT38" s="40">
        <v>140</v>
      </c>
      <c r="HU38" s="39">
        <f t="shared" si="136"/>
        <v>223364999.99999997</v>
      </c>
      <c r="HV38" s="40">
        <v>290</v>
      </c>
      <c r="HW38" s="39">
        <f t="shared" si="137"/>
        <v>651060000</v>
      </c>
      <c r="HY38" s="106"/>
      <c r="HZ38" s="106"/>
      <c r="IA38" s="16" t="s">
        <v>37</v>
      </c>
      <c r="IB38" s="16">
        <v>44980</v>
      </c>
      <c r="IC38" s="103">
        <v>43788940.346609913</v>
      </c>
      <c r="ID38" s="104">
        <v>20000000</v>
      </c>
      <c r="II38" s="40">
        <v>140</v>
      </c>
      <c r="IJ38" s="39">
        <f t="shared" si="138"/>
        <v>239793999.99999997</v>
      </c>
      <c r="IK38" s="40">
        <v>290</v>
      </c>
      <c r="IL38" s="39">
        <f t="shared" si="139"/>
        <v>673594000</v>
      </c>
      <c r="IN38" s="106"/>
      <c r="IO38" s="106"/>
      <c r="IP38" s="40">
        <v>140</v>
      </c>
      <c r="IQ38" s="39">
        <f t="shared" si="140"/>
        <v>156779000</v>
      </c>
      <c r="IR38" s="40">
        <v>290</v>
      </c>
      <c r="IS38" s="39">
        <f t="shared" si="141"/>
        <v>242264000</v>
      </c>
      <c r="IU38" s="106"/>
      <c r="IV38" s="106"/>
      <c r="IW38" s="16" t="s">
        <v>169</v>
      </c>
      <c r="IX38" s="12">
        <v>44245</v>
      </c>
      <c r="IY38" s="103">
        <v>78306876.740650654</v>
      </c>
      <c r="IZ38" s="104">
        <v>50000000</v>
      </c>
      <c r="JE38" s="40">
        <v>140</v>
      </c>
      <c r="JF38" s="39">
        <f t="shared" si="142"/>
        <v>239793999.99999997</v>
      </c>
      <c r="JG38" s="40">
        <v>290</v>
      </c>
      <c r="JH38" s="39">
        <f t="shared" si="143"/>
        <v>673594000</v>
      </c>
      <c r="JI38" s="39"/>
      <c r="JJ38" s="39"/>
      <c r="JL38" s="106"/>
      <c r="JM38" s="106"/>
      <c r="JN38" s="40">
        <v>140</v>
      </c>
      <c r="JO38" s="39">
        <f t="shared" si="144"/>
        <v>156779000</v>
      </c>
      <c r="JP38" s="40">
        <v>290</v>
      </c>
      <c r="JQ38" s="39">
        <f t="shared" si="145"/>
        <v>242264000</v>
      </c>
      <c r="JR38" s="39"/>
      <c r="JS38" s="39"/>
      <c r="JT38" s="39"/>
      <c r="JU38" s="39"/>
      <c r="JW38" s="106"/>
      <c r="JX38" s="106"/>
      <c r="LJ38" s="1">
        <v>5</v>
      </c>
      <c r="LK38" s="1">
        <v>30</v>
      </c>
      <c r="NA38" s="16" t="s">
        <v>34</v>
      </c>
      <c r="NB38" s="16">
        <v>43069</v>
      </c>
      <c r="NC38" s="103">
        <v>13050950</v>
      </c>
      <c r="ND38" s="104">
        <v>3000000</v>
      </c>
      <c r="NF38" s="1" t="s">
        <v>57</v>
      </c>
      <c r="NI38" s="40">
        <v>140</v>
      </c>
      <c r="NJ38" s="39">
        <f t="shared" si="146"/>
        <v>178591999.99999997</v>
      </c>
      <c r="NK38" s="40">
        <v>290</v>
      </c>
      <c r="NL38" s="39">
        <f t="shared" si="147"/>
        <v>385022000</v>
      </c>
      <c r="NN38" s="106"/>
      <c r="NP38" s="16" t="s">
        <v>33</v>
      </c>
      <c r="NQ38" s="16">
        <v>43440</v>
      </c>
      <c r="NR38" s="103">
        <v>24038586</v>
      </c>
      <c r="NS38" s="104">
        <v>12000000</v>
      </c>
      <c r="NX38" s="40">
        <v>140</v>
      </c>
      <c r="NY38" s="39">
        <f t="shared" si="148"/>
        <v>277613000</v>
      </c>
      <c r="NZ38" s="40">
        <v>290</v>
      </c>
      <c r="OA38" s="39">
        <f t="shared" si="149"/>
        <v>1067648000.0000001</v>
      </c>
      <c r="OC38" s="106"/>
    </row>
    <row r="39" spans="2:393" x14ac:dyDescent="0.25">
      <c r="B39" s="5"/>
      <c r="C39" s="5"/>
      <c r="D39" s="5"/>
      <c r="F39" s="5">
        <v>1</v>
      </c>
      <c r="G39" s="53">
        <v>43891</v>
      </c>
      <c r="H39" s="51">
        <f>EOMONTH(MAX($V:$V),0)</f>
        <v>45230</v>
      </c>
      <c r="I39" s="51"/>
      <c r="K39" s="7">
        <v>35</v>
      </c>
      <c r="M39" s="5" t="str" cm="1">
        <f t="array" ref="M39">LOOKUP(2,1/($G$19:$G$35&lt;=$V39)/($H$19:$H$35&gt;=$V39),$F$19:$F$35)</f>
        <v>1H18</v>
      </c>
      <c r="N39" s="5" t="str" cm="1">
        <f t="array" ref="N39">LOOKUP(2,1/($G$8:$G$16&lt;=$V39)/($H$8:$H$16&gt;=$V39),$F$8:$F$16)</f>
        <v>FY18</v>
      </c>
      <c r="O39" s="5" t="str">
        <f>IFERROR(N39&amp;"-"&amp;COUNTIF($N$19:N39,N39),NA())</f>
        <v>FY18-9</v>
      </c>
      <c r="P39" s="5">
        <f>COUNTIF(V$19:V39,"&gt;="&amp;MAX($V:$V)-183)</f>
        <v>0</v>
      </c>
      <c r="Q39" s="5">
        <f>COUNTIF(V$19:V39,"&gt;="&amp;MAX($V:$V)-365)</f>
        <v>0</v>
      </c>
      <c r="R39" s="5" cm="1">
        <f t="array" ref="R39">LOOKUP(2,1/($G$46:$G$50&lt;=$V39)/($H$46:$H$50&gt;=$V39),$F$46:$F$50)</f>
        <v>0</v>
      </c>
      <c r="S39" s="5" cm="1">
        <f t="array" ref="S39">LOOKUP(2,1/($G$53:$G$56&lt;=$V39)/($H$53:$H$56&gt;=$V39),$F$53:$F$56)</f>
        <v>0</v>
      </c>
      <c r="T39" s="5" t="e">
        <f>IFERROR(IF($R39&gt;0,$R39&amp;"-"&amp;COUNTIF($R$19:$R39,$R39),NA()),NA())</f>
        <v>#N/A</v>
      </c>
      <c r="U39" s="5" t="e">
        <f>IFERROR(IF($S39&gt;0,$S39&amp;"-"&amp;COUNTIF($S$19:$S39,$S39),NA()),NA())</f>
        <v>#N/A</v>
      </c>
      <c r="V39" s="10">
        <v>42978</v>
      </c>
      <c r="W39" s="101">
        <v>18730835.321718127</v>
      </c>
      <c r="X39" s="101">
        <v>17401882.555642225</v>
      </c>
      <c r="Y39" s="102">
        <v>10000000</v>
      </c>
      <c r="AA39" s="48" t="e">
        <f t="shared" si="170"/>
        <v>#N/A</v>
      </c>
      <c r="AB39" s="12" t="e">
        <f t="shared" si="151"/>
        <v>#N/A</v>
      </c>
      <c r="AC39" s="103" t="e">
        <f t="shared" si="152"/>
        <v>#N/A</v>
      </c>
      <c r="AD39" s="104" t="e">
        <f t="shared" si="153"/>
        <v>#N/A</v>
      </c>
      <c r="AI39" s="40">
        <v>150</v>
      </c>
      <c r="AJ39" s="39">
        <f t="shared" si="104"/>
        <v>274772000</v>
      </c>
      <c r="AK39" s="40">
        <v>300</v>
      </c>
      <c r="AL39" s="39">
        <f t="shared" si="105"/>
        <v>765947000</v>
      </c>
      <c r="AN39" s="106"/>
      <c r="AO39" s="106"/>
      <c r="AP39" s="40">
        <v>150</v>
      </c>
      <c r="AQ39" s="39">
        <f t="shared" si="106"/>
        <v>121639000.00000001</v>
      </c>
      <c r="AR39" s="40">
        <v>300</v>
      </c>
      <c r="AS39" s="39">
        <f t="shared" si="107"/>
        <v>47464000.000000037</v>
      </c>
      <c r="AU39" s="106"/>
      <c r="AW39" s="48">
        <f t="shared" si="171"/>
        <v>35</v>
      </c>
      <c r="AX39" s="12">
        <f t="shared" si="154"/>
        <v>45078</v>
      </c>
      <c r="AY39" s="103">
        <f t="shared" si="155"/>
        <v>40719506.810504526</v>
      </c>
      <c r="AZ39" s="104">
        <f t="shared" si="156"/>
        <v>20000000</v>
      </c>
      <c r="BF39" s="40">
        <v>150</v>
      </c>
      <c r="BG39" s="39">
        <f t="shared" si="108"/>
        <v>285461000</v>
      </c>
      <c r="BH39" s="40">
        <v>300</v>
      </c>
      <c r="BI39" s="39">
        <f t="shared" si="109"/>
        <v>853556000</v>
      </c>
      <c r="BK39" s="106"/>
      <c r="BL39" s="106"/>
      <c r="BM39" s="40">
        <v>150</v>
      </c>
      <c r="BN39" s="39">
        <f t="shared" si="110"/>
        <v>226092000</v>
      </c>
      <c r="BO39" s="40">
        <v>300</v>
      </c>
      <c r="BP39" s="39">
        <f t="shared" si="111"/>
        <v>564612000</v>
      </c>
      <c r="BR39" s="106"/>
      <c r="BT39" s="48" t="e">
        <f t="shared" si="8"/>
        <v>#N/A</v>
      </c>
      <c r="BU39" s="12" t="e">
        <f t="shared" si="157"/>
        <v>#N/A</v>
      </c>
      <c r="BV39" s="103" t="e">
        <f t="shared" si="158"/>
        <v>#N/A</v>
      </c>
      <c r="BW39" s="104" t="e">
        <f t="shared" si="159"/>
        <v>#N/A</v>
      </c>
      <c r="CB39" s="40">
        <v>150</v>
      </c>
      <c r="CC39" s="39">
        <f t="shared" si="112"/>
        <v>139319000</v>
      </c>
      <c r="CD39" s="40">
        <v>300</v>
      </c>
      <c r="CE39" s="39">
        <f t="shared" si="113"/>
        <v>88813999.999999955</v>
      </c>
      <c r="CG39" s="106"/>
      <c r="CH39" s="106"/>
      <c r="CI39" s="48" t="e">
        <f t="shared" si="12"/>
        <v>#N/A</v>
      </c>
      <c r="CJ39" s="12" t="e">
        <f t="shared" si="160"/>
        <v>#N/A</v>
      </c>
      <c r="CK39" s="105" t="e">
        <f t="shared" si="161"/>
        <v>#N/A</v>
      </c>
      <c r="CL39" s="105" t="e">
        <f t="shared" si="162"/>
        <v>#N/A</v>
      </c>
      <c r="CN39" s="61"/>
      <c r="CQ39" s="40">
        <v>150</v>
      </c>
      <c r="CR39" s="39">
        <f t="shared" si="114"/>
        <v>139319000</v>
      </c>
      <c r="CS39" s="40">
        <v>300</v>
      </c>
      <c r="CT39" s="39">
        <f t="shared" si="115"/>
        <v>88813999.999999955</v>
      </c>
      <c r="CV39" s="106"/>
      <c r="CX39" s="48" t="e">
        <f t="shared" si="16"/>
        <v>#N/A</v>
      </c>
      <c r="CY39" s="12" t="e">
        <f t="shared" si="163"/>
        <v>#N/A</v>
      </c>
      <c r="CZ39" s="103" t="e">
        <f t="shared" si="164"/>
        <v>#N/A</v>
      </c>
      <c r="DA39" s="104" t="e">
        <f t="shared" si="165"/>
        <v>#N/A</v>
      </c>
      <c r="DF39" s="40">
        <v>150</v>
      </c>
      <c r="DG39" s="39">
        <f t="shared" si="116"/>
        <v>139319000</v>
      </c>
      <c r="DH39" s="40">
        <v>300</v>
      </c>
      <c r="DI39" s="39">
        <f t="shared" si="117"/>
        <v>88813999.999999955</v>
      </c>
      <c r="DK39" s="106"/>
      <c r="DL39" s="106"/>
      <c r="DM39" s="48" t="e">
        <f t="shared" si="20"/>
        <v>#N/A</v>
      </c>
      <c r="DN39" s="12" t="e">
        <f t="shared" si="166"/>
        <v>#N/A</v>
      </c>
      <c r="DO39" s="103" t="e">
        <f t="shared" si="167"/>
        <v>#N/A</v>
      </c>
      <c r="DP39" s="104" t="e">
        <f t="shared" si="168"/>
        <v>#N/A</v>
      </c>
      <c r="DU39" s="40">
        <v>150</v>
      </c>
      <c r="DV39" s="39">
        <f t="shared" si="118"/>
        <v>139319000</v>
      </c>
      <c r="DW39" s="40">
        <v>300</v>
      </c>
      <c r="DX39" s="39">
        <f t="shared" si="119"/>
        <v>88813999.999999955</v>
      </c>
      <c r="DZ39" s="106"/>
      <c r="EA39" s="106"/>
      <c r="EB39" s="40">
        <v>150</v>
      </c>
      <c r="EC39" s="39">
        <f t="shared" si="120"/>
        <v>116742000</v>
      </c>
      <c r="ED39" s="40">
        <v>300</v>
      </c>
      <c r="EE39" s="39">
        <f t="shared" si="121"/>
        <v>156177000</v>
      </c>
      <c r="EG39" s="106"/>
      <c r="EH39" s="106"/>
      <c r="EI39" s="47" t="str">
        <f t="shared" si="25"/>
        <v>FY18-35</v>
      </c>
      <c r="EJ39" s="16">
        <v>43160</v>
      </c>
      <c r="EK39" s="103">
        <v>21685931.050543383</v>
      </c>
      <c r="EL39" s="104">
        <f t="shared" si="169"/>
        <v>10000000</v>
      </c>
      <c r="EN39" s="104">
        <v>50000000</v>
      </c>
      <c r="EO39" s="1">
        <f t="shared" si="150"/>
        <v>1</v>
      </c>
      <c r="EQ39" s="40">
        <v>150</v>
      </c>
      <c r="ER39" s="39">
        <f t="shared" si="122"/>
        <v>295595000</v>
      </c>
      <c r="ES39" s="40">
        <v>300</v>
      </c>
      <c r="ET39" s="39">
        <f t="shared" si="123"/>
        <v>943730000</v>
      </c>
      <c r="EU39" s="106"/>
      <c r="EV39" s="106"/>
      <c r="EW39" s="106"/>
      <c r="EX39" s="16" t="s">
        <v>33</v>
      </c>
      <c r="EY39" s="16">
        <v>43524</v>
      </c>
      <c r="EZ39" s="103">
        <v>44982119.438084036</v>
      </c>
      <c r="FA39" s="104">
        <v>40000000</v>
      </c>
      <c r="FF39" s="40">
        <v>150</v>
      </c>
      <c r="FG39" s="39">
        <f t="shared" si="124"/>
        <v>329967000</v>
      </c>
      <c r="FH39" s="40">
        <v>300</v>
      </c>
      <c r="FI39" s="39">
        <f t="shared" si="125"/>
        <v>1211217000</v>
      </c>
      <c r="FK39" s="106"/>
      <c r="FL39" s="106"/>
      <c r="FM39" s="40">
        <v>150</v>
      </c>
      <c r="FN39" s="39">
        <f t="shared" si="126"/>
        <v>247070000.00000003</v>
      </c>
      <c r="FO39" s="40">
        <v>300</v>
      </c>
      <c r="FP39" s="39">
        <f t="shared" si="127"/>
        <v>791525000.00000012</v>
      </c>
      <c r="FR39" s="106"/>
      <c r="FS39" s="106"/>
      <c r="FT39" s="16" t="s">
        <v>39</v>
      </c>
      <c r="FU39" s="16">
        <v>43888</v>
      </c>
      <c r="FV39" s="103">
        <v>28132182.912739433</v>
      </c>
      <c r="FW39" s="104">
        <v>12000000</v>
      </c>
      <c r="GB39" s="40">
        <v>150</v>
      </c>
      <c r="GC39" s="39">
        <f t="shared" si="128"/>
        <v>205957000.00000003</v>
      </c>
      <c r="GD39" s="40">
        <v>300</v>
      </c>
      <c r="GE39" s="39">
        <f t="shared" si="129"/>
        <v>628372000.00000012</v>
      </c>
      <c r="GG39" s="106"/>
      <c r="GH39" s="106"/>
      <c r="GI39" s="40">
        <v>150</v>
      </c>
      <c r="GJ39" s="39">
        <f t="shared" si="130"/>
        <v>116742000</v>
      </c>
      <c r="GK39" s="40">
        <v>300</v>
      </c>
      <c r="GL39" s="39">
        <f t="shared" si="131"/>
        <v>156177000</v>
      </c>
      <c r="GN39" s="106"/>
      <c r="GO39" s="106"/>
      <c r="GP39" s="16" t="s">
        <v>38</v>
      </c>
      <c r="GQ39" s="16">
        <v>44252</v>
      </c>
      <c r="GR39" s="103">
        <v>22972673.761021584</v>
      </c>
      <c r="GS39" s="104">
        <v>8000000</v>
      </c>
      <c r="GX39" s="40">
        <v>150</v>
      </c>
      <c r="GY39" s="39">
        <f t="shared" si="132"/>
        <v>218053000</v>
      </c>
      <c r="GZ39" s="40">
        <v>300</v>
      </c>
      <c r="HA39" s="39">
        <f t="shared" si="133"/>
        <v>526902999.99999988</v>
      </c>
      <c r="HC39" s="106"/>
      <c r="HD39" s="106"/>
      <c r="HE39" s="16" t="s">
        <v>35</v>
      </c>
      <c r="HF39" s="16">
        <v>44616</v>
      </c>
      <c r="HG39" s="103">
        <v>244631644.87686226</v>
      </c>
      <c r="HH39" s="104">
        <v>120000000</v>
      </c>
      <c r="HM39" s="40">
        <v>150</v>
      </c>
      <c r="HN39" s="39">
        <f t="shared" si="134"/>
        <v>341242000</v>
      </c>
      <c r="HO39" s="40">
        <v>300</v>
      </c>
      <c r="HP39" s="39">
        <f t="shared" si="135"/>
        <v>1194997000</v>
      </c>
      <c r="HR39" s="106"/>
      <c r="HS39" s="106"/>
      <c r="HT39" s="40">
        <v>150</v>
      </c>
      <c r="HU39" s="39">
        <f t="shared" si="136"/>
        <v>245157999.99999997</v>
      </c>
      <c r="HV39" s="40">
        <v>300</v>
      </c>
      <c r="HW39" s="39">
        <f t="shared" si="137"/>
        <v>687252999.99999988</v>
      </c>
      <c r="HY39" s="106"/>
      <c r="HZ39" s="106"/>
      <c r="IA39" s="16" t="s">
        <v>37</v>
      </c>
      <c r="IB39" s="16">
        <v>44987</v>
      </c>
      <c r="IC39" s="103">
        <v>60656023.107327446</v>
      </c>
      <c r="ID39" s="104">
        <v>40000000</v>
      </c>
      <c r="II39" s="40">
        <v>150</v>
      </c>
      <c r="IJ39" s="39">
        <f t="shared" si="138"/>
        <v>262413999.99999994</v>
      </c>
      <c r="IK39" s="40">
        <v>300</v>
      </c>
      <c r="IL39" s="39">
        <f t="shared" si="139"/>
        <v>709714000</v>
      </c>
      <c r="IN39" s="106"/>
      <c r="IO39" s="106"/>
      <c r="IP39" s="40">
        <v>150</v>
      </c>
      <c r="IQ39" s="39">
        <f t="shared" si="140"/>
        <v>164578000</v>
      </c>
      <c r="IR39" s="40">
        <v>300</v>
      </c>
      <c r="IS39" s="39">
        <f t="shared" si="141"/>
        <v>245563000.00000003</v>
      </c>
      <c r="IU39" s="106"/>
      <c r="IV39" s="106"/>
      <c r="IW39" s="16" t="s">
        <v>169</v>
      </c>
      <c r="IX39" s="12">
        <v>44252</v>
      </c>
      <c r="IY39" s="103">
        <v>22972673.761021584</v>
      </c>
      <c r="IZ39" s="104">
        <v>8000000</v>
      </c>
      <c r="JE39" s="40">
        <v>150</v>
      </c>
      <c r="JF39" s="39">
        <f t="shared" si="142"/>
        <v>262413999.99999994</v>
      </c>
      <c r="JG39" s="40">
        <v>300</v>
      </c>
      <c r="JH39" s="39">
        <f t="shared" si="143"/>
        <v>709714000</v>
      </c>
      <c r="JI39" s="39"/>
      <c r="JJ39" s="39"/>
      <c r="JL39" s="106"/>
      <c r="JM39" s="106"/>
      <c r="JN39" s="40">
        <v>150</v>
      </c>
      <c r="JO39" s="39">
        <f t="shared" si="144"/>
        <v>164578000</v>
      </c>
      <c r="JP39" s="40">
        <v>300</v>
      </c>
      <c r="JQ39" s="39">
        <f t="shared" si="145"/>
        <v>245563000.00000003</v>
      </c>
      <c r="JR39" s="39"/>
      <c r="JS39" s="39"/>
      <c r="JT39" s="39"/>
      <c r="JU39" s="39"/>
      <c r="JW39" s="106"/>
      <c r="JX39" s="106"/>
      <c r="LJ39" s="1">
        <v>6</v>
      </c>
      <c r="LK39" s="1">
        <v>40</v>
      </c>
      <c r="NA39" s="16" t="s">
        <v>34</v>
      </c>
      <c r="NB39" s="16">
        <v>43076</v>
      </c>
      <c r="NC39" s="103">
        <v>17104120</v>
      </c>
      <c r="ND39" s="104">
        <v>6000000</v>
      </c>
      <c r="NI39" s="40">
        <v>150</v>
      </c>
      <c r="NJ39" s="39">
        <f t="shared" si="146"/>
        <v>191514000</v>
      </c>
      <c r="NK39" s="40">
        <v>300</v>
      </c>
      <c r="NL39" s="39">
        <f t="shared" si="147"/>
        <v>399744000</v>
      </c>
      <c r="NN39" s="106"/>
      <c r="NP39" s="16" t="s">
        <v>33</v>
      </c>
      <c r="NQ39" s="16">
        <v>43447</v>
      </c>
      <c r="NR39" s="103">
        <v>31849290</v>
      </c>
      <c r="NS39" s="104">
        <v>20000000</v>
      </c>
      <c r="NX39" s="40">
        <v>150</v>
      </c>
      <c r="NY39" s="39">
        <f t="shared" si="148"/>
        <v>313902000</v>
      </c>
      <c r="NZ39" s="40">
        <v>300</v>
      </c>
      <c r="OA39" s="39">
        <f t="shared" si="149"/>
        <v>1139037000</v>
      </c>
      <c r="OC39" s="106"/>
    </row>
    <row r="40" spans="2:393" x14ac:dyDescent="0.25">
      <c r="B40" s="5"/>
      <c r="C40" s="5"/>
      <c r="D40" s="5"/>
      <c r="F40" s="5"/>
      <c r="G40" s="5"/>
      <c r="H40" s="5"/>
      <c r="I40" s="5"/>
      <c r="K40" s="7">
        <v>36</v>
      </c>
      <c r="M40" s="5" t="str" cm="1">
        <f t="array" ref="M40">LOOKUP(2,1/($G$19:$G$35&lt;=$V40)/($H$19:$H$35&gt;=$V40),$F$19:$F$35)</f>
        <v>1H18</v>
      </c>
      <c r="N40" s="5" t="str" cm="1">
        <f t="array" ref="N40">LOOKUP(2,1/($G$8:$G$16&lt;=$V40)/($H$8:$H$16&gt;=$V40),$F$8:$F$16)</f>
        <v>FY18</v>
      </c>
      <c r="O40" s="5" t="str">
        <f>IFERROR(N40&amp;"-"&amp;COUNTIF($N$19:N40,N40),NA())</f>
        <v>FY18-10</v>
      </c>
      <c r="P40" s="5">
        <f>COUNTIF(V$19:V40,"&gt;="&amp;MAX($V:$V)-183)</f>
        <v>0</v>
      </c>
      <c r="Q40" s="5">
        <f>COUNTIF(V$19:V40,"&gt;="&amp;MAX($V:$V)-365)</f>
        <v>0</v>
      </c>
      <c r="R40" s="5" cm="1">
        <f t="array" ref="R40">LOOKUP(2,1/($G$46:$G$50&lt;=$V40)/($H$46:$H$50&gt;=$V40),$F$46:$F$50)</f>
        <v>0</v>
      </c>
      <c r="S40" s="5" cm="1">
        <f t="array" ref="S40">LOOKUP(2,1/($G$53:$G$56&lt;=$V40)/($H$53:$H$56&gt;=$V40),$F$53:$F$56)</f>
        <v>0</v>
      </c>
      <c r="T40" s="5" t="e">
        <f>IFERROR(IF($R40&gt;0,$R40&amp;"-"&amp;COUNTIF($R$19:$R40,$R40),NA()),NA())</f>
        <v>#N/A</v>
      </c>
      <c r="U40" s="5" t="e">
        <f>IFERROR(IF($S40&gt;0,$S40&amp;"-"&amp;COUNTIF($S$19:$S40,$S40),NA()),NA())</f>
        <v>#N/A</v>
      </c>
      <c r="V40" s="10">
        <v>42985</v>
      </c>
      <c r="W40" s="101">
        <v>25735862.268414695</v>
      </c>
      <c r="X40" s="101">
        <v>23909902.840470672</v>
      </c>
      <c r="Y40" s="102">
        <v>15000000</v>
      </c>
      <c r="AA40" s="48" t="e">
        <f t="shared" si="170"/>
        <v>#N/A</v>
      </c>
      <c r="AB40" s="12" t="e">
        <f t="shared" si="151"/>
        <v>#N/A</v>
      </c>
      <c r="AC40" s="103" t="e">
        <f t="shared" si="152"/>
        <v>#N/A</v>
      </c>
      <c r="AD40" s="104" t="e">
        <f t="shared" si="153"/>
        <v>#N/A</v>
      </c>
      <c r="AI40" s="40">
        <v>160</v>
      </c>
      <c r="AJ40" s="39">
        <f t="shared" si="104"/>
        <v>300236999.99999994</v>
      </c>
      <c r="AK40" s="40">
        <v>310</v>
      </c>
      <c r="AL40" s="39">
        <f t="shared" si="105"/>
        <v>807012000</v>
      </c>
      <c r="AN40" s="106"/>
      <c r="AO40" s="106"/>
      <c r="AP40" s="40">
        <v>160</v>
      </c>
      <c r="AQ40" s="39">
        <f t="shared" si="106"/>
        <v>122294000.00000001</v>
      </c>
      <c r="AR40" s="40">
        <v>310</v>
      </c>
      <c r="AS40" s="39">
        <f t="shared" si="107"/>
        <v>36119000.000000007</v>
      </c>
      <c r="AU40" s="106"/>
      <c r="AW40" s="48">
        <f t="shared" si="171"/>
        <v>36</v>
      </c>
      <c r="AX40" s="12">
        <f t="shared" si="154"/>
        <v>45085</v>
      </c>
      <c r="AY40" s="103">
        <f t="shared" si="155"/>
        <v>56400732.701318517</v>
      </c>
      <c r="AZ40" s="104">
        <f t="shared" si="156"/>
        <v>40000000</v>
      </c>
      <c r="BF40" s="40">
        <v>160</v>
      </c>
      <c r="BG40" s="39">
        <f t="shared" si="108"/>
        <v>313954000</v>
      </c>
      <c r="BH40" s="40">
        <v>310</v>
      </c>
      <c r="BI40" s="39">
        <f t="shared" si="109"/>
        <v>902149000</v>
      </c>
      <c r="BK40" s="106"/>
      <c r="BL40" s="106"/>
      <c r="BM40" s="40">
        <v>160</v>
      </c>
      <c r="BN40" s="39">
        <f t="shared" si="110"/>
        <v>244600000.00000003</v>
      </c>
      <c r="BO40" s="40">
        <v>310</v>
      </c>
      <c r="BP40" s="39">
        <f t="shared" si="111"/>
        <v>591820000</v>
      </c>
      <c r="BR40" s="106"/>
      <c r="BT40" s="48" t="e">
        <f t="shared" si="8"/>
        <v>#N/A</v>
      </c>
      <c r="BU40" s="12" t="e">
        <f t="shared" si="157"/>
        <v>#N/A</v>
      </c>
      <c r="BV40" s="103" t="e">
        <f t="shared" si="158"/>
        <v>#N/A</v>
      </c>
      <c r="BW40" s="104" t="e">
        <f t="shared" si="159"/>
        <v>#N/A</v>
      </c>
      <c r="CB40" s="40">
        <v>160</v>
      </c>
      <c r="CC40" s="39">
        <f t="shared" si="112"/>
        <v>141412000</v>
      </c>
      <c r="CD40" s="40">
        <v>310</v>
      </c>
      <c r="CE40" s="39">
        <f t="shared" si="113"/>
        <v>79206999.999999985</v>
      </c>
      <c r="CG40" s="106"/>
      <c r="CH40" s="106"/>
      <c r="CI40" s="48" t="e">
        <f t="shared" si="12"/>
        <v>#N/A</v>
      </c>
      <c r="CJ40" s="12" t="e">
        <f t="shared" si="160"/>
        <v>#N/A</v>
      </c>
      <c r="CK40" s="105" t="e">
        <f t="shared" si="161"/>
        <v>#N/A</v>
      </c>
      <c r="CL40" s="105" t="e">
        <f t="shared" si="162"/>
        <v>#N/A</v>
      </c>
      <c r="CN40" s="61"/>
      <c r="CQ40" s="40">
        <v>160</v>
      </c>
      <c r="CR40" s="39">
        <f t="shared" si="114"/>
        <v>141412000</v>
      </c>
      <c r="CS40" s="40">
        <v>310</v>
      </c>
      <c r="CT40" s="39">
        <f t="shared" si="115"/>
        <v>79206999.999999985</v>
      </c>
      <c r="CV40" s="106"/>
      <c r="CX40" s="48" t="e">
        <f t="shared" si="16"/>
        <v>#N/A</v>
      </c>
      <c r="CY40" s="12" t="e">
        <f t="shared" si="163"/>
        <v>#N/A</v>
      </c>
      <c r="CZ40" s="103" t="e">
        <f t="shared" si="164"/>
        <v>#N/A</v>
      </c>
      <c r="DA40" s="104" t="e">
        <f t="shared" si="165"/>
        <v>#N/A</v>
      </c>
      <c r="DF40" s="40">
        <v>160</v>
      </c>
      <c r="DG40" s="39">
        <f t="shared" si="116"/>
        <v>141412000</v>
      </c>
      <c r="DH40" s="40">
        <v>310</v>
      </c>
      <c r="DI40" s="39">
        <f t="shared" si="117"/>
        <v>79206999.999999985</v>
      </c>
      <c r="DK40" s="106"/>
      <c r="DL40" s="106"/>
      <c r="DM40" s="48" t="e">
        <f t="shared" si="20"/>
        <v>#N/A</v>
      </c>
      <c r="DN40" s="12" t="e">
        <f t="shared" si="166"/>
        <v>#N/A</v>
      </c>
      <c r="DO40" s="103" t="e">
        <f t="shared" si="167"/>
        <v>#N/A</v>
      </c>
      <c r="DP40" s="104" t="e">
        <f t="shared" si="168"/>
        <v>#N/A</v>
      </c>
      <c r="DU40" s="40">
        <v>160</v>
      </c>
      <c r="DV40" s="39">
        <f t="shared" si="118"/>
        <v>141412000</v>
      </c>
      <c r="DW40" s="40">
        <v>310</v>
      </c>
      <c r="DX40" s="39">
        <f t="shared" si="119"/>
        <v>79206999.999999985</v>
      </c>
      <c r="DZ40" s="106"/>
      <c r="EA40" s="106"/>
      <c r="EB40" s="40">
        <v>160</v>
      </c>
      <c r="EC40" s="39">
        <f t="shared" si="120"/>
        <v>121331000</v>
      </c>
      <c r="ED40" s="40">
        <v>310</v>
      </c>
      <c r="EE40" s="39">
        <f t="shared" si="121"/>
        <v>156566000.00000003</v>
      </c>
      <c r="EG40" s="106"/>
      <c r="EH40" s="106"/>
      <c r="EI40" s="47" t="str">
        <f t="shared" si="25"/>
        <v>FY18-36</v>
      </c>
      <c r="EJ40" s="16">
        <v>43167</v>
      </c>
      <c r="EK40" s="103">
        <v>27412380.840089697</v>
      </c>
      <c r="EL40" s="104">
        <f t="shared" si="169"/>
        <v>15000000</v>
      </c>
      <c r="EQ40" s="40">
        <v>160</v>
      </c>
      <c r="ER40" s="39">
        <f t="shared" si="122"/>
        <v>327463999.99999994</v>
      </c>
      <c r="ES40" s="40">
        <v>310</v>
      </c>
      <c r="ET40" s="39">
        <f t="shared" si="123"/>
        <v>999899000</v>
      </c>
      <c r="EU40" s="106"/>
      <c r="EV40" s="106"/>
      <c r="EW40" s="106"/>
      <c r="EX40" s="16" t="s">
        <v>33</v>
      </c>
      <c r="EY40" s="16">
        <v>43531</v>
      </c>
      <c r="EZ40" s="103">
        <v>13444204.963178415</v>
      </c>
      <c r="FA40" s="104">
        <v>3000000</v>
      </c>
      <c r="FF40" s="40">
        <v>160</v>
      </c>
      <c r="FG40" s="39">
        <f t="shared" si="124"/>
        <v>371077000</v>
      </c>
      <c r="FH40" s="40">
        <v>310</v>
      </c>
      <c r="FI40" s="39">
        <f t="shared" si="125"/>
        <v>1290127000</v>
      </c>
      <c r="FK40" s="106"/>
      <c r="FL40" s="106"/>
      <c r="FM40" s="40">
        <v>160</v>
      </c>
      <c r="FN40" s="39">
        <f t="shared" si="126"/>
        <v>273707000</v>
      </c>
      <c r="FO40" s="40">
        <v>310</v>
      </c>
      <c r="FP40" s="39">
        <f t="shared" si="127"/>
        <v>838862000.00000012</v>
      </c>
      <c r="FR40" s="106"/>
      <c r="FS40" s="106"/>
      <c r="FT40" s="16" t="s">
        <v>39</v>
      </c>
      <c r="FU40" s="16">
        <v>43895</v>
      </c>
      <c r="FV40" s="103">
        <v>36338271.571906358</v>
      </c>
      <c r="FW40" s="104">
        <v>20000000</v>
      </c>
      <c r="GB40" s="40">
        <v>160</v>
      </c>
      <c r="GC40" s="39">
        <f t="shared" si="128"/>
        <v>226838000</v>
      </c>
      <c r="GD40" s="40">
        <v>310</v>
      </c>
      <c r="GE40" s="39">
        <f t="shared" si="129"/>
        <v>664853000</v>
      </c>
      <c r="GG40" s="106"/>
      <c r="GH40" s="106"/>
      <c r="GI40" s="40">
        <v>160</v>
      </c>
      <c r="GJ40" s="39">
        <f t="shared" si="130"/>
        <v>121331000</v>
      </c>
      <c r="GK40" s="40">
        <v>310</v>
      </c>
      <c r="GL40" s="39">
        <f t="shared" si="131"/>
        <v>156566000.00000003</v>
      </c>
      <c r="GN40" s="106"/>
      <c r="GO40" s="106"/>
      <c r="GP40" s="16" t="s">
        <v>38</v>
      </c>
      <c r="GQ40" s="16">
        <v>44259</v>
      </c>
      <c r="GR40" s="103">
        <v>37058402.918820314</v>
      </c>
      <c r="GS40" s="104">
        <v>20000000</v>
      </c>
      <c r="GX40" s="40">
        <v>160</v>
      </c>
      <c r="GY40" s="39">
        <f t="shared" si="132"/>
        <v>235283000</v>
      </c>
      <c r="GZ40" s="40">
        <v>310</v>
      </c>
      <c r="HA40" s="39">
        <f t="shared" si="133"/>
        <v>551333000</v>
      </c>
      <c r="HC40" s="106"/>
      <c r="HD40" s="106"/>
      <c r="HE40" s="16" t="s">
        <v>35</v>
      </c>
      <c r="HF40" s="16">
        <v>44623</v>
      </c>
      <c r="HG40" s="103">
        <v>19764375.068409853</v>
      </c>
      <c r="HH40" s="104">
        <v>3000000</v>
      </c>
      <c r="HM40" s="40">
        <v>160</v>
      </c>
      <c r="HN40" s="39">
        <f t="shared" si="134"/>
        <v>381499000.00000006</v>
      </c>
      <c r="HO40" s="40">
        <v>310</v>
      </c>
      <c r="HP40" s="39">
        <f t="shared" si="135"/>
        <v>1270954000.0000002</v>
      </c>
      <c r="HR40" s="106"/>
      <c r="HS40" s="106"/>
      <c r="HT40" s="40">
        <v>160</v>
      </c>
      <c r="HU40" s="39">
        <f t="shared" si="136"/>
        <v>267911000</v>
      </c>
      <c r="HV40" s="40">
        <v>310</v>
      </c>
      <c r="HW40" s="39">
        <f t="shared" si="137"/>
        <v>724406000</v>
      </c>
      <c r="HY40" s="106"/>
      <c r="HZ40" s="106"/>
      <c r="IA40" s="16" t="s">
        <v>37</v>
      </c>
      <c r="IB40" s="16">
        <v>44994</v>
      </c>
      <c r="IC40" s="103">
        <v>20922155.062328976</v>
      </c>
      <c r="ID40" s="104">
        <v>4000000</v>
      </c>
      <c r="II40" s="40">
        <v>160</v>
      </c>
      <c r="IJ40" s="39">
        <f t="shared" si="138"/>
        <v>285933999.99999994</v>
      </c>
      <c r="IK40" s="40">
        <v>310</v>
      </c>
      <c r="IL40" s="39">
        <f t="shared" si="139"/>
        <v>746734000</v>
      </c>
      <c r="IN40" s="106"/>
      <c r="IO40" s="106"/>
      <c r="IP40" s="40">
        <v>160</v>
      </c>
      <c r="IQ40" s="39">
        <f t="shared" si="140"/>
        <v>172077000</v>
      </c>
      <c r="IR40" s="40">
        <v>310</v>
      </c>
      <c r="IS40" s="39">
        <f t="shared" si="141"/>
        <v>248562000</v>
      </c>
      <c r="IU40" s="106"/>
      <c r="IV40" s="106"/>
      <c r="IW40" s="16" t="s">
        <v>169</v>
      </c>
      <c r="IX40" s="12">
        <v>44259</v>
      </c>
      <c r="IY40" s="103">
        <v>37058402.918820314</v>
      </c>
      <c r="IZ40" s="104">
        <v>20000000</v>
      </c>
      <c r="JE40" s="40">
        <v>160</v>
      </c>
      <c r="JF40" s="39">
        <f t="shared" si="142"/>
        <v>285933999.99999994</v>
      </c>
      <c r="JG40" s="40">
        <v>310</v>
      </c>
      <c r="JH40" s="39">
        <f t="shared" si="143"/>
        <v>746734000</v>
      </c>
      <c r="JI40" s="39"/>
      <c r="JJ40" s="39"/>
      <c r="JL40" s="106"/>
      <c r="JM40" s="106"/>
      <c r="JN40" s="40">
        <v>160</v>
      </c>
      <c r="JO40" s="39">
        <f t="shared" si="144"/>
        <v>172077000</v>
      </c>
      <c r="JP40" s="40">
        <v>310</v>
      </c>
      <c r="JQ40" s="39">
        <f t="shared" si="145"/>
        <v>248562000</v>
      </c>
      <c r="JR40" s="39"/>
      <c r="JS40" s="39"/>
      <c r="JT40" s="39"/>
      <c r="JU40" s="39"/>
      <c r="JW40" s="106"/>
      <c r="JX40" s="106"/>
      <c r="LJ40" s="1">
        <v>7</v>
      </c>
      <c r="LK40" s="1">
        <v>60</v>
      </c>
      <c r="NA40" s="16" t="s">
        <v>34</v>
      </c>
      <c r="NB40" s="16">
        <v>43083</v>
      </c>
      <c r="NC40" s="103">
        <v>19455150</v>
      </c>
      <c r="ND40" s="104">
        <v>10000000</v>
      </c>
      <c r="NI40" s="40">
        <v>160</v>
      </c>
      <c r="NJ40" s="39">
        <f t="shared" si="146"/>
        <v>204555999.99999997</v>
      </c>
      <c r="NK40" s="40">
        <v>310</v>
      </c>
      <c r="NL40" s="39">
        <f t="shared" si="147"/>
        <v>414586000</v>
      </c>
      <c r="NN40" s="106"/>
      <c r="NP40" s="16" t="s">
        <v>33</v>
      </c>
      <c r="NQ40" s="16">
        <v>43454</v>
      </c>
      <c r="NR40" s="103">
        <v>32226612</v>
      </c>
      <c r="NS40" s="104">
        <v>25000000</v>
      </c>
      <c r="NX40" s="40">
        <v>160</v>
      </c>
      <c r="NY40" s="39">
        <f t="shared" si="148"/>
        <v>352531000</v>
      </c>
      <c r="NZ40" s="40">
        <v>310</v>
      </c>
      <c r="OA40" s="39">
        <f t="shared" si="149"/>
        <v>1212766000</v>
      </c>
      <c r="OC40" s="106"/>
    </row>
    <row r="41" spans="2:393" x14ac:dyDescent="0.25">
      <c r="B41" s="5"/>
      <c r="C41" s="5"/>
      <c r="D41" s="5"/>
      <c r="F41" s="57" t="s">
        <v>56</v>
      </c>
      <c r="G41" s="57"/>
      <c r="H41" s="57"/>
      <c r="I41" s="57"/>
      <c r="K41" s="7">
        <v>37</v>
      </c>
      <c r="M41" s="5" t="str" cm="1">
        <f t="array" ref="M41">LOOKUP(2,1/($G$19:$G$35&lt;=$V41)/($H$19:$H$35&gt;=$V41),$F$19:$F$35)</f>
        <v>1H18</v>
      </c>
      <c r="N41" s="5" t="str" cm="1">
        <f t="array" ref="N41">LOOKUP(2,1/($G$8:$G$16&lt;=$V41)/($H$8:$H$16&gt;=$V41),$F$8:$F$16)</f>
        <v>FY18</v>
      </c>
      <c r="O41" s="5" t="str">
        <f>IFERROR(N41&amp;"-"&amp;COUNTIF($N$19:N41,N41),NA())</f>
        <v>FY18-11</v>
      </c>
      <c r="P41" s="5">
        <f>COUNTIF(V$19:V41,"&gt;="&amp;MAX($V:$V)-183)</f>
        <v>0</v>
      </c>
      <c r="Q41" s="5">
        <f>COUNTIF(V$19:V41,"&gt;="&amp;MAX($V:$V)-365)</f>
        <v>0</v>
      </c>
      <c r="R41" s="5" cm="1">
        <f t="array" ref="R41">LOOKUP(2,1/($G$46:$G$50&lt;=$V41)/($H$46:$H$50&gt;=$V41),$F$46:$F$50)</f>
        <v>0</v>
      </c>
      <c r="S41" s="5" cm="1">
        <f t="array" ref="S41">LOOKUP(2,1/($G$53:$G$56&lt;=$V41)/($H$53:$H$56&gt;=$V41),$F$53:$F$56)</f>
        <v>0</v>
      </c>
      <c r="T41" s="5" t="e">
        <f>IFERROR(IF($R41&gt;0,$R41&amp;"-"&amp;COUNTIF($R$19:$R41,$R41),NA()),NA())</f>
        <v>#N/A</v>
      </c>
      <c r="U41" s="5" t="e">
        <f>IFERROR(IF($S41&gt;0,$S41&amp;"-"&amp;COUNTIF($S$19:$S41,$S41),NA()),NA())</f>
        <v>#N/A</v>
      </c>
      <c r="V41" s="10">
        <v>42992</v>
      </c>
      <c r="W41" s="101">
        <v>42955932.763498358</v>
      </c>
      <c r="X41" s="101">
        <v>39908209.333928145</v>
      </c>
      <c r="Y41" s="102">
        <v>30000000</v>
      </c>
      <c r="AA41" s="48" t="e">
        <f t="shared" si="170"/>
        <v>#N/A</v>
      </c>
      <c r="AB41" s="12" t="e">
        <f t="shared" si="151"/>
        <v>#N/A</v>
      </c>
      <c r="AC41" s="103" t="e">
        <f t="shared" si="152"/>
        <v>#N/A</v>
      </c>
      <c r="AD41" s="104" t="e">
        <f t="shared" si="153"/>
        <v>#N/A</v>
      </c>
      <c r="AI41" s="40">
        <v>170</v>
      </c>
      <c r="AJ41" s="39">
        <f t="shared" si="104"/>
        <v>326741999.99999994</v>
      </c>
      <c r="AK41" s="40">
        <v>320</v>
      </c>
      <c r="AL41" s="39">
        <f t="shared" si="105"/>
        <v>849117000</v>
      </c>
      <c r="AN41" s="106"/>
      <c r="AO41" s="106"/>
      <c r="AP41" s="40">
        <v>170</v>
      </c>
      <c r="AQ41" s="39">
        <f t="shared" si="106"/>
        <v>122149000.00000003</v>
      </c>
      <c r="AR41" s="40">
        <v>320</v>
      </c>
      <c r="AS41" s="39">
        <f t="shared" si="107"/>
        <v>23974000.000000026</v>
      </c>
      <c r="AU41" s="106"/>
      <c r="AW41" s="48">
        <f t="shared" si="171"/>
        <v>37</v>
      </c>
      <c r="AX41" s="12">
        <f t="shared" si="154"/>
        <v>45092</v>
      </c>
      <c r="AY41" s="103">
        <f t="shared" si="155"/>
        <v>87731429.334205076</v>
      </c>
      <c r="AZ41" s="104">
        <f t="shared" si="156"/>
        <v>60000000</v>
      </c>
      <c r="BF41" s="40">
        <v>170</v>
      </c>
      <c r="BG41" s="39">
        <f t="shared" si="108"/>
        <v>343787000</v>
      </c>
      <c r="BH41" s="40">
        <v>320</v>
      </c>
      <c r="BI41" s="39">
        <f t="shared" si="109"/>
        <v>952082000</v>
      </c>
      <c r="BK41" s="106"/>
      <c r="BL41" s="106"/>
      <c r="BM41" s="40">
        <v>170</v>
      </c>
      <c r="BN41" s="39">
        <f t="shared" si="110"/>
        <v>263688000</v>
      </c>
      <c r="BO41" s="40">
        <v>320</v>
      </c>
      <c r="BP41" s="39">
        <f t="shared" si="111"/>
        <v>619608000.00000012</v>
      </c>
      <c r="BR41" s="106"/>
      <c r="BT41" s="48" t="e">
        <f t="shared" si="8"/>
        <v>#N/A</v>
      </c>
      <c r="BU41" s="12" t="e">
        <f t="shared" si="157"/>
        <v>#N/A</v>
      </c>
      <c r="BV41" s="103" t="e">
        <f t="shared" si="158"/>
        <v>#N/A</v>
      </c>
      <c r="BW41" s="104" t="e">
        <f t="shared" si="159"/>
        <v>#N/A</v>
      </c>
      <c r="CB41" s="40">
        <v>170</v>
      </c>
      <c r="CC41" s="39">
        <f t="shared" si="112"/>
        <v>142725000.00000003</v>
      </c>
      <c r="CD41" s="40">
        <v>320</v>
      </c>
      <c r="CE41" s="39">
        <f t="shared" si="113"/>
        <v>68820000.00000003</v>
      </c>
      <c r="CG41" s="106"/>
      <c r="CH41" s="106"/>
      <c r="CI41" s="48" t="e">
        <f t="shared" si="12"/>
        <v>#N/A</v>
      </c>
      <c r="CJ41" s="12" t="e">
        <f t="shared" si="160"/>
        <v>#N/A</v>
      </c>
      <c r="CK41" s="105" t="e">
        <f t="shared" si="161"/>
        <v>#N/A</v>
      </c>
      <c r="CL41" s="105" t="e">
        <f t="shared" si="162"/>
        <v>#N/A</v>
      </c>
      <c r="CN41" s="61"/>
      <c r="CQ41" s="40">
        <v>170</v>
      </c>
      <c r="CR41" s="39">
        <f t="shared" si="114"/>
        <v>142725000.00000003</v>
      </c>
      <c r="CS41" s="40">
        <v>320</v>
      </c>
      <c r="CT41" s="39">
        <f t="shared" si="115"/>
        <v>68820000.00000003</v>
      </c>
      <c r="CV41" s="106"/>
      <c r="CX41" s="48" t="e">
        <f t="shared" si="16"/>
        <v>#N/A</v>
      </c>
      <c r="CY41" s="12" t="e">
        <f t="shared" si="163"/>
        <v>#N/A</v>
      </c>
      <c r="CZ41" s="103" t="e">
        <f t="shared" si="164"/>
        <v>#N/A</v>
      </c>
      <c r="DA41" s="104" t="e">
        <f t="shared" si="165"/>
        <v>#N/A</v>
      </c>
      <c r="DF41" s="40">
        <v>170</v>
      </c>
      <c r="DG41" s="39">
        <f t="shared" si="116"/>
        <v>142725000.00000003</v>
      </c>
      <c r="DH41" s="40">
        <v>320</v>
      </c>
      <c r="DI41" s="39">
        <f t="shared" si="117"/>
        <v>68820000.00000003</v>
      </c>
      <c r="DK41" s="106"/>
      <c r="DL41" s="106"/>
      <c r="DM41" s="48" t="e">
        <f t="shared" si="20"/>
        <v>#N/A</v>
      </c>
      <c r="DN41" s="12" t="e">
        <f t="shared" si="166"/>
        <v>#N/A</v>
      </c>
      <c r="DO41" s="103" t="e">
        <f t="shared" si="167"/>
        <v>#N/A</v>
      </c>
      <c r="DP41" s="104" t="e">
        <f t="shared" si="168"/>
        <v>#N/A</v>
      </c>
      <c r="DU41" s="40">
        <v>170</v>
      </c>
      <c r="DV41" s="39">
        <f t="shared" si="118"/>
        <v>142725000.00000003</v>
      </c>
      <c r="DW41" s="40">
        <v>320</v>
      </c>
      <c r="DX41" s="39">
        <f t="shared" si="119"/>
        <v>68820000.00000003</v>
      </c>
      <c r="DZ41" s="106"/>
      <c r="EA41" s="106"/>
      <c r="EB41" s="40">
        <v>170</v>
      </c>
      <c r="EC41" s="39">
        <f t="shared" si="120"/>
        <v>125640000</v>
      </c>
      <c r="ED41" s="40">
        <v>320</v>
      </c>
      <c r="EE41" s="39">
        <f t="shared" si="121"/>
        <v>156675000</v>
      </c>
      <c r="EG41" s="106"/>
      <c r="EH41" s="106"/>
      <c r="EI41" s="47" t="str">
        <f t="shared" si="25"/>
        <v>FY18-37</v>
      </c>
      <c r="EJ41" s="16">
        <v>43174</v>
      </c>
      <c r="EK41" s="103">
        <v>42040755.794376396</v>
      </c>
      <c r="EL41" s="104">
        <f t="shared" si="169"/>
        <v>30000000</v>
      </c>
      <c r="EN41" s="55" t="s">
        <v>55</v>
      </c>
      <c r="EO41" s="54"/>
      <c r="EQ41" s="40">
        <v>170</v>
      </c>
      <c r="ER41" s="39">
        <f t="shared" si="122"/>
        <v>360952999.99999994</v>
      </c>
      <c r="ES41" s="40">
        <v>320</v>
      </c>
      <c r="ET41" s="39">
        <f t="shared" si="123"/>
        <v>1057687999.9999999</v>
      </c>
      <c r="EU41" s="106"/>
      <c r="EV41" s="106"/>
      <c r="EW41" s="106"/>
      <c r="EX41" s="16" t="s">
        <v>33</v>
      </c>
      <c r="EY41" s="16">
        <v>43538</v>
      </c>
      <c r="EZ41" s="103">
        <v>16484335.664335664</v>
      </c>
      <c r="FA41" s="104">
        <v>8000000</v>
      </c>
      <c r="FF41" s="40">
        <v>170</v>
      </c>
      <c r="FG41" s="39">
        <f t="shared" si="124"/>
        <v>414707000</v>
      </c>
      <c r="FH41" s="40">
        <v>320</v>
      </c>
      <c r="FI41" s="39">
        <f t="shared" si="125"/>
        <v>1371557000</v>
      </c>
      <c r="FK41" s="106"/>
      <c r="FL41" s="106"/>
      <c r="FM41" s="40">
        <v>170</v>
      </c>
      <c r="FN41" s="39">
        <f t="shared" si="126"/>
        <v>301724000.00000006</v>
      </c>
      <c r="FO41" s="40">
        <v>320</v>
      </c>
      <c r="FP41" s="39">
        <f t="shared" si="127"/>
        <v>887579000</v>
      </c>
      <c r="FR41" s="106"/>
      <c r="FS41" s="106"/>
      <c r="FT41" s="16" t="s">
        <v>39</v>
      </c>
      <c r="FU41" s="16">
        <v>43902</v>
      </c>
      <c r="FV41" s="103">
        <v>47382249.437519006</v>
      </c>
      <c r="FW41" s="104">
        <v>40000000</v>
      </c>
      <c r="GB41" s="40">
        <v>170</v>
      </c>
      <c r="GC41" s="39">
        <f t="shared" si="128"/>
        <v>248759000</v>
      </c>
      <c r="GD41" s="40">
        <v>320</v>
      </c>
      <c r="GE41" s="39">
        <f t="shared" si="129"/>
        <v>702374000</v>
      </c>
      <c r="GG41" s="106"/>
      <c r="GH41" s="106"/>
      <c r="GI41" s="40">
        <v>170</v>
      </c>
      <c r="GJ41" s="39">
        <f t="shared" si="130"/>
        <v>125640000</v>
      </c>
      <c r="GK41" s="40">
        <v>320</v>
      </c>
      <c r="GL41" s="39">
        <f t="shared" si="131"/>
        <v>156675000</v>
      </c>
      <c r="GN41" s="106"/>
      <c r="GO41" s="106"/>
      <c r="GP41" s="16" t="s">
        <v>38</v>
      </c>
      <c r="GQ41" s="16">
        <v>44266</v>
      </c>
      <c r="GR41" s="103">
        <v>45393461.35603527</v>
      </c>
      <c r="GS41" s="104">
        <v>30000000</v>
      </c>
      <c r="GX41" s="40">
        <v>170</v>
      </c>
      <c r="GY41" s="39">
        <f t="shared" si="132"/>
        <v>252993000.00000003</v>
      </c>
      <c r="GZ41" s="40">
        <v>320</v>
      </c>
      <c r="HA41" s="39">
        <f t="shared" si="133"/>
        <v>576242999.99999988</v>
      </c>
      <c r="HC41" s="106"/>
      <c r="HD41" s="106"/>
      <c r="HE41" s="16" t="s">
        <v>35</v>
      </c>
      <c r="HF41" s="16">
        <v>44630</v>
      </c>
      <c r="HG41" s="103">
        <v>26335124.84037701</v>
      </c>
      <c r="HH41" s="104">
        <v>8000000</v>
      </c>
      <c r="HM41" s="40">
        <v>170</v>
      </c>
      <c r="HN41" s="39">
        <f t="shared" si="134"/>
        <v>424136000</v>
      </c>
      <c r="HO41" s="40">
        <v>320</v>
      </c>
      <c r="HP41" s="39">
        <f t="shared" si="135"/>
        <v>1349291000.0000002</v>
      </c>
      <c r="HR41" s="106"/>
      <c r="HS41" s="106"/>
      <c r="HT41" s="40">
        <v>170</v>
      </c>
      <c r="HU41" s="39">
        <f t="shared" si="136"/>
        <v>291624000</v>
      </c>
      <c r="HV41" s="40">
        <v>320</v>
      </c>
      <c r="HW41" s="39">
        <f t="shared" si="137"/>
        <v>762519000</v>
      </c>
      <c r="HY41" s="106"/>
      <c r="HZ41" s="106"/>
      <c r="IA41" s="16" t="s">
        <v>37</v>
      </c>
      <c r="IB41" s="16">
        <v>45001</v>
      </c>
      <c r="IC41" s="103">
        <v>22050697.598054122</v>
      </c>
      <c r="ID41" s="104">
        <v>4000000</v>
      </c>
      <c r="II41" s="40">
        <v>170</v>
      </c>
      <c r="IJ41" s="39">
        <f t="shared" si="138"/>
        <v>310354000</v>
      </c>
      <c r="IK41" s="40">
        <v>320</v>
      </c>
      <c r="IL41" s="39">
        <f t="shared" si="139"/>
        <v>784654000</v>
      </c>
      <c r="IN41" s="106"/>
      <c r="IO41" s="106"/>
      <c r="IP41" s="40">
        <v>170</v>
      </c>
      <c r="IQ41" s="39">
        <f t="shared" si="140"/>
        <v>179276000</v>
      </c>
      <c r="IR41" s="40">
        <v>320</v>
      </c>
      <c r="IS41" s="39">
        <f t="shared" si="141"/>
        <v>251261000.00000003</v>
      </c>
      <c r="IU41" s="106"/>
      <c r="IV41" s="106"/>
      <c r="IW41" s="16" t="s">
        <v>169</v>
      </c>
      <c r="IX41" s="12">
        <v>44266</v>
      </c>
      <c r="IY41" s="103">
        <v>45393461.35603527</v>
      </c>
      <c r="IZ41" s="104">
        <v>30000000</v>
      </c>
      <c r="JE41" s="40">
        <v>170</v>
      </c>
      <c r="JF41" s="39">
        <f t="shared" si="142"/>
        <v>310354000</v>
      </c>
      <c r="JG41" s="40">
        <v>320</v>
      </c>
      <c r="JH41" s="39">
        <f t="shared" si="143"/>
        <v>784654000</v>
      </c>
      <c r="JI41" s="39"/>
      <c r="JJ41" s="39"/>
      <c r="JL41" s="106"/>
      <c r="JM41" s="106"/>
      <c r="JN41" s="40">
        <v>170</v>
      </c>
      <c r="JO41" s="39">
        <f t="shared" si="144"/>
        <v>179276000</v>
      </c>
      <c r="JP41" s="40">
        <v>320</v>
      </c>
      <c r="JQ41" s="39">
        <f t="shared" si="145"/>
        <v>251261000.00000003</v>
      </c>
      <c r="JR41" s="39"/>
      <c r="JS41" s="39"/>
      <c r="JT41" s="39"/>
      <c r="JU41" s="39"/>
      <c r="JW41" s="106"/>
      <c r="JX41" s="106"/>
      <c r="LJ41" s="1">
        <v>8</v>
      </c>
      <c r="LK41" s="1">
        <v>80</v>
      </c>
      <c r="NA41" s="16" t="s">
        <v>34</v>
      </c>
      <c r="NB41" s="16">
        <v>43090</v>
      </c>
      <c r="NC41" s="103">
        <v>23347610</v>
      </c>
      <c r="ND41" s="104">
        <v>15000000</v>
      </c>
      <c r="NI41" s="40">
        <v>170</v>
      </c>
      <c r="NJ41" s="39">
        <f t="shared" si="146"/>
        <v>217718000.00000003</v>
      </c>
      <c r="NK41" s="40">
        <v>320</v>
      </c>
      <c r="NL41" s="39">
        <f t="shared" si="147"/>
        <v>429548000</v>
      </c>
      <c r="NN41" s="106"/>
      <c r="NP41" s="16" t="s">
        <v>33</v>
      </c>
      <c r="NQ41" s="16">
        <v>43461</v>
      </c>
      <c r="NR41" s="103">
        <v>36357684</v>
      </c>
      <c r="NS41" s="104">
        <v>30000000</v>
      </c>
      <c r="NX41" s="40">
        <v>170</v>
      </c>
      <c r="NY41" s="39">
        <f t="shared" si="148"/>
        <v>393500000</v>
      </c>
      <c r="NZ41" s="40">
        <v>320</v>
      </c>
      <c r="OA41" s="39">
        <f t="shared" si="149"/>
        <v>1288835000</v>
      </c>
      <c r="OC41" s="106"/>
    </row>
    <row r="42" spans="2:393" x14ac:dyDescent="0.25">
      <c r="B42" s="5"/>
      <c r="C42" s="5"/>
      <c r="D42" s="5"/>
      <c r="F42" s="5">
        <v>0</v>
      </c>
      <c r="G42" s="53">
        <v>42552</v>
      </c>
      <c r="H42" s="53">
        <v>44697</v>
      </c>
      <c r="I42" s="53"/>
      <c r="K42" s="7">
        <v>38</v>
      </c>
      <c r="M42" s="5" t="str" cm="1">
        <f t="array" ref="M42">LOOKUP(2,1/($G$19:$G$35&lt;=$V42)/($H$19:$H$35&gt;=$V42),$F$19:$F$35)</f>
        <v>1H18</v>
      </c>
      <c r="N42" s="5" t="str" cm="1">
        <f t="array" ref="N42">LOOKUP(2,1/($G$8:$G$16&lt;=$V42)/($H$8:$H$16&gt;=$V42),$F$8:$F$16)</f>
        <v>FY18</v>
      </c>
      <c r="O42" s="5" t="str">
        <f>IFERROR(N42&amp;"-"&amp;COUNTIF($N$19:N42,N42),NA())</f>
        <v>FY18-12</v>
      </c>
      <c r="P42" s="5">
        <f>COUNTIF(V$19:V42,"&gt;="&amp;MAX($V:$V)-183)</f>
        <v>0</v>
      </c>
      <c r="Q42" s="5">
        <f>COUNTIF(V$19:V42,"&gt;="&amp;MAX($V:$V)-365)</f>
        <v>0</v>
      </c>
      <c r="R42" s="5" cm="1">
        <f t="array" ref="R42">LOOKUP(2,1/($G$46:$G$50&lt;=$V42)/($H$46:$H$50&gt;=$V42),$F$46:$F$50)</f>
        <v>0</v>
      </c>
      <c r="S42" s="5" cm="1">
        <f t="array" ref="S42">LOOKUP(2,1/($G$53:$G$56&lt;=$V42)/($H$53:$H$56&gt;=$V42),$F$53:$F$56)</f>
        <v>0</v>
      </c>
      <c r="T42" s="5" t="e">
        <f>IFERROR(IF($R42&gt;0,$R42&amp;"-"&amp;COUNTIF($R$19:$R42,$R42),NA()),NA())</f>
        <v>#N/A</v>
      </c>
      <c r="U42" s="5" t="e">
        <f>IFERROR(IF($S42&gt;0,$S42&amp;"-"&amp;COUNTIF($S$19:$S42,$S42),NA()),NA())</f>
        <v>#N/A</v>
      </c>
      <c r="V42" s="10">
        <v>42999</v>
      </c>
      <c r="W42" s="101">
        <v>69849422.718647569</v>
      </c>
      <c r="X42" s="101">
        <v>64893606.176759519</v>
      </c>
      <c r="Y42" s="102">
        <v>50000000</v>
      </c>
      <c r="AA42" s="48" t="e">
        <f t="shared" si="170"/>
        <v>#N/A</v>
      </c>
      <c r="AB42" s="12" t="e">
        <f t="shared" si="151"/>
        <v>#N/A</v>
      </c>
      <c r="AC42" s="103" t="e">
        <f t="shared" si="152"/>
        <v>#N/A</v>
      </c>
      <c r="AD42" s="104" t="e">
        <f t="shared" si="153"/>
        <v>#N/A</v>
      </c>
      <c r="AI42" s="40">
        <v>180</v>
      </c>
      <c r="AJ42" s="39">
        <f t="shared" si="104"/>
        <v>354287000</v>
      </c>
      <c r="AK42" s="40">
        <v>330</v>
      </c>
      <c r="AL42" s="39">
        <f t="shared" si="105"/>
        <v>892262000</v>
      </c>
      <c r="AN42" s="106"/>
      <c r="AO42" s="106"/>
      <c r="AP42" s="40">
        <v>180</v>
      </c>
      <c r="AQ42" s="39">
        <f t="shared" si="106"/>
        <v>121204000.00000001</v>
      </c>
      <c r="AR42" s="40">
        <v>330</v>
      </c>
      <c r="AS42" s="39">
        <f t="shared" si="107"/>
        <v>11029000.000000032</v>
      </c>
      <c r="AU42" s="106"/>
      <c r="AW42" s="48">
        <f t="shared" si="171"/>
        <v>38</v>
      </c>
      <c r="AX42" s="12">
        <f t="shared" si="154"/>
        <v>45099</v>
      </c>
      <c r="AY42" s="103">
        <f t="shared" si="155"/>
        <v>169147583.30609131</v>
      </c>
      <c r="AZ42" s="104">
        <f t="shared" si="156"/>
        <v>100000000</v>
      </c>
      <c r="BF42" s="40">
        <v>180</v>
      </c>
      <c r="BG42" s="39">
        <f t="shared" si="108"/>
        <v>374960000.00000006</v>
      </c>
      <c r="BH42" s="40">
        <v>330</v>
      </c>
      <c r="BI42" s="39">
        <f t="shared" si="109"/>
        <v>1003355000</v>
      </c>
      <c r="BK42" s="106"/>
      <c r="BL42" s="106"/>
      <c r="BM42" s="40">
        <v>180</v>
      </c>
      <c r="BN42" s="39">
        <f t="shared" si="110"/>
        <v>283356000</v>
      </c>
      <c r="BO42" s="40">
        <v>330</v>
      </c>
      <c r="BP42" s="39">
        <f t="shared" si="111"/>
        <v>647976000</v>
      </c>
      <c r="BR42" s="106"/>
      <c r="BT42" s="48" t="e">
        <f t="shared" si="8"/>
        <v>#N/A</v>
      </c>
      <c r="BU42" s="12" t="e">
        <f t="shared" si="157"/>
        <v>#N/A</v>
      </c>
      <c r="BV42" s="103" t="e">
        <f t="shared" si="158"/>
        <v>#N/A</v>
      </c>
      <c r="BW42" s="104" t="e">
        <f t="shared" si="159"/>
        <v>#N/A</v>
      </c>
      <c r="CB42" s="40">
        <v>180</v>
      </c>
      <c r="CC42" s="39">
        <f t="shared" si="112"/>
        <v>143257999.99999997</v>
      </c>
      <c r="CD42" s="40">
        <v>330</v>
      </c>
      <c r="CE42" s="39">
        <f t="shared" si="113"/>
        <v>57653000.000000007</v>
      </c>
      <c r="CG42" s="106"/>
      <c r="CH42" s="106"/>
      <c r="CI42" s="48" t="e">
        <f t="shared" si="12"/>
        <v>#N/A</v>
      </c>
      <c r="CJ42" s="12" t="e">
        <f t="shared" si="160"/>
        <v>#N/A</v>
      </c>
      <c r="CK42" s="105" t="e">
        <f t="shared" si="161"/>
        <v>#N/A</v>
      </c>
      <c r="CL42" s="105" t="e">
        <f t="shared" si="162"/>
        <v>#N/A</v>
      </c>
      <c r="CQ42" s="40">
        <v>180</v>
      </c>
      <c r="CR42" s="39">
        <f t="shared" si="114"/>
        <v>143257999.99999997</v>
      </c>
      <c r="CS42" s="40">
        <v>330</v>
      </c>
      <c r="CT42" s="39">
        <f t="shared" si="115"/>
        <v>57653000.000000007</v>
      </c>
      <c r="CV42" s="106"/>
      <c r="CX42" s="48" t="e">
        <f t="shared" si="16"/>
        <v>#N/A</v>
      </c>
      <c r="CY42" s="12" t="e">
        <f t="shared" si="163"/>
        <v>#N/A</v>
      </c>
      <c r="CZ42" s="103" t="e">
        <f t="shared" si="164"/>
        <v>#N/A</v>
      </c>
      <c r="DA42" s="104" t="e">
        <f t="shared" si="165"/>
        <v>#N/A</v>
      </c>
      <c r="DF42" s="40">
        <v>180</v>
      </c>
      <c r="DG42" s="39">
        <f t="shared" si="116"/>
        <v>143257999.99999997</v>
      </c>
      <c r="DH42" s="40">
        <v>330</v>
      </c>
      <c r="DI42" s="39">
        <f t="shared" si="117"/>
        <v>57653000.000000007</v>
      </c>
      <c r="DK42" s="106"/>
      <c r="DL42" s="106"/>
      <c r="DM42" s="48" t="e">
        <f t="shared" si="20"/>
        <v>#N/A</v>
      </c>
      <c r="DN42" s="12" t="e">
        <f t="shared" si="166"/>
        <v>#N/A</v>
      </c>
      <c r="DO42" s="103" t="e">
        <f t="shared" si="167"/>
        <v>#N/A</v>
      </c>
      <c r="DP42" s="104" t="e">
        <f t="shared" si="168"/>
        <v>#N/A</v>
      </c>
      <c r="DU42" s="40">
        <v>180</v>
      </c>
      <c r="DV42" s="39">
        <f t="shared" si="118"/>
        <v>143257999.99999997</v>
      </c>
      <c r="DW42" s="40">
        <v>330</v>
      </c>
      <c r="DX42" s="39">
        <f t="shared" si="119"/>
        <v>57653000.000000007</v>
      </c>
      <c r="DZ42" s="106"/>
      <c r="EA42" s="106"/>
      <c r="EB42" s="40">
        <v>180</v>
      </c>
      <c r="EC42" s="39">
        <f t="shared" si="120"/>
        <v>129669000.00000001</v>
      </c>
      <c r="ED42" s="40">
        <v>330</v>
      </c>
      <c r="EE42" s="39">
        <f t="shared" si="121"/>
        <v>156503999.99999997</v>
      </c>
      <c r="EG42" s="106"/>
      <c r="EH42" s="106"/>
      <c r="EI42" s="47" t="str">
        <f t="shared" si="25"/>
        <v>FY18-38</v>
      </c>
      <c r="EJ42" s="16">
        <v>43181</v>
      </c>
      <c r="EK42" s="103">
        <v>52311528.797653951</v>
      </c>
      <c r="EL42" s="104">
        <f t="shared" si="169"/>
        <v>40000000</v>
      </c>
      <c r="EN42" s="52" t="s">
        <v>42</v>
      </c>
      <c r="EO42" s="52" t="s">
        <v>41</v>
      </c>
      <c r="EQ42" s="40">
        <v>180</v>
      </c>
      <c r="ER42" s="39">
        <f t="shared" si="122"/>
        <v>396061999.99999994</v>
      </c>
      <c r="ES42" s="40">
        <v>330</v>
      </c>
      <c r="ET42" s="39">
        <f t="shared" si="123"/>
        <v>1117097000</v>
      </c>
      <c r="EU42" s="106"/>
      <c r="EV42" s="106"/>
      <c r="EW42" s="106"/>
      <c r="EX42" s="16" t="s">
        <v>33</v>
      </c>
      <c r="EY42" s="16">
        <v>43545</v>
      </c>
      <c r="EZ42" s="103">
        <v>20282530.107061081</v>
      </c>
      <c r="FA42" s="104">
        <v>12000000</v>
      </c>
      <c r="FF42" s="40">
        <v>180</v>
      </c>
      <c r="FG42" s="39">
        <f t="shared" si="124"/>
        <v>460857000</v>
      </c>
      <c r="FH42" s="40">
        <v>330</v>
      </c>
      <c r="FI42" s="39">
        <f t="shared" si="125"/>
        <v>1455507000.0000002</v>
      </c>
      <c r="FK42" s="106"/>
      <c r="FL42" s="106"/>
      <c r="FM42" s="40">
        <v>180</v>
      </c>
      <c r="FN42" s="39">
        <f t="shared" si="126"/>
        <v>331121000.00000006</v>
      </c>
      <c r="FO42" s="40">
        <v>330</v>
      </c>
      <c r="FP42" s="39">
        <f t="shared" si="127"/>
        <v>937675999.99999988</v>
      </c>
      <c r="FR42" s="106"/>
      <c r="FS42" s="106"/>
      <c r="FT42" s="16" t="s">
        <v>39</v>
      </c>
      <c r="FU42" s="16">
        <v>43909</v>
      </c>
      <c r="FV42" s="103">
        <v>63680303.55731225</v>
      </c>
      <c r="FW42" s="104">
        <v>60000000</v>
      </c>
      <c r="GB42" s="40">
        <v>180</v>
      </c>
      <c r="GC42" s="39">
        <f t="shared" si="128"/>
        <v>271720000</v>
      </c>
      <c r="GD42" s="40">
        <v>330</v>
      </c>
      <c r="GE42" s="39">
        <f t="shared" si="129"/>
        <v>740935000</v>
      </c>
      <c r="GG42" s="106"/>
      <c r="GH42" s="106"/>
      <c r="GI42" s="40">
        <v>180</v>
      </c>
      <c r="GJ42" s="39">
        <f t="shared" si="130"/>
        <v>129669000.00000001</v>
      </c>
      <c r="GK42" s="40">
        <v>330</v>
      </c>
      <c r="GL42" s="39">
        <f t="shared" si="131"/>
        <v>156503999.99999997</v>
      </c>
      <c r="GN42" s="106"/>
      <c r="GO42" s="106"/>
      <c r="GP42" s="16" t="s">
        <v>38</v>
      </c>
      <c r="GQ42" s="16">
        <v>44273</v>
      </c>
      <c r="GR42" s="103">
        <v>69997466.46397081</v>
      </c>
      <c r="GS42" s="104">
        <v>50000000</v>
      </c>
      <c r="GX42" s="40">
        <v>180</v>
      </c>
      <c r="GY42" s="39">
        <f t="shared" si="132"/>
        <v>271183000</v>
      </c>
      <c r="GZ42" s="40">
        <v>330</v>
      </c>
      <c r="HA42" s="39">
        <f t="shared" si="133"/>
        <v>601632999.99999988</v>
      </c>
      <c r="HC42" s="106"/>
      <c r="HD42" s="106"/>
      <c r="HE42" s="16" t="s">
        <v>35</v>
      </c>
      <c r="HF42" s="16">
        <v>44637</v>
      </c>
      <c r="HG42" s="103">
        <v>40906184.493767105</v>
      </c>
      <c r="HH42" s="104">
        <v>20000000</v>
      </c>
      <c r="HM42" s="40">
        <v>180</v>
      </c>
      <c r="HN42" s="39">
        <f t="shared" si="134"/>
        <v>469153000</v>
      </c>
      <c r="HO42" s="40">
        <v>330</v>
      </c>
      <c r="HP42" s="39">
        <f t="shared" si="135"/>
        <v>1430008000.0000002</v>
      </c>
      <c r="HR42" s="106"/>
      <c r="HS42" s="106"/>
      <c r="HT42" s="40">
        <v>180</v>
      </c>
      <c r="HU42" s="39">
        <f t="shared" si="136"/>
        <v>316296999.99999994</v>
      </c>
      <c r="HV42" s="40">
        <v>330</v>
      </c>
      <c r="HW42" s="39">
        <f t="shared" si="137"/>
        <v>801592000</v>
      </c>
      <c r="HY42" s="106"/>
      <c r="HZ42" s="106"/>
      <c r="IA42" s="16" t="s">
        <v>37</v>
      </c>
      <c r="IB42" s="16">
        <v>45008</v>
      </c>
      <c r="IC42" s="103">
        <v>25902576.588628761</v>
      </c>
      <c r="ID42" s="104">
        <v>8000000</v>
      </c>
      <c r="II42" s="40">
        <v>180</v>
      </c>
      <c r="IJ42" s="39">
        <f t="shared" si="138"/>
        <v>335673999.99999994</v>
      </c>
      <c r="IK42" s="40">
        <v>330</v>
      </c>
      <c r="IL42" s="39">
        <f t="shared" si="139"/>
        <v>823473999.99999988</v>
      </c>
      <c r="IN42" s="106"/>
      <c r="IO42" s="106"/>
      <c r="IP42" s="40">
        <v>180</v>
      </c>
      <c r="IQ42" s="39">
        <f t="shared" si="140"/>
        <v>186175000</v>
      </c>
      <c r="IR42" s="40">
        <v>330</v>
      </c>
      <c r="IS42" s="39">
        <f t="shared" si="141"/>
        <v>253660000.00000003</v>
      </c>
      <c r="IU42" s="106"/>
      <c r="IV42" s="106"/>
      <c r="IW42" s="16" t="s">
        <v>169</v>
      </c>
      <c r="IX42" s="12">
        <v>44273</v>
      </c>
      <c r="IY42" s="103">
        <v>69997466.46397081</v>
      </c>
      <c r="IZ42" s="104">
        <v>50000000</v>
      </c>
      <c r="JE42" s="40">
        <v>180</v>
      </c>
      <c r="JF42" s="39">
        <f t="shared" si="142"/>
        <v>335673999.99999994</v>
      </c>
      <c r="JG42" s="40">
        <v>330</v>
      </c>
      <c r="JH42" s="39">
        <f t="shared" si="143"/>
        <v>823473999.99999988</v>
      </c>
      <c r="JI42" s="39"/>
      <c r="JJ42" s="39"/>
      <c r="JL42" s="106"/>
      <c r="JM42" s="106"/>
      <c r="JN42" s="40">
        <v>180</v>
      </c>
      <c r="JO42" s="39">
        <f t="shared" si="144"/>
        <v>186175000</v>
      </c>
      <c r="JP42" s="40">
        <v>330</v>
      </c>
      <c r="JQ42" s="39">
        <f t="shared" si="145"/>
        <v>253660000.00000003</v>
      </c>
      <c r="JR42" s="39"/>
      <c r="JS42" s="39"/>
      <c r="JT42" s="39"/>
      <c r="JU42" s="39"/>
      <c r="JW42" s="106"/>
      <c r="JX42" s="106"/>
      <c r="LJ42" s="1">
        <v>9</v>
      </c>
      <c r="LK42" s="1">
        <v>100</v>
      </c>
      <c r="NA42" s="16" t="s">
        <v>34</v>
      </c>
      <c r="NB42" s="16">
        <v>43097</v>
      </c>
      <c r="NC42" s="103">
        <v>27563580</v>
      </c>
      <c r="ND42" s="104">
        <v>25000000</v>
      </c>
      <c r="NI42" s="40">
        <v>180</v>
      </c>
      <c r="NJ42" s="39">
        <f t="shared" si="146"/>
        <v>231000000</v>
      </c>
      <c r="NK42" s="40">
        <v>330</v>
      </c>
      <c r="NL42" s="39">
        <f t="shared" si="147"/>
        <v>444630000</v>
      </c>
      <c r="NN42" s="106"/>
      <c r="NP42" s="16" t="s">
        <v>33</v>
      </c>
      <c r="NQ42" s="16">
        <v>43468</v>
      </c>
      <c r="NR42" s="103">
        <v>65666766</v>
      </c>
      <c r="NS42" s="104">
        <v>50000000</v>
      </c>
      <c r="NX42" s="40">
        <v>180</v>
      </c>
      <c r="NY42" s="39">
        <f t="shared" si="148"/>
        <v>436808999.99999994</v>
      </c>
      <c r="NZ42" s="40">
        <v>330</v>
      </c>
      <c r="OA42" s="39">
        <f t="shared" si="149"/>
        <v>1367244000.0000002</v>
      </c>
      <c r="OC42" s="106"/>
    </row>
    <row r="43" spans="2:393" x14ac:dyDescent="0.25">
      <c r="B43" s="5"/>
      <c r="C43" s="5"/>
      <c r="D43" s="5"/>
      <c r="F43" s="5">
        <v>1</v>
      </c>
      <c r="G43" s="53">
        <v>44698</v>
      </c>
      <c r="H43" s="51">
        <f>EOMONTH(MAX($V:$V),0)</f>
        <v>45230</v>
      </c>
      <c r="I43" s="51"/>
      <c r="K43" s="7">
        <v>39</v>
      </c>
      <c r="M43" s="5" t="str" cm="1">
        <f t="array" ref="M43">LOOKUP(2,1/($G$19:$G$35&lt;=$V43)/($H$19:$H$35&gt;=$V43),$F$19:$F$35)</f>
        <v>1H18</v>
      </c>
      <c r="N43" s="5" t="str" cm="1">
        <f t="array" ref="N43">LOOKUP(2,1/($G$8:$G$16&lt;=$V43)/($H$8:$H$16&gt;=$V43),$F$8:$F$16)</f>
        <v>FY18</v>
      </c>
      <c r="O43" s="5" t="str">
        <f>IFERROR(N43&amp;"-"&amp;COUNTIF($N$19:N43,N43),NA())</f>
        <v>FY18-13</v>
      </c>
      <c r="P43" s="5">
        <f>COUNTIF(V$19:V43,"&gt;="&amp;MAX($V:$V)-183)</f>
        <v>0</v>
      </c>
      <c r="Q43" s="5">
        <f>COUNTIF(V$19:V43,"&gt;="&amp;MAX($V:$V)-365)</f>
        <v>0</v>
      </c>
      <c r="R43" s="5" cm="1">
        <f t="array" ref="R43">LOOKUP(2,1/($G$46:$G$50&lt;=$V43)/($H$46:$H$50&gt;=$V43),$F$46:$F$50)</f>
        <v>0</v>
      </c>
      <c r="S43" s="5" cm="1">
        <f t="array" ref="S43">LOOKUP(2,1/($G$53:$G$56&lt;=$V43)/($H$53:$H$56&gt;=$V43),$F$53:$F$56)</f>
        <v>0</v>
      </c>
      <c r="T43" s="5" t="e">
        <f>IFERROR(IF($R43&gt;0,$R43&amp;"-"&amp;COUNTIF($R$19:$R43,$R43),NA()),NA())</f>
        <v>#N/A</v>
      </c>
      <c r="U43" s="5" t="e">
        <f>IFERROR(IF($S43&gt;0,$S43&amp;"-"&amp;COUNTIF($S$19:$S43,$S43),NA()),NA())</f>
        <v>#N/A</v>
      </c>
      <c r="V43" s="10">
        <v>43006</v>
      </c>
      <c r="W43" s="101">
        <v>14312979.346213557</v>
      </c>
      <c r="X43" s="101">
        <v>13297473.461599704</v>
      </c>
      <c r="Y43" s="102">
        <v>3000000</v>
      </c>
      <c r="AA43" s="48" t="e">
        <f t="shared" si="170"/>
        <v>#N/A</v>
      </c>
      <c r="AB43" s="12" t="e">
        <f t="shared" si="151"/>
        <v>#N/A</v>
      </c>
      <c r="AC43" s="103" t="e">
        <f t="shared" si="152"/>
        <v>#N/A</v>
      </c>
      <c r="AD43" s="104" t="e">
        <f t="shared" si="153"/>
        <v>#N/A</v>
      </c>
      <c r="AI43" s="40">
        <v>190</v>
      </c>
      <c r="AJ43" s="39">
        <f t="shared" si="104"/>
        <v>382871999.99999994</v>
      </c>
      <c r="AK43" s="40">
        <v>340</v>
      </c>
      <c r="AL43" s="39">
        <f t="shared" si="105"/>
        <v>936447000</v>
      </c>
      <c r="AN43" s="106"/>
      <c r="AO43" s="106"/>
      <c r="AP43" s="40">
        <v>190</v>
      </c>
      <c r="AQ43" s="39">
        <f t="shared" si="106"/>
        <v>119459000</v>
      </c>
      <c r="AR43" s="40">
        <v>340</v>
      </c>
      <c r="AS43" s="39">
        <f t="shared" si="107"/>
        <v>-2715999.9999999725</v>
      </c>
      <c r="AU43" s="106"/>
      <c r="AW43" s="48">
        <f t="shared" si="171"/>
        <v>39</v>
      </c>
      <c r="AX43" s="12">
        <f t="shared" si="154"/>
        <v>45106</v>
      </c>
      <c r="AY43" s="103">
        <f t="shared" si="155"/>
        <v>19524423.123024959</v>
      </c>
      <c r="AZ43" s="104">
        <f t="shared" si="156"/>
        <v>4000000</v>
      </c>
      <c r="BF43" s="40">
        <v>190</v>
      </c>
      <c r="BG43" s="39">
        <f t="shared" si="108"/>
        <v>407472999.99999994</v>
      </c>
      <c r="BH43" s="40">
        <v>340</v>
      </c>
      <c r="BI43" s="39">
        <f t="shared" si="109"/>
        <v>1055967999.9999999</v>
      </c>
      <c r="BK43" s="106"/>
      <c r="BL43" s="106"/>
      <c r="BM43" s="40">
        <v>190</v>
      </c>
      <c r="BN43" s="39">
        <f t="shared" si="110"/>
        <v>303604000</v>
      </c>
      <c r="BO43" s="40">
        <v>340</v>
      </c>
      <c r="BP43" s="39">
        <f t="shared" si="111"/>
        <v>676923999.99999988</v>
      </c>
      <c r="BR43" s="106"/>
      <c r="BT43" s="48" t="e">
        <f t="shared" si="8"/>
        <v>#N/A</v>
      </c>
      <c r="BU43" s="12" t="e">
        <f t="shared" si="157"/>
        <v>#N/A</v>
      </c>
      <c r="BV43" s="103" t="e">
        <f t="shared" si="158"/>
        <v>#N/A</v>
      </c>
      <c r="BW43" s="104" t="e">
        <f t="shared" si="159"/>
        <v>#N/A</v>
      </c>
      <c r="CB43" s="40">
        <v>190</v>
      </c>
      <c r="CC43" s="39">
        <f t="shared" si="112"/>
        <v>143011000</v>
      </c>
      <c r="CD43" s="40">
        <v>340</v>
      </c>
      <c r="CE43" s="39">
        <f t="shared" si="113"/>
        <v>45706000</v>
      </c>
      <c r="CG43" s="106"/>
      <c r="CH43" s="106"/>
      <c r="CI43" s="48" t="e">
        <f t="shared" si="12"/>
        <v>#N/A</v>
      </c>
      <c r="CJ43" s="12" t="e">
        <f t="shared" si="160"/>
        <v>#N/A</v>
      </c>
      <c r="CK43" s="105" t="e">
        <f t="shared" si="161"/>
        <v>#N/A</v>
      </c>
      <c r="CL43" s="105" t="e">
        <f t="shared" si="162"/>
        <v>#N/A</v>
      </c>
      <c r="CQ43" s="40">
        <v>190</v>
      </c>
      <c r="CR43" s="39">
        <f t="shared" si="114"/>
        <v>143011000</v>
      </c>
      <c r="CS43" s="40">
        <v>340</v>
      </c>
      <c r="CT43" s="39">
        <f t="shared" si="115"/>
        <v>45706000</v>
      </c>
      <c r="CV43" s="106"/>
      <c r="CX43" s="48" t="e">
        <f t="shared" si="16"/>
        <v>#N/A</v>
      </c>
      <c r="CY43" s="12" t="e">
        <f t="shared" si="163"/>
        <v>#N/A</v>
      </c>
      <c r="CZ43" s="103" t="e">
        <f t="shared" si="164"/>
        <v>#N/A</v>
      </c>
      <c r="DA43" s="104" t="e">
        <f t="shared" si="165"/>
        <v>#N/A</v>
      </c>
      <c r="DF43" s="40">
        <v>190</v>
      </c>
      <c r="DG43" s="39">
        <f t="shared" si="116"/>
        <v>143011000</v>
      </c>
      <c r="DH43" s="40">
        <v>340</v>
      </c>
      <c r="DI43" s="39">
        <f t="shared" si="117"/>
        <v>45706000</v>
      </c>
      <c r="DK43" s="106"/>
      <c r="DL43" s="106"/>
      <c r="DM43" s="48" t="e">
        <f t="shared" si="20"/>
        <v>#N/A</v>
      </c>
      <c r="DN43" s="12" t="e">
        <f t="shared" si="166"/>
        <v>#N/A</v>
      </c>
      <c r="DO43" s="103" t="e">
        <f t="shared" si="167"/>
        <v>#N/A</v>
      </c>
      <c r="DP43" s="104" t="e">
        <f t="shared" si="168"/>
        <v>#N/A</v>
      </c>
      <c r="DU43" s="40">
        <v>190</v>
      </c>
      <c r="DV43" s="39">
        <f t="shared" si="118"/>
        <v>143011000</v>
      </c>
      <c r="DW43" s="40">
        <v>340</v>
      </c>
      <c r="DX43" s="39">
        <f t="shared" si="119"/>
        <v>45706000</v>
      </c>
      <c r="DZ43" s="106"/>
      <c r="EA43" s="106"/>
      <c r="EB43" s="40">
        <v>190</v>
      </c>
      <c r="EC43" s="39">
        <f t="shared" si="120"/>
        <v>133418000</v>
      </c>
      <c r="ED43" s="40">
        <v>340</v>
      </c>
      <c r="EE43" s="39">
        <f t="shared" si="121"/>
        <v>156053000</v>
      </c>
      <c r="EG43" s="106"/>
      <c r="EH43" s="106"/>
      <c r="EI43" s="47" t="str">
        <f t="shared" si="25"/>
        <v>FY18-39</v>
      </c>
      <c r="EJ43" s="16">
        <v>43188</v>
      </c>
      <c r="EK43" s="103">
        <v>15128946.850094875</v>
      </c>
      <c r="EL43" s="104">
        <f t="shared" si="169"/>
        <v>3000000</v>
      </c>
      <c r="EN43" s="1">
        <v>1</v>
      </c>
      <c r="EO43" s="1">
        <v>3</v>
      </c>
      <c r="EQ43" s="40">
        <v>190</v>
      </c>
      <c r="ER43" s="39">
        <f t="shared" si="122"/>
        <v>432790999.99999994</v>
      </c>
      <c r="ES43" s="40">
        <v>340</v>
      </c>
      <c r="ET43" s="39">
        <f t="shared" si="123"/>
        <v>1178126000</v>
      </c>
      <c r="EU43" s="106"/>
      <c r="EV43" s="106"/>
      <c r="EW43" s="106"/>
      <c r="EX43" s="16" t="s">
        <v>33</v>
      </c>
      <c r="EY43" s="16">
        <v>43552</v>
      </c>
      <c r="EZ43" s="103">
        <v>26225644.9037688</v>
      </c>
      <c r="FA43" s="104">
        <v>20000000</v>
      </c>
      <c r="FF43" s="40">
        <v>190</v>
      </c>
      <c r="FG43" s="39">
        <f t="shared" si="124"/>
        <v>509527000</v>
      </c>
      <c r="FH43" s="40">
        <v>340</v>
      </c>
      <c r="FI43" s="39">
        <f t="shared" si="125"/>
        <v>1541977000</v>
      </c>
      <c r="FK43" s="106"/>
      <c r="FL43" s="106"/>
      <c r="FM43" s="40">
        <v>190</v>
      </c>
      <c r="FN43" s="39">
        <f t="shared" si="126"/>
        <v>361898000</v>
      </c>
      <c r="FO43" s="40">
        <v>340</v>
      </c>
      <c r="FP43" s="39">
        <f t="shared" si="127"/>
        <v>989153000</v>
      </c>
      <c r="FR43" s="106"/>
      <c r="FS43" s="106"/>
      <c r="FT43" s="16" t="s">
        <v>39</v>
      </c>
      <c r="FU43" s="16">
        <v>43916</v>
      </c>
      <c r="FV43" s="103">
        <v>82611427.667984188</v>
      </c>
      <c r="FW43" s="104">
        <v>80000000</v>
      </c>
      <c r="GB43" s="40">
        <v>190</v>
      </c>
      <c r="GC43" s="39">
        <f t="shared" si="128"/>
        <v>295721000</v>
      </c>
      <c r="GD43" s="40">
        <v>340</v>
      </c>
      <c r="GE43" s="39">
        <f t="shared" si="129"/>
        <v>780536000</v>
      </c>
      <c r="GG43" s="106"/>
      <c r="GH43" s="106"/>
      <c r="GI43" s="40">
        <v>190</v>
      </c>
      <c r="GJ43" s="39">
        <f t="shared" si="130"/>
        <v>133418000</v>
      </c>
      <c r="GK43" s="40">
        <v>340</v>
      </c>
      <c r="GL43" s="39">
        <f t="shared" si="131"/>
        <v>156053000</v>
      </c>
      <c r="GN43" s="106"/>
      <c r="GO43" s="106"/>
      <c r="GP43" s="16" t="s">
        <v>38</v>
      </c>
      <c r="GQ43" s="16">
        <v>44280</v>
      </c>
      <c r="GR43" s="103">
        <v>23504738.218303431</v>
      </c>
      <c r="GS43" s="104">
        <v>8000000</v>
      </c>
      <c r="GX43" s="40">
        <v>190</v>
      </c>
      <c r="GY43" s="39">
        <f t="shared" si="132"/>
        <v>289852999.99999994</v>
      </c>
      <c r="GZ43" s="40">
        <v>340</v>
      </c>
      <c r="HA43" s="39">
        <f t="shared" si="133"/>
        <v>627502999.99999988</v>
      </c>
      <c r="HC43" s="106"/>
      <c r="HD43" s="106"/>
      <c r="HE43" s="16" t="s">
        <v>35</v>
      </c>
      <c r="HF43" s="16">
        <v>44644</v>
      </c>
      <c r="HG43" s="103">
        <v>19376209.911827303</v>
      </c>
      <c r="HH43" s="104">
        <v>3000000</v>
      </c>
      <c r="HM43" s="40">
        <v>190</v>
      </c>
      <c r="HN43" s="39">
        <f t="shared" si="134"/>
        <v>516550000.00000006</v>
      </c>
      <c r="HO43" s="40">
        <v>340</v>
      </c>
      <c r="HP43" s="39">
        <f t="shared" si="135"/>
        <v>1513105000.0000002</v>
      </c>
      <c r="HR43" s="106"/>
      <c r="HS43" s="106"/>
      <c r="HT43" s="40">
        <v>190</v>
      </c>
      <c r="HU43" s="39">
        <f t="shared" si="136"/>
        <v>341929999.99999994</v>
      </c>
      <c r="HV43" s="40">
        <v>340</v>
      </c>
      <c r="HW43" s="39">
        <f t="shared" si="137"/>
        <v>841625000</v>
      </c>
      <c r="HY43" s="106"/>
      <c r="HZ43" s="106"/>
      <c r="IA43" s="16" t="s">
        <v>37</v>
      </c>
      <c r="IB43" s="16">
        <v>45015</v>
      </c>
      <c r="IC43" s="103">
        <v>25590152.994831257</v>
      </c>
      <c r="ID43" s="104">
        <v>8000000</v>
      </c>
      <c r="II43" s="40">
        <v>190</v>
      </c>
      <c r="IJ43" s="39">
        <f t="shared" si="138"/>
        <v>361893999.99999994</v>
      </c>
      <c r="IK43" s="40">
        <v>340</v>
      </c>
      <c r="IL43" s="39">
        <f t="shared" si="139"/>
        <v>863194000</v>
      </c>
      <c r="IN43" s="106"/>
      <c r="IO43" s="106"/>
      <c r="IP43" s="40">
        <v>190</v>
      </c>
      <c r="IQ43" s="39">
        <f t="shared" si="140"/>
        <v>192774000</v>
      </c>
      <c r="IR43" s="40">
        <v>340</v>
      </c>
      <c r="IS43" s="39">
        <f t="shared" si="141"/>
        <v>255759000</v>
      </c>
      <c r="IU43" s="106"/>
      <c r="IV43" s="106"/>
      <c r="IW43" s="16" t="s">
        <v>169</v>
      </c>
      <c r="IX43" s="12">
        <v>44280</v>
      </c>
      <c r="IY43" s="103">
        <v>23504738.218303431</v>
      </c>
      <c r="IZ43" s="104">
        <v>8000000</v>
      </c>
      <c r="JE43" s="40">
        <v>190</v>
      </c>
      <c r="JF43" s="39">
        <f t="shared" si="142"/>
        <v>361893999.99999994</v>
      </c>
      <c r="JG43" s="40">
        <v>340</v>
      </c>
      <c r="JH43" s="39">
        <f t="shared" si="143"/>
        <v>863194000</v>
      </c>
      <c r="JI43" s="39"/>
      <c r="JJ43" s="39"/>
      <c r="JL43" s="106"/>
      <c r="JM43" s="106"/>
      <c r="JN43" s="40">
        <v>190</v>
      </c>
      <c r="JO43" s="39">
        <f t="shared" si="144"/>
        <v>192774000</v>
      </c>
      <c r="JP43" s="40">
        <v>340</v>
      </c>
      <c r="JQ43" s="39">
        <f t="shared" si="145"/>
        <v>255759000</v>
      </c>
      <c r="JR43" s="39"/>
      <c r="JS43" s="39"/>
      <c r="JT43" s="39"/>
      <c r="JU43" s="39"/>
      <c r="JW43" s="106"/>
      <c r="JX43" s="106"/>
      <c r="LJ43" s="1">
        <v>10</v>
      </c>
      <c r="LK43" s="1">
        <v>150</v>
      </c>
      <c r="NA43" s="16" t="s">
        <v>34</v>
      </c>
      <c r="NB43" s="16">
        <v>43104</v>
      </c>
      <c r="NC43" s="103">
        <v>46835360</v>
      </c>
      <c r="ND43" s="104">
        <v>35000000</v>
      </c>
      <c r="NI43" s="40">
        <v>190</v>
      </c>
      <c r="NJ43" s="39">
        <f t="shared" si="146"/>
        <v>244402000.00000003</v>
      </c>
      <c r="NK43" s="40">
        <v>340</v>
      </c>
      <c r="NL43" s="39">
        <f t="shared" si="147"/>
        <v>459832000.00000006</v>
      </c>
      <c r="NN43" s="106"/>
      <c r="NP43" s="16" t="s">
        <v>33</v>
      </c>
      <c r="NQ43" s="16">
        <v>43475</v>
      </c>
      <c r="NR43" s="103">
        <v>109782948</v>
      </c>
      <c r="NS43" s="104">
        <v>80000000</v>
      </c>
      <c r="NX43" s="40">
        <v>190</v>
      </c>
      <c r="NY43" s="39">
        <f t="shared" si="148"/>
        <v>482458000</v>
      </c>
      <c r="NZ43" s="40">
        <v>340</v>
      </c>
      <c r="OA43" s="39">
        <f t="shared" si="149"/>
        <v>1447993000</v>
      </c>
      <c r="OC43" s="106"/>
    </row>
    <row r="44" spans="2:393" x14ac:dyDescent="0.25">
      <c r="B44" s="5"/>
      <c r="C44" s="5"/>
      <c r="D44" s="5"/>
      <c r="F44" s="5"/>
      <c r="G44" s="53"/>
      <c r="H44" s="53"/>
      <c r="I44" s="53"/>
      <c r="K44" s="7">
        <v>40</v>
      </c>
      <c r="M44" s="5" t="str" cm="1">
        <f t="array" ref="M44">LOOKUP(2,1/($G$19:$G$35&lt;=$V44)/($H$19:$H$35&gt;=$V44),$F$19:$F$35)</f>
        <v>1H18</v>
      </c>
      <c r="N44" s="5" t="str" cm="1">
        <f t="array" ref="N44">LOOKUP(2,1/($G$8:$G$16&lt;=$V44)/($H$8:$H$16&gt;=$V44),$F$8:$F$16)</f>
        <v>FY18</v>
      </c>
      <c r="O44" s="5" t="str">
        <f>IFERROR(N44&amp;"-"&amp;COUNTIF($N$19:N44,N44),NA())</f>
        <v>FY18-14</v>
      </c>
      <c r="P44" s="5">
        <f>COUNTIF(V$19:V44,"&gt;="&amp;MAX($V:$V)-183)</f>
        <v>0</v>
      </c>
      <c r="Q44" s="5">
        <f>COUNTIF(V$19:V44,"&gt;="&amp;MAX($V:$V)-365)</f>
        <v>0</v>
      </c>
      <c r="R44" s="5" cm="1">
        <f t="array" ref="R44">LOOKUP(2,1/($G$46:$G$50&lt;=$V44)/($H$46:$H$50&gt;=$V44),$F$46:$F$50)</f>
        <v>0</v>
      </c>
      <c r="S44" s="5" cm="1">
        <f t="array" ref="S44">LOOKUP(2,1/($G$53:$G$56&lt;=$V44)/($H$53:$H$56&gt;=$V44),$F$53:$F$56)</f>
        <v>0</v>
      </c>
      <c r="T44" s="5" t="e">
        <f>IFERROR(IF($R44&gt;0,$R44&amp;"-"&amp;COUNTIF($R$19:$R44,$R44),NA()),NA())</f>
        <v>#N/A</v>
      </c>
      <c r="U44" s="5" t="e">
        <f>IFERROR(IF($S44&gt;0,$S44&amp;"-"&amp;COUNTIF($S$19:$S44,$S44),NA()),NA())</f>
        <v>#N/A</v>
      </c>
      <c r="V44" s="10">
        <v>43013</v>
      </c>
      <c r="W44" s="101">
        <v>17552791.894083146</v>
      </c>
      <c r="X44" s="101">
        <v>16307421.309197946</v>
      </c>
      <c r="Y44" s="102">
        <v>6000000</v>
      </c>
      <c r="AA44" s="48" t="e">
        <f t="shared" si="170"/>
        <v>#N/A</v>
      </c>
      <c r="AB44" s="12" t="e">
        <f t="shared" si="151"/>
        <v>#N/A</v>
      </c>
      <c r="AC44" s="103" t="e">
        <f t="shared" si="152"/>
        <v>#N/A</v>
      </c>
      <c r="AD44" s="104" t="e">
        <f t="shared" si="153"/>
        <v>#N/A</v>
      </c>
      <c r="AI44" s="40">
        <v>200</v>
      </c>
      <c r="AJ44" s="39">
        <f t="shared" si="104"/>
        <v>412496999.99999994</v>
      </c>
      <c r="AK44" s="40">
        <v>350</v>
      </c>
      <c r="AL44" s="39">
        <f t="shared" si="105"/>
        <v>981672000</v>
      </c>
      <c r="AN44" s="106"/>
      <c r="AO44" s="106"/>
      <c r="AP44" s="40">
        <v>200</v>
      </c>
      <c r="AQ44" s="39">
        <f t="shared" si="106"/>
        <v>116914000.00000001</v>
      </c>
      <c r="AR44" s="40">
        <v>350</v>
      </c>
      <c r="AS44" s="39">
        <f t="shared" si="107"/>
        <v>-17260999.999999989</v>
      </c>
      <c r="AU44" s="106"/>
      <c r="AW44" s="48">
        <f t="shared" si="171"/>
        <v>40</v>
      </c>
      <c r="AX44" s="12">
        <f t="shared" si="154"/>
        <v>45113</v>
      </c>
      <c r="AY44" s="103">
        <f t="shared" si="155"/>
        <v>31154789.255748071</v>
      </c>
      <c r="AZ44" s="104">
        <f t="shared" si="156"/>
        <v>12000000</v>
      </c>
      <c r="BF44" s="40">
        <v>200</v>
      </c>
      <c r="BG44" s="39">
        <f t="shared" si="108"/>
        <v>441326000</v>
      </c>
      <c r="BH44" s="40">
        <v>350</v>
      </c>
      <c r="BI44" s="39">
        <f t="shared" si="109"/>
        <v>1109921000</v>
      </c>
      <c r="BK44" s="106"/>
      <c r="BL44" s="106"/>
      <c r="BM44" s="40">
        <v>200</v>
      </c>
      <c r="BN44" s="39">
        <f t="shared" si="110"/>
        <v>324431999.99999994</v>
      </c>
      <c r="BO44" s="40">
        <v>350</v>
      </c>
      <c r="BP44" s="39">
        <f t="shared" si="111"/>
        <v>706452000</v>
      </c>
      <c r="BR44" s="106"/>
      <c r="BT44" s="48" t="e">
        <f t="shared" si="8"/>
        <v>#N/A</v>
      </c>
      <c r="BU44" s="12" t="e">
        <f t="shared" si="157"/>
        <v>#N/A</v>
      </c>
      <c r="BV44" s="103" t="e">
        <f t="shared" si="158"/>
        <v>#N/A</v>
      </c>
      <c r="BW44" s="104" t="e">
        <f t="shared" si="159"/>
        <v>#N/A</v>
      </c>
      <c r="CB44" s="40">
        <v>200</v>
      </c>
      <c r="CC44" s="39">
        <f t="shared" si="112"/>
        <v>141983999.99999997</v>
      </c>
      <c r="CD44" s="40">
        <v>350</v>
      </c>
      <c r="CE44" s="39">
        <f t="shared" si="113"/>
        <v>32978999.99999997</v>
      </c>
      <c r="CG44" s="106"/>
      <c r="CH44" s="106"/>
      <c r="CI44" s="48" t="e">
        <f t="shared" si="12"/>
        <v>#N/A</v>
      </c>
      <c r="CJ44" s="12" t="e">
        <f t="shared" si="160"/>
        <v>#N/A</v>
      </c>
      <c r="CK44" s="105" t="e">
        <f t="shared" si="161"/>
        <v>#N/A</v>
      </c>
      <c r="CL44" s="105" t="e">
        <f t="shared" si="162"/>
        <v>#N/A</v>
      </c>
      <c r="CQ44" s="40">
        <v>200</v>
      </c>
      <c r="CR44" s="39">
        <f t="shared" si="114"/>
        <v>141983999.99999997</v>
      </c>
      <c r="CS44" s="40">
        <v>350</v>
      </c>
      <c r="CT44" s="39">
        <f t="shared" si="115"/>
        <v>32978999.99999997</v>
      </c>
      <c r="CV44" s="106"/>
      <c r="CX44" s="48" t="e">
        <f t="shared" si="16"/>
        <v>#N/A</v>
      </c>
      <c r="CY44" s="12" t="e">
        <f t="shared" si="163"/>
        <v>#N/A</v>
      </c>
      <c r="CZ44" s="103" t="e">
        <f t="shared" si="164"/>
        <v>#N/A</v>
      </c>
      <c r="DA44" s="104" t="e">
        <f t="shared" si="165"/>
        <v>#N/A</v>
      </c>
      <c r="DF44" s="40">
        <v>200</v>
      </c>
      <c r="DG44" s="39">
        <f t="shared" si="116"/>
        <v>141983999.99999997</v>
      </c>
      <c r="DH44" s="40">
        <v>350</v>
      </c>
      <c r="DI44" s="39">
        <f t="shared" si="117"/>
        <v>32978999.99999997</v>
      </c>
      <c r="DK44" s="106"/>
      <c r="DL44" s="106"/>
      <c r="DM44" s="48" t="e">
        <f t="shared" si="20"/>
        <v>#N/A</v>
      </c>
      <c r="DN44" s="12" t="e">
        <f t="shared" si="166"/>
        <v>#N/A</v>
      </c>
      <c r="DO44" s="103" t="e">
        <f t="shared" si="167"/>
        <v>#N/A</v>
      </c>
      <c r="DP44" s="104" t="e">
        <f t="shared" si="168"/>
        <v>#N/A</v>
      </c>
      <c r="DU44" s="40">
        <v>200</v>
      </c>
      <c r="DV44" s="39">
        <f t="shared" si="118"/>
        <v>141983999.99999997</v>
      </c>
      <c r="DW44" s="40">
        <v>350</v>
      </c>
      <c r="DX44" s="39">
        <f t="shared" si="119"/>
        <v>32978999.99999997</v>
      </c>
      <c r="DZ44" s="106"/>
      <c r="EA44" s="106"/>
      <c r="EB44" s="40">
        <v>200</v>
      </c>
      <c r="EC44" s="39">
        <f t="shared" si="120"/>
        <v>136887000</v>
      </c>
      <c r="ED44" s="40">
        <v>350</v>
      </c>
      <c r="EE44" s="39">
        <f t="shared" si="121"/>
        <v>155321999.99999997</v>
      </c>
      <c r="EG44" s="106"/>
      <c r="EH44" s="106"/>
      <c r="EI44" s="47" t="str">
        <f t="shared" si="25"/>
        <v>FY18-40</v>
      </c>
      <c r="EJ44" s="16">
        <v>43195</v>
      </c>
      <c r="EK44" s="103">
        <v>18375711.785406243</v>
      </c>
      <c r="EL44" s="104">
        <f t="shared" si="169"/>
        <v>6000000</v>
      </c>
      <c r="EN44" s="1">
        <v>2</v>
      </c>
      <c r="EO44" s="1">
        <v>6</v>
      </c>
      <c r="EQ44" s="40">
        <v>200</v>
      </c>
      <c r="ER44" s="39">
        <f t="shared" si="122"/>
        <v>471139999.99999994</v>
      </c>
      <c r="ES44" s="40">
        <v>350</v>
      </c>
      <c r="ET44" s="39">
        <f t="shared" si="123"/>
        <v>1240775000</v>
      </c>
      <c r="EU44" s="106"/>
      <c r="EV44" s="106"/>
      <c r="EW44" s="106"/>
      <c r="EX44" s="16" t="s">
        <v>33</v>
      </c>
      <c r="EY44" s="16">
        <v>43559</v>
      </c>
      <c r="EZ44" s="103">
        <v>13585177.795655672</v>
      </c>
      <c r="FA44" s="104">
        <v>3000000</v>
      </c>
      <c r="FF44" s="40">
        <v>200</v>
      </c>
      <c r="FG44" s="39">
        <f t="shared" si="124"/>
        <v>560717000</v>
      </c>
      <c r="FH44" s="40">
        <v>350</v>
      </c>
      <c r="FI44" s="39">
        <f t="shared" si="125"/>
        <v>1630967000</v>
      </c>
      <c r="FK44" s="106"/>
      <c r="FL44" s="106"/>
      <c r="FM44" s="40">
        <v>200</v>
      </c>
      <c r="FN44" s="39">
        <f t="shared" si="126"/>
        <v>394055000</v>
      </c>
      <c r="FO44" s="40">
        <v>350</v>
      </c>
      <c r="FP44" s="39">
        <f t="shared" si="127"/>
        <v>1042010000</v>
      </c>
      <c r="FR44" s="106"/>
      <c r="FS44" s="106"/>
      <c r="FT44" s="16" t="s">
        <v>39</v>
      </c>
      <c r="FU44" s="16">
        <v>43923</v>
      </c>
      <c r="FV44" s="103">
        <v>15454267.436910914</v>
      </c>
      <c r="FW44" s="104">
        <v>3000000</v>
      </c>
      <c r="GB44" s="40">
        <v>200</v>
      </c>
      <c r="GC44" s="39">
        <f t="shared" si="128"/>
        <v>320762000.00000006</v>
      </c>
      <c r="GD44" s="40">
        <v>350</v>
      </c>
      <c r="GE44" s="39">
        <f t="shared" si="129"/>
        <v>821177000</v>
      </c>
      <c r="GG44" s="106"/>
      <c r="GH44" s="106"/>
      <c r="GI44" s="40">
        <v>200</v>
      </c>
      <c r="GJ44" s="39">
        <f t="shared" si="130"/>
        <v>136887000</v>
      </c>
      <c r="GK44" s="40">
        <v>350</v>
      </c>
      <c r="GL44" s="39">
        <f t="shared" si="131"/>
        <v>155321999.99999997</v>
      </c>
      <c r="GN44" s="106"/>
      <c r="GO44" s="106"/>
      <c r="GP44" s="16" t="s">
        <v>38</v>
      </c>
      <c r="GQ44" s="16">
        <v>44287</v>
      </c>
      <c r="GR44" s="103">
        <v>37212500.334448159</v>
      </c>
      <c r="GS44" s="104">
        <v>20000000</v>
      </c>
      <c r="GX44" s="40">
        <v>200</v>
      </c>
      <c r="GY44" s="39">
        <f t="shared" si="132"/>
        <v>309002999.99999994</v>
      </c>
      <c r="GZ44" s="40">
        <v>350</v>
      </c>
      <c r="HA44" s="39">
        <f t="shared" si="133"/>
        <v>653853000</v>
      </c>
      <c r="HC44" s="106"/>
      <c r="HD44" s="106"/>
      <c r="HE44" s="16" t="s">
        <v>35</v>
      </c>
      <c r="HF44" s="16">
        <v>44651</v>
      </c>
      <c r="HG44" s="103">
        <v>27161959.98783825</v>
      </c>
      <c r="HH44" s="104">
        <v>8000000</v>
      </c>
      <c r="HM44" s="40">
        <v>200</v>
      </c>
      <c r="HN44" s="39">
        <f t="shared" si="134"/>
        <v>566327000</v>
      </c>
      <c r="HO44" s="40">
        <v>350</v>
      </c>
      <c r="HP44" s="39">
        <f t="shared" si="135"/>
        <v>1598582000</v>
      </c>
      <c r="HR44" s="106"/>
      <c r="HS44" s="106"/>
      <c r="HT44" s="40">
        <v>200</v>
      </c>
      <c r="HU44" s="39">
        <f t="shared" si="136"/>
        <v>368522999.99999994</v>
      </c>
      <c r="HV44" s="40">
        <v>350</v>
      </c>
      <c r="HW44" s="39">
        <f t="shared" si="137"/>
        <v>882618000</v>
      </c>
      <c r="HY44" s="106"/>
      <c r="HZ44" s="106"/>
      <c r="IA44" s="16" t="s">
        <v>37</v>
      </c>
      <c r="IB44" s="16">
        <v>45022</v>
      </c>
      <c r="IC44" s="103">
        <v>41047026.208574027</v>
      </c>
      <c r="ID44" s="104">
        <v>20000000</v>
      </c>
      <c r="II44" s="40">
        <v>200</v>
      </c>
      <c r="IJ44" s="39">
        <f t="shared" si="138"/>
        <v>389013999.99999994</v>
      </c>
      <c r="IK44" s="40">
        <v>350</v>
      </c>
      <c r="IL44" s="39">
        <f t="shared" si="139"/>
        <v>903814000.00000012</v>
      </c>
      <c r="IN44" s="106"/>
      <c r="IO44" s="106"/>
      <c r="IP44" s="40">
        <v>200</v>
      </c>
      <c r="IQ44" s="39">
        <f t="shared" si="140"/>
        <v>199073000</v>
      </c>
      <c r="IR44" s="40">
        <v>350</v>
      </c>
      <c r="IS44" s="39">
        <f t="shared" si="141"/>
        <v>257558000.00000006</v>
      </c>
      <c r="IU44" s="106"/>
      <c r="IV44" s="106"/>
      <c r="IW44" s="16" t="s">
        <v>169</v>
      </c>
      <c r="IX44" s="12">
        <v>44287</v>
      </c>
      <c r="IY44" s="103">
        <v>37212500.334448159</v>
      </c>
      <c r="IZ44" s="104">
        <v>20000000</v>
      </c>
      <c r="JE44" s="40">
        <v>200</v>
      </c>
      <c r="JF44" s="39">
        <f t="shared" si="142"/>
        <v>389013999.99999994</v>
      </c>
      <c r="JG44" s="40">
        <v>350</v>
      </c>
      <c r="JH44" s="39">
        <f t="shared" si="143"/>
        <v>903814000.00000012</v>
      </c>
      <c r="JI44" s="39"/>
      <c r="JJ44" s="39"/>
      <c r="JL44" s="106"/>
      <c r="JM44" s="106"/>
      <c r="JN44" s="40">
        <v>200</v>
      </c>
      <c r="JO44" s="39">
        <f t="shared" si="144"/>
        <v>199073000</v>
      </c>
      <c r="JP44" s="40">
        <v>350</v>
      </c>
      <c r="JQ44" s="39">
        <f t="shared" si="145"/>
        <v>257558000.00000006</v>
      </c>
      <c r="JR44" s="39"/>
      <c r="JS44" s="39"/>
      <c r="JT44" s="39"/>
      <c r="JU44" s="39"/>
      <c r="JW44" s="106"/>
      <c r="JX44" s="106"/>
      <c r="NA44" s="16" t="s">
        <v>34</v>
      </c>
      <c r="NB44" s="16">
        <v>43111</v>
      </c>
      <c r="NC44" s="103">
        <v>80262600</v>
      </c>
      <c r="ND44" s="104">
        <v>55000000</v>
      </c>
      <c r="NI44" s="40">
        <v>200</v>
      </c>
      <c r="NJ44" s="39">
        <f t="shared" si="146"/>
        <v>257924000.00000003</v>
      </c>
      <c r="NK44" s="40">
        <v>350</v>
      </c>
      <c r="NL44" s="39">
        <f t="shared" si="147"/>
        <v>475154000</v>
      </c>
      <c r="NN44" s="106"/>
      <c r="NP44" s="16" t="s">
        <v>33</v>
      </c>
      <c r="NQ44" s="16">
        <v>43482</v>
      </c>
      <c r="NR44" s="103">
        <v>171745068</v>
      </c>
      <c r="NS44" s="104">
        <v>100000000</v>
      </c>
      <c r="NX44" s="40">
        <v>200</v>
      </c>
      <c r="NY44" s="39">
        <f t="shared" si="148"/>
        <v>530447000</v>
      </c>
      <c r="NZ44" s="40">
        <v>350</v>
      </c>
      <c r="OA44" s="39">
        <f t="shared" si="149"/>
        <v>1531082000</v>
      </c>
      <c r="OC44" s="106"/>
    </row>
    <row r="45" spans="2:393" x14ac:dyDescent="0.25">
      <c r="B45" s="5"/>
      <c r="C45" s="5"/>
      <c r="D45" s="5"/>
      <c r="F45" s="58" t="s">
        <v>54</v>
      </c>
      <c r="G45" s="57"/>
      <c r="H45" s="57"/>
      <c r="I45" s="57"/>
      <c r="K45" s="7">
        <v>41</v>
      </c>
      <c r="M45" s="5" t="str" cm="1">
        <f t="array" ref="M45">LOOKUP(2,1/($G$19:$G$35&lt;=$V45)/($H$19:$H$35&gt;=$V45),$F$19:$F$35)</f>
        <v>1H18</v>
      </c>
      <c r="N45" s="5" t="str" cm="1">
        <f t="array" ref="N45">LOOKUP(2,1/($G$8:$G$16&lt;=$V45)/($H$8:$H$16&gt;=$V45),$F$8:$F$16)</f>
        <v>FY18</v>
      </c>
      <c r="O45" s="5" t="str">
        <f>IFERROR(N45&amp;"-"&amp;COUNTIF($N$19:N45,N45),NA())</f>
        <v>FY18-15</v>
      </c>
      <c r="P45" s="5">
        <f>COUNTIF(V$19:V45,"&gt;="&amp;MAX($V:$V)-183)</f>
        <v>0</v>
      </c>
      <c r="Q45" s="5">
        <f>COUNTIF(V$19:V45,"&gt;="&amp;MAX($V:$V)-365)</f>
        <v>0</v>
      </c>
      <c r="R45" s="5" cm="1">
        <f t="array" ref="R45">LOOKUP(2,1/($G$46:$G$50&lt;=$V45)/($H$46:$H$50&gt;=$V45),$F$46:$F$50)</f>
        <v>0</v>
      </c>
      <c r="S45" s="5" cm="1">
        <f t="array" ref="S45">LOOKUP(2,1/($G$53:$G$56&lt;=$V45)/($H$53:$H$56&gt;=$V45),$F$53:$F$56)</f>
        <v>0</v>
      </c>
      <c r="T45" s="5" t="e">
        <f>IFERROR(IF($R45&gt;0,$R45&amp;"-"&amp;COUNTIF($R$19:$R45,$R45),NA()),NA())</f>
        <v>#N/A</v>
      </c>
      <c r="U45" s="5" t="e">
        <f>IFERROR(IF($S45&gt;0,$S45&amp;"-"&amp;COUNTIF($S$19:$S45,$S45),NA()),NA())</f>
        <v>#N/A</v>
      </c>
      <c r="V45" s="10">
        <v>43020</v>
      </c>
      <c r="W45" s="101">
        <v>25339796.894945659</v>
      </c>
      <c r="X45" s="101">
        <v>23541938.305249263</v>
      </c>
      <c r="Y45" s="102">
        <v>10000000</v>
      </c>
      <c r="AA45" s="48" t="e">
        <f t="shared" si="170"/>
        <v>#N/A</v>
      </c>
      <c r="AB45" s="12" t="e">
        <f t="shared" si="151"/>
        <v>#N/A</v>
      </c>
      <c r="AC45" s="103" t="e">
        <f t="shared" si="152"/>
        <v>#N/A</v>
      </c>
      <c r="AD45" s="104" t="e">
        <f t="shared" si="153"/>
        <v>#N/A</v>
      </c>
      <c r="AN45" s="106"/>
      <c r="AO45" s="106"/>
      <c r="AP45" s="40"/>
      <c r="AQ45" s="39"/>
      <c r="AR45" s="40"/>
      <c r="AS45" s="39"/>
      <c r="AU45" s="106"/>
      <c r="AW45" s="48">
        <f t="shared" si="171"/>
        <v>41</v>
      </c>
      <c r="AX45" s="12">
        <f t="shared" si="154"/>
        <v>45120</v>
      </c>
      <c r="AY45" s="103">
        <f t="shared" si="155"/>
        <v>40570238.531110391</v>
      </c>
      <c r="AZ45" s="104">
        <f t="shared" si="156"/>
        <v>20000000</v>
      </c>
      <c r="BK45" s="106"/>
      <c r="BL45" s="106"/>
      <c r="BM45" s="40"/>
      <c r="BN45" s="39"/>
      <c r="BO45" s="40"/>
      <c r="BP45" s="39"/>
      <c r="BR45" s="106"/>
      <c r="BT45" s="48" t="e">
        <f t="shared" si="8"/>
        <v>#N/A</v>
      </c>
      <c r="BU45" s="12" t="e">
        <f t="shared" si="157"/>
        <v>#N/A</v>
      </c>
      <c r="BV45" s="103" t="e">
        <f t="shared" si="158"/>
        <v>#N/A</v>
      </c>
      <c r="BW45" s="104" t="e">
        <f t="shared" si="159"/>
        <v>#N/A</v>
      </c>
      <c r="CG45" s="106"/>
      <c r="CH45" s="106"/>
      <c r="CI45" s="48" t="e">
        <f t="shared" si="12"/>
        <v>#N/A</v>
      </c>
      <c r="CJ45" s="12" t="e">
        <f t="shared" si="160"/>
        <v>#N/A</v>
      </c>
      <c r="CK45" s="105" t="e">
        <f t="shared" si="161"/>
        <v>#N/A</v>
      </c>
      <c r="CL45" s="105" t="e">
        <f t="shared" si="162"/>
        <v>#N/A</v>
      </c>
      <c r="CV45" s="106"/>
      <c r="CX45" s="48" t="e">
        <f t="shared" si="16"/>
        <v>#N/A</v>
      </c>
      <c r="CY45" s="12" t="e">
        <f t="shared" si="163"/>
        <v>#N/A</v>
      </c>
      <c r="CZ45" s="103" t="e">
        <f t="shared" si="164"/>
        <v>#N/A</v>
      </c>
      <c r="DA45" s="104" t="e">
        <f t="shared" si="165"/>
        <v>#N/A</v>
      </c>
      <c r="DK45" s="106"/>
      <c r="DL45" s="106"/>
      <c r="DM45" s="48" t="e">
        <f t="shared" si="20"/>
        <v>#N/A</v>
      </c>
      <c r="DN45" s="12" t="e">
        <f t="shared" si="166"/>
        <v>#N/A</v>
      </c>
      <c r="DO45" s="103" t="e">
        <f t="shared" si="167"/>
        <v>#N/A</v>
      </c>
      <c r="DP45" s="104" t="e">
        <f t="shared" si="168"/>
        <v>#N/A</v>
      </c>
      <c r="DZ45" s="106"/>
      <c r="EA45" s="106"/>
      <c r="EB45" s="40"/>
      <c r="EC45" s="39"/>
      <c r="ED45" s="40"/>
      <c r="EE45" s="39"/>
      <c r="EG45" s="106"/>
      <c r="EH45" s="106"/>
      <c r="EI45" s="47" t="str">
        <f t="shared" si="25"/>
        <v>FY18-41</v>
      </c>
      <c r="EJ45" s="46">
        <v>43202</v>
      </c>
      <c r="EK45" s="107">
        <v>12839845.696049679</v>
      </c>
      <c r="EL45" s="108">
        <f t="shared" si="169"/>
        <v>3000000</v>
      </c>
      <c r="EN45" s="1">
        <v>3</v>
      </c>
      <c r="EO45" s="1">
        <v>10</v>
      </c>
      <c r="EU45" s="106"/>
      <c r="EV45" s="106"/>
      <c r="EW45" s="106"/>
      <c r="EX45" s="16" t="s">
        <v>33</v>
      </c>
      <c r="EY45" s="16">
        <v>43566</v>
      </c>
      <c r="EZ45" s="103">
        <v>17744063.617798131</v>
      </c>
      <c r="FA45" s="104">
        <v>8000000</v>
      </c>
      <c r="FK45" s="106"/>
      <c r="FL45" s="106"/>
      <c r="FM45" s="40"/>
      <c r="FN45" s="39"/>
      <c r="FO45" s="40"/>
      <c r="FP45" s="39"/>
      <c r="FR45" s="106"/>
      <c r="FS45" s="106"/>
      <c r="FT45" s="16" t="s">
        <v>39</v>
      </c>
      <c r="FU45" s="16">
        <v>43930</v>
      </c>
      <c r="FV45" s="103">
        <v>21964242.505320761</v>
      </c>
      <c r="FW45" s="104">
        <v>8000000</v>
      </c>
      <c r="GG45" s="106"/>
      <c r="GH45" s="106"/>
      <c r="GI45" s="40"/>
      <c r="GJ45" s="39"/>
      <c r="GK45" s="40"/>
      <c r="GL45" s="39"/>
      <c r="GN45" s="106"/>
      <c r="GO45" s="106"/>
      <c r="GP45" s="16" t="s">
        <v>38</v>
      </c>
      <c r="GQ45" s="16">
        <v>44294</v>
      </c>
      <c r="GR45" s="103">
        <v>41866552.508361198</v>
      </c>
      <c r="GS45" s="104">
        <v>30000000</v>
      </c>
      <c r="HC45" s="106"/>
      <c r="HD45" s="106"/>
      <c r="HE45" s="16" t="s">
        <v>35</v>
      </c>
      <c r="HF45" s="16">
        <v>44658</v>
      </c>
      <c r="HG45" s="103">
        <v>42925571.784736998</v>
      </c>
      <c r="HH45" s="104">
        <v>20000000</v>
      </c>
      <c r="HR45" s="106"/>
      <c r="HS45" s="106"/>
      <c r="HT45" s="40"/>
      <c r="HU45" s="39"/>
      <c r="HV45" s="40"/>
      <c r="HW45" s="39"/>
      <c r="HY45" s="106"/>
      <c r="HZ45" s="106"/>
      <c r="IA45" s="16" t="s">
        <v>37</v>
      </c>
      <c r="IB45" s="16">
        <v>45029</v>
      </c>
      <c r="IC45" s="103">
        <v>49471698.145332925</v>
      </c>
      <c r="ID45" s="104">
        <v>30000000</v>
      </c>
      <c r="II45" s="40"/>
      <c r="IJ45" s="39"/>
      <c r="IK45" s="40"/>
      <c r="IL45" s="39"/>
      <c r="IN45" s="106"/>
      <c r="IO45" s="106"/>
      <c r="IP45" s="40"/>
      <c r="IQ45" s="39"/>
      <c r="IR45" s="40"/>
      <c r="IS45" s="39"/>
      <c r="IU45" s="106"/>
      <c r="IV45" s="106"/>
      <c r="IW45" s="16" t="s">
        <v>169</v>
      </c>
      <c r="IX45" s="12">
        <v>44294</v>
      </c>
      <c r="IY45" s="103">
        <v>41866552.508361198</v>
      </c>
      <c r="IZ45" s="104">
        <v>30000000</v>
      </c>
      <c r="JE45" s="40"/>
      <c r="JF45" s="39"/>
      <c r="JG45" s="40"/>
      <c r="JH45" s="39"/>
      <c r="JI45" s="39"/>
      <c r="JJ45" s="39"/>
      <c r="JL45" s="106"/>
      <c r="JM45" s="106"/>
      <c r="JN45" s="40"/>
      <c r="JO45" s="39"/>
      <c r="JP45" s="40"/>
      <c r="JQ45" s="39"/>
      <c r="JR45" s="39"/>
      <c r="JS45" s="39"/>
      <c r="JT45" s="39"/>
      <c r="JU45" s="39"/>
      <c r="JW45" s="106"/>
      <c r="JX45" s="106"/>
      <c r="LJ45" s="1" t="s">
        <v>53</v>
      </c>
      <c r="NA45" s="16" t="s">
        <v>34</v>
      </c>
      <c r="NB45" s="16">
        <v>43118</v>
      </c>
      <c r="NC45" s="103">
        <v>14454220</v>
      </c>
      <c r="ND45" s="104">
        <v>3000000</v>
      </c>
      <c r="NI45" s="40"/>
      <c r="NJ45" s="39"/>
      <c r="NK45" s="40"/>
      <c r="NL45" s="39"/>
      <c r="NN45" s="106"/>
      <c r="NP45" s="16" t="s">
        <v>33</v>
      </c>
      <c r="NQ45" s="16">
        <v>43489</v>
      </c>
      <c r="NR45" s="103">
        <v>14073378</v>
      </c>
      <c r="NS45" s="104">
        <v>3000000</v>
      </c>
      <c r="NX45" s="40"/>
      <c r="NY45" s="39"/>
      <c r="NZ45" s="40"/>
      <c r="OA45" s="39"/>
      <c r="OC45" s="106"/>
    </row>
    <row r="46" spans="2:393" x14ac:dyDescent="0.25">
      <c r="B46" s="5"/>
      <c r="C46" s="5"/>
      <c r="D46" s="5"/>
      <c r="F46" s="5">
        <v>0</v>
      </c>
      <c r="G46" s="53">
        <v>42736</v>
      </c>
      <c r="H46" s="51">
        <f>G47-7</f>
        <v>44105</v>
      </c>
      <c r="I46" s="50"/>
      <c r="K46" s="7">
        <v>42</v>
      </c>
      <c r="M46" s="5" t="str" cm="1">
        <f t="array" ref="M46">LOOKUP(2,1/($G$19:$G$35&lt;=$V46)/($H$19:$H$35&gt;=$V46),$F$19:$F$35)</f>
        <v>1H18</v>
      </c>
      <c r="N46" s="5" t="str" cm="1">
        <f t="array" ref="N46">LOOKUP(2,1/($G$8:$G$16&lt;=$V46)/($H$8:$H$16&gt;=$V46),$F$8:$F$16)</f>
        <v>FY18</v>
      </c>
      <c r="O46" s="5" t="str">
        <f>IFERROR(N46&amp;"-"&amp;COUNTIF($N$19:N46,N46),NA())</f>
        <v>FY18-16</v>
      </c>
      <c r="P46" s="5">
        <f>COUNTIF(V$19:V46,"&gt;="&amp;MAX($V:$V)-183)</f>
        <v>0</v>
      </c>
      <c r="Q46" s="5">
        <f>COUNTIF(V$19:V46,"&gt;="&amp;MAX($V:$V)-365)</f>
        <v>0</v>
      </c>
      <c r="R46" s="5" cm="1">
        <f t="array" ref="R46">LOOKUP(2,1/($G$46:$G$50&lt;=$V46)/($H$46:$H$50&gt;=$V46),$F$46:$F$50)</f>
        <v>0</v>
      </c>
      <c r="S46" s="5" cm="1">
        <f t="array" ref="S46">LOOKUP(2,1/($G$53:$G$56&lt;=$V46)/($H$53:$H$56&gt;=$V46),$F$53:$F$56)</f>
        <v>0</v>
      </c>
      <c r="T46" s="5" t="e">
        <f>IFERROR(IF($R46&gt;0,$R46&amp;"-"&amp;COUNTIF($R$19:$R46,$R46),NA()),NA())</f>
        <v>#N/A</v>
      </c>
      <c r="U46" s="5" t="e">
        <f>IFERROR(IF($S46&gt;0,$S46&amp;"-"&amp;COUNTIF($S$19:$S46,$S46),NA()),NA())</f>
        <v>#N/A</v>
      </c>
      <c r="V46" s="10">
        <v>43027</v>
      </c>
      <c r="W46" s="101">
        <v>28458439.261687078</v>
      </c>
      <c r="X46" s="101">
        <v>26439312.996070378</v>
      </c>
      <c r="Y46" s="102">
        <v>15000000</v>
      </c>
      <c r="AA46" s="48" t="e">
        <f t="shared" si="170"/>
        <v>#N/A</v>
      </c>
      <c r="AB46" s="12" t="e">
        <f t="shared" si="151"/>
        <v>#N/A</v>
      </c>
      <c r="AC46" s="103" t="e">
        <f t="shared" si="152"/>
        <v>#N/A</v>
      </c>
      <c r="AD46" s="104" t="e">
        <f t="shared" si="153"/>
        <v>#N/A</v>
      </c>
      <c r="AI46" s="38" t="s">
        <v>48</v>
      </c>
      <c r="AJ46" s="38" t="s">
        <v>26</v>
      </c>
      <c r="AK46" s="38" t="s">
        <v>25</v>
      </c>
      <c r="AL46" s="38" t="s">
        <v>24</v>
      </c>
      <c r="AN46" s="106"/>
      <c r="AO46" s="106"/>
      <c r="AP46" s="2" t="s">
        <v>28</v>
      </c>
      <c r="AQ46" s="42">
        <v>100000000</v>
      </c>
      <c r="AR46" s="40"/>
      <c r="AS46" s="39"/>
      <c r="AU46" s="106"/>
      <c r="AW46" s="48">
        <f t="shared" si="171"/>
        <v>42</v>
      </c>
      <c r="AX46" s="12">
        <f t="shared" si="154"/>
        <v>45127</v>
      </c>
      <c r="AY46" s="103">
        <f t="shared" si="155"/>
        <v>60836962.188078903</v>
      </c>
      <c r="AZ46" s="104">
        <f t="shared" si="156"/>
        <v>40000000</v>
      </c>
      <c r="BF46" s="38" t="s">
        <v>48</v>
      </c>
      <c r="BG46" s="38" t="s">
        <v>26</v>
      </c>
      <c r="BH46" s="38" t="s">
        <v>25</v>
      </c>
      <c r="BI46" s="38" t="s">
        <v>24</v>
      </c>
      <c r="BK46" s="106"/>
      <c r="BL46" s="106"/>
      <c r="BM46" s="2" t="s">
        <v>28</v>
      </c>
      <c r="BN46" s="42">
        <v>100000000</v>
      </c>
      <c r="BO46" s="40"/>
      <c r="BP46" s="39"/>
      <c r="BR46" s="106"/>
      <c r="BT46" s="48" t="e">
        <f t="shared" si="8"/>
        <v>#N/A</v>
      </c>
      <c r="BU46" s="12" t="e">
        <f t="shared" si="157"/>
        <v>#N/A</v>
      </c>
      <c r="BV46" s="103" t="e">
        <f t="shared" si="158"/>
        <v>#N/A</v>
      </c>
      <c r="BW46" s="104" t="e">
        <f t="shared" si="159"/>
        <v>#N/A</v>
      </c>
      <c r="CB46" s="38" t="s">
        <v>48</v>
      </c>
      <c r="CC46" s="38" t="s">
        <v>26</v>
      </c>
      <c r="CD46" s="38" t="s">
        <v>25</v>
      </c>
      <c r="CE46" s="38" t="s">
        <v>24</v>
      </c>
      <c r="CG46" s="106"/>
      <c r="CH46" s="106"/>
      <c r="CI46" s="48" t="e">
        <f t="shared" si="12"/>
        <v>#N/A</v>
      </c>
      <c r="CJ46" s="12" t="e">
        <f t="shared" si="160"/>
        <v>#N/A</v>
      </c>
      <c r="CK46" s="105" t="e">
        <f t="shared" si="161"/>
        <v>#N/A</v>
      </c>
      <c r="CL46" s="105" t="e">
        <f t="shared" si="162"/>
        <v>#N/A</v>
      </c>
      <c r="CQ46" s="38" t="s">
        <v>48</v>
      </c>
      <c r="CR46" s="38" t="s">
        <v>26</v>
      </c>
      <c r="CS46" s="38" t="s">
        <v>25</v>
      </c>
      <c r="CT46" s="38" t="s">
        <v>24</v>
      </c>
      <c r="CV46" s="106"/>
      <c r="CX46" s="48" t="e">
        <f t="shared" si="16"/>
        <v>#N/A</v>
      </c>
      <c r="CY46" s="12" t="e">
        <f t="shared" si="163"/>
        <v>#N/A</v>
      </c>
      <c r="CZ46" s="103" t="e">
        <f t="shared" si="164"/>
        <v>#N/A</v>
      </c>
      <c r="DA46" s="104" t="e">
        <f t="shared" si="165"/>
        <v>#N/A</v>
      </c>
      <c r="DF46" s="38" t="s">
        <v>48</v>
      </c>
      <c r="DG46" s="38" t="s">
        <v>26</v>
      </c>
      <c r="DH46" s="38" t="s">
        <v>25</v>
      </c>
      <c r="DI46" s="38" t="s">
        <v>24</v>
      </c>
      <c r="DK46" s="106"/>
      <c r="DL46" s="106"/>
      <c r="DM46" s="48" t="e">
        <f t="shared" si="20"/>
        <v>#N/A</v>
      </c>
      <c r="DN46" s="12" t="e">
        <f t="shared" si="166"/>
        <v>#N/A</v>
      </c>
      <c r="DO46" s="103" t="e">
        <f t="shared" si="167"/>
        <v>#N/A</v>
      </c>
      <c r="DP46" s="104" t="e">
        <f t="shared" si="168"/>
        <v>#N/A</v>
      </c>
      <c r="DU46" s="38" t="s">
        <v>48</v>
      </c>
      <c r="DV46" s="38" t="s">
        <v>26</v>
      </c>
      <c r="DW46" s="38" t="s">
        <v>25</v>
      </c>
      <c r="DX46" s="38" t="s">
        <v>24</v>
      </c>
      <c r="DZ46" s="106"/>
      <c r="EA46" s="106"/>
      <c r="EB46" s="2" t="s">
        <v>28</v>
      </c>
      <c r="EC46" s="42">
        <v>100000000</v>
      </c>
      <c r="ED46" s="40"/>
      <c r="EE46" s="39"/>
      <c r="EG46" s="106"/>
      <c r="EH46" s="106"/>
      <c r="EI46" s="47" t="str">
        <f t="shared" si="25"/>
        <v>FY18-42</v>
      </c>
      <c r="EJ46" s="46">
        <v>43209</v>
      </c>
      <c r="EK46" s="107">
        <v>17183138.970120784</v>
      </c>
      <c r="EL46" s="108">
        <f t="shared" si="169"/>
        <v>8000000</v>
      </c>
      <c r="EN46" s="1">
        <v>4</v>
      </c>
      <c r="EO46" s="1">
        <v>15</v>
      </c>
      <c r="EQ46" s="38" t="s">
        <v>27</v>
      </c>
      <c r="ER46" s="38" t="s">
        <v>26</v>
      </c>
      <c r="ES46" s="38" t="s">
        <v>25</v>
      </c>
      <c r="ET46" s="38" t="s">
        <v>24</v>
      </c>
      <c r="EU46" s="106"/>
      <c r="EV46" s="106"/>
      <c r="EW46" s="106"/>
      <c r="EX46" s="16" t="s">
        <v>33</v>
      </c>
      <c r="EY46" s="16">
        <v>43573</v>
      </c>
      <c r="EZ46" s="103">
        <v>22274509.066155083</v>
      </c>
      <c r="FA46" s="104">
        <v>12000000</v>
      </c>
      <c r="FF46" s="38" t="s">
        <v>27</v>
      </c>
      <c r="FG46" s="38" t="s">
        <v>26</v>
      </c>
      <c r="FH46" s="38" t="s">
        <v>25</v>
      </c>
      <c r="FI46" s="38" t="s">
        <v>24</v>
      </c>
      <c r="FK46" s="106"/>
      <c r="FL46" s="106"/>
      <c r="FM46" s="2" t="s">
        <v>28</v>
      </c>
      <c r="FN46" s="42">
        <v>100000000</v>
      </c>
      <c r="FO46" s="40"/>
      <c r="FP46" s="39"/>
      <c r="FR46" s="106"/>
      <c r="FS46" s="106"/>
      <c r="FT46" s="16" t="s">
        <v>39</v>
      </c>
      <c r="FU46" s="16">
        <v>43937</v>
      </c>
      <c r="FV46" s="103">
        <v>28686509.212526601</v>
      </c>
      <c r="FW46" s="104">
        <v>12000000</v>
      </c>
      <c r="GB46" s="38" t="s">
        <v>27</v>
      </c>
      <c r="GC46" s="38" t="s">
        <v>26</v>
      </c>
      <c r="GD46" s="38" t="s">
        <v>25</v>
      </c>
      <c r="GE46" s="38" t="s">
        <v>24</v>
      </c>
      <c r="GG46" s="106"/>
      <c r="GH46" s="106"/>
      <c r="GI46" s="2" t="s">
        <v>28</v>
      </c>
      <c r="GJ46" s="42">
        <v>100000000</v>
      </c>
      <c r="GK46" s="40"/>
      <c r="GL46" s="39"/>
      <c r="GN46" s="106"/>
      <c r="GO46" s="106"/>
      <c r="GP46" s="16" t="s">
        <v>38</v>
      </c>
      <c r="GQ46" s="16">
        <v>44301</v>
      </c>
      <c r="GR46" s="103">
        <v>63615309.698996648</v>
      </c>
      <c r="GS46" s="104">
        <v>50000000</v>
      </c>
      <c r="GX46" s="38" t="s">
        <v>27</v>
      </c>
      <c r="GY46" s="38" t="s">
        <v>26</v>
      </c>
      <c r="GZ46" s="38" t="s">
        <v>25</v>
      </c>
      <c r="HA46" s="38" t="s">
        <v>24</v>
      </c>
      <c r="HC46" s="106"/>
      <c r="HD46" s="106"/>
      <c r="HE46" s="16" t="s">
        <v>35</v>
      </c>
      <c r="HF46" s="16">
        <v>44665</v>
      </c>
      <c r="HG46" s="103">
        <v>20606947.765278194</v>
      </c>
      <c r="HH46" s="104">
        <v>4000000</v>
      </c>
      <c r="HM46" s="38" t="s">
        <v>27</v>
      </c>
      <c r="HN46" s="38" t="s">
        <v>26</v>
      </c>
      <c r="HO46" s="38" t="s">
        <v>25</v>
      </c>
      <c r="HP46" s="38" t="s">
        <v>24</v>
      </c>
      <c r="HR46" s="106"/>
      <c r="HS46" s="106"/>
      <c r="HT46" s="2" t="s">
        <v>28</v>
      </c>
      <c r="HU46" s="42">
        <v>100000000</v>
      </c>
      <c r="HV46" s="40"/>
      <c r="HW46" s="39"/>
      <c r="HY46" s="106"/>
      <c r="HZ46" s="106"/>
      <c r="IA46" s="16" t="s">
        <v>37</v>
      </c>
      <c r="IB46" s="16">
        <v>45036</v>
      </c>
      <c r="IC46" s="103">
        <v>21741040.681058068</v>
      </c>
      <c r="ID46" s="104">
        <v>4000000</v>
      </c>
      <c r="II46" s="60" t="s">
        <v>51</v>
      </c>
      <c r="IJ46" s="39"/>
      <c r="IK46" s="40"/>
      <c r="IL46" s="39"/>
      <c r="IN46" s="106"/>
      <c r="IO46" s="106"/>
      <c r="IP46" s="60" t="s">
        <v>51</v>
      </c>
      <c r="IQ46" s="39"/>
      <c r="IR46" s="40"/>
      <c r="IS46" s="39"/>
      <c r="IU46" s="106"/>
      <c r="IV46" s="106"/>
      <c r="IW46" s="16" t="s">
        <v>169</v>
      </c>
      <c r="IX46" s="12">
        <v>44301</v>
      </c>
      <c r="IY46" s="103">
        <v>63615309.698996648</v>
      </c>
      <c r="IZ46" s="104">
        <v>50000000</v>
      </c>
      <c r="JE46" s="60" t="s">
        <v>51</v>
      </c>
      <c r="JF46" s="39"/>
      <c r="JG46" s="40"/>
      <c r="JH46" s="39"/>
      <c r="JI46" s="39"/>
      <c r="JJ46" s="39"/>
      <c r="JL46" s="106"/>
      <c r="JM46" s="106"/>
      <c r="JN46" s="60" t="s">
        <v>51</v>
      </c>
      <c r="JO46" s="39"/>
      <c r="JP46" s="40"/>
      <c r="JQ46" s="39"/>
      <c r="JR46" s="39"/>
      <c r="JS46" s="39"/>
      <c r="JT46" s="39"/>
      <c r="JU46" s="39"/>
      <c r="JW46" s="106"/>
      <c r="JX46" s="106"/>
      <c r="NA46" s="16" t="s">
        <v>34</v>
      </c>
      <c r="NB46" s="16">
        <v>43125</v>
      </c>
      <c r="NC46" s="103">
        <v>15978930</v>
      </c>
      <c r="ND46" s="104">
        <v>3000000</v>
      </c>
      <c r="NI46" s="38" t="s">
        <v>27</v>
      </c>
      <c r="NJ46" s="38" t="s">
        <v>26</v>
      </c>
      <c r="NK46" s="38" t="s">
        <v>25</v>
      </c>
      <c r="NL46" s="38" t="s">
        <v>24</v>
      </c>
      <c r="NN46" s="106"/>
      <c r="NP46" s="16" t="s">
        <v>33</v>
      </c>
      <c r="NQ46" s="16">
        <v>43496</v>
      </c>
      <c r="NR46" s="103">
        <v>18353082</v>
      </c>
      <c r="NS46" s="104">
        <v>8000000</v>
      </c>
      <c r="NX46" s="38" t="s">
        <v>27</v>
      </c>
      <c r="NY46" s="38" t="s">
        <v>26</v>
      </c>
      <c r="NZ46" s="38" t="s">
        <v>25</v>
      </c>
      <c r="OA46" s="38" t="s">
        <v>24</v>
      </c>
      <c r="OC46" s="106"/>
    </row>
    <row r="47" spans="2:393" x14ac:dyDescent="0.25">
      <c r="B47" s="5"/>
      <c r="C47" s="5"/>
      <c r="D47" s="5"/>
      <c r="F47" s="5" t="s">
        <v>50</v>
      </c>
      <c r="G47" s="51">
        <f>H47-(I48-1)*7</f>
        <v>44112</v>
      </c>
      <c r="H47" s="51">
        <f>G48-7</f>
        <v>44217</v>
      </c>
      <c r="I47" s="50">
        <f>I48</f>
        <v>16</v>
      </c>
      <c r="K47" s="7">
        <v>43</v>
      </c>
      <c r="M47" s="5" t="str" cm="1">
        <f t="array" ref="M47">LOOKUP(2,1/($G$19:$G$35&lt;=$V47)/($H$19:$H$35&gt;=$V47),$F$19:$F$35)</f>
        <v>1H18</v>
      </c>
      <c r="N47" s="5" t="str" cm="1">
        <f t="array" ref="N47">LOOKUP(2,1/($G$8:$G$16&lt;=$V47)/($H$8:$H$16&gt;=$V47),$F$8:$F$16)</f>
        <v>FY18</v>
      </c>
      <c r="O47" s="5" t="str">
        <f>IFERROR(N47&amp;"-"&amp;COUNTIF($N$19:N47,N47),NA())</f>
        <v>FY18-17</v>
      </c>
      <c r="P47" s="5">
        <f>COUNTIF(V$19:V47,"&gt;="&amp;MAX($V:$V)-183)</f>
        <v>0</v>
      </c>
      <c r="Q47" s="5">
        <f>COUNTIF(V$19:V47,"&gt;="&amp;MAX($V:$V)-365)</f>
        <v>0</v>
      </c>
      <c r="R47" s="5" cm="1">
        <f t="array" ref="R47">LOOKUP(2,1/($G$46:$G$50&lt;=$V47)/($H$46:$H$50&gt;=$V47),$F$46:$F$50)</f>
        <v>0</v>
      </c>
      <c r="S47" s="5" cm="1">
        <f t="array" ref="S47">LOOKUP(2,1/($G$53:$G$56&lt;=$V47)/($H$53:$H$56&gt;=$V47),$F$53:$F$56)</f>
        <v>0</v>
      </c>
      <c r="T47" s="5" t="e">
        <f>IFERROR(IF($R47&gt;0,$R47&amp;"-"&amp;COUNTIF($R$19:$R47,$R47),NA()),NA())</f>
        <v>#N/A</v>
      </c>
      <c r="U47" s="5" t="e">
        <f>IFERROR(IF($S47&gt;0,$S47&amp;"-"&amp;COUNTIF($S$19:$S47,$S47),NA()),NA())</f>
        <v>#N/A</v>
      </c>
      <c r="V47" s="10">
        <v>43034</v>
      </c>
      <c r="W47" s="101">
        <v>12752664.964636879</v>
      </c>
      <c r="X47" s="101">
        <v>11847863.385395892</v>
      </c>
      <c r="Y47" s="102">
        <v>3000000</v>
      </c>
      <c r="AA47" s="48" t="e">
        <f t="shared" si="170"/>
        <v>#N/A</v>
      </c>
      <c r="AB47" s="12" t="e">
        <f t="shared" si="151"/>
        <v>#N/A</v>
      </c>
      <c r="AC47" s="103" t="e">
        <f t="shared" si="152"/>
        <v>#N/A</v>
      </c>
      <c r="AD47" s="104" t="e">
        <f t="shared" si="153"/>
        <v>#N/A</v>
      </c>
      <c r="AI47" s="18">
        <f t="shared" ref="AI47:AJ73" si="172">AA5</f>
        <v>1</v>
      </c>
      <c r="AJ47" s="12">
        <f t="shared" si="172"/>
        <v>45022</v>
      </c>
      <c r="AK47" s="109">
        <f t="shared" ref="AK47:AL73" si="173">AC5/1000000</f>
        <v>41.047026208574025</v>
      </c>
      <c r="AL47" s="109">
        <f t="shared" si="173"/>
        <v>20</v>
      </c>
      <c r="AN47" s="106"/>
      <c r="AO47" s="106"/>
      <c r="AP47" s="40"/>
      <c r="AQ47" s="39"/>
      <c r="AR47" s="40"/>
      <c r="AS47" s="39"/>
      <c r="AU47" s="106"/>
      <c r="AW47" s="48">
        <f t="shared" si="171"/>
        <v>43</v>
      </c>
      <c r="AX47" s="12">
        <f t="shared" si="154"/>
        <v>45134</v>
      </c>
      <c r="AY47" s="103">
        <f t="shared" si="155"/>
        <v>84639629.07268171</v>
      </c>
      <c r="AZ47" s="104">
        <f t="shared" si="156"/>
        <v>60000000</v>
      </c>
      <c r="BF47" s="18">
        <f t="shared" ref="BF47:BG73" si="174">AW5</f>
        <v>1</v>
      </c>
      <c r="BG47" s="12">
        <f t="shared" si="174"/>
        <v>44840</v>
      </c>
      <c r="BH47" s="109">
        <f t="shared" ref="BH47:BI73" si="175">AY5/1000000</f>
        <v>47.423181270903001</v>
      </c>
      <c r="BI47" s="109">
        <f t="shared" si="175"/>
        <v>30</v>
      </c>
      <c r="BK47" s="106"/>
      <c r="BL47" s="106"/>
      <c r="BM47" s="40"/>
      <c r="BN47" s="39"/>
      <c r="BO47" s="40"/>
      <c r="BP47" s="39"/>
      <c r="BR47" s="106"/>
      <c r="BT47" s="48" t="e">
        <f t="shared" si="8"/>
        <v>#N/A</v>
      </c>
      <c r="BU47" s="12" t="e">
        <f t="shared" si="157"/>
        <v>#N/A</v>
      </c>
      <c r="BV47" s="103" t="e">
        <f t="shared" si="158"/>
        <v>#N/A</v>
      </c>
      <c r="BW47" s="104" t="e">
        <f t="shared" si="159"/>
        <v>#N/A</v>
      </c>
      <c r="CB47" s="18" t="str">
        <f t="shared" ref="CB47:CC99" si="176">BT5</f>
        <v>N1-1</v>
      </c>
      <c r="CC47" s="12">
        <f t="shared" si="176"/>
        <v>44112</v>
      </c>
      <c r="CD47" s="109">
        <f t="shared" ref="CD47:CE99" si="177">BV5/1000000</f>
        <v>42.908867619337187</v>
      </c>
      <c r="CE47" s="109">
        <f t="shared" si="177"/>
        <v>20</v>
      </c>
      <c r="CG47" s="106"/>
      <c r="CH47" s="106"/>
      <c r="CI47" s="48" t="e">
        <f t="shared" si="12"/>
        <v>#N/A</v>
      </c>
      <c r="CJ47" s="12" t="e">
        <f t="shared" si="160"/>
        <v>#N/A</v>
      </c>
      <c r="CK47" s="105" t="e">
        <f t="shared" si="161"/>
        <v>#N/A</v>
      </c>
      <c r="CL47" s="105" t="e">
        <f t="shared" si="162"/>
        <v>#N/A</v>
      </c>
      <c r="CQ47" s="18" t="str">
        <f t="shared" ref="CQ47:CR99" si="178">CI5</f>
        <v>A1-1</v>
      </c>
      <c r="CR47" s="12">
        <f t="shared" si="178"/>
        <v>44224</v>
      </c>
      <c r="CS47" s="109">
        <f t="shared" ref="CS47:CT99" si="179">CK5/1000000</f>
        <v>22.19027935542718</v>
      </c>
      <c r="CT47" s="109">
        <f t="shared" si="179"/>
        <v>8</v>
      </c>
      <c r="CV47" s="106"/>
      <c r="CX47" s="48" t="e">
        <f t="shared" si="16"/>
        <v>#N/A</v>
      </c>
      <c r="CY47" s="12" t="e">
        <f t="shared" si="163"/>
        <v>#N/A</v>
      </c>
      <c r="CZ47" s="103" t="e">
        <f t="shared" si="164"/>
        <v>#N/A</v>
      </c>
      <c r="DA47" s="104" t="e">
        <f t="shared" si="165"/>
        <v>#N/A</v>
      </c>
      <c r="DF47" s="18" t="str">
        <f t="shared" ref="DF47:DG99" si="180">CX5</f>
        <v>N2-1</v>
      </c>
      <c r="DG47" s="12">
        <f t="shared" si="180"/>
        <v>44707</v>
      </c>
      <c r="DH47" s="109">
        <f t="shared" ref="DH47:DI99" si="181">CZ5/1000000</f>
        <v>21.016983155974454</v>
      </c>
      <c r="DI47" s="109">
        <f t="shared" si="181"/>
        <v>4</v>
      </c>
      <c r="DK47" s="106"/>
      <c r="DL47" s="106"/>
      <c r="DM47" s="48" t="e">
        <f t="shared" si="20"/>
        <v>#N/A</v>
      </c>
      <c r="DN47" s="12" t="e">
        <f t="shared" si="166"/>
        <v>#N/A</v>
      </c>
      <c r="DO47" s="103" t="e">
        <f t="shared" si="167"/>
        <v>#N/A</v>
      </c>
      <c r="DP47" s="104" t="e">
        <f t="shared" si="168"/>
        <v>#N/A</v>
      </c>
      <c r="DU47" s="18" t="str">
        <f t="shared" ref="DU47:DV99" si="182">DM5</f>
        <v>A2-1</v>
      </c>
      <c r="DV47" s="12">
        <f t="shared" si="182"/>
        <v>44819</v>
      </c>
      <c r="DW47" s="109">
        <f t="shared" ref="DW47:DX99" si="183">DO5/1000000</f>
        <v>25.008818485861962</v>
      </c>
      <c r="DX47" s="109">
        <f t="shared" si="183"/>
        <v>8</v>
      </c>
      <c r="DZ47" s="106"/>
      <c r="EA47" s="106"/>
      <c r="EB47" s="40"/>
      <c r="EC47" s="39"/>
      <c r="ED47" s="40"/>
      <c r="EE47" s="39"/>
      <c r="EG47" s="106"/>
      <c r="EH47" s="106"/>
      <c r="EI47" s="47" t="str">
        <f t="shared" si="25"/>
        <v>FY18-43</v>
      </c>
      <c r="EJ47" s="46">
        <v>43216</v>
      </c>
      <c r="EK47" s="107">
        <v>11440443.356643355</v>
      </c>
      <c r="EL47" s="108">
        <f t="shared" si="169"/>
        <v>3000000</v>
      </c>
      <c r="EN47" s="1">
        <v>5</v>
      </c>
      <c r="EO47" s="1">
        <v>30</v>
      </c>
      <c r="EQ47" s="12" t="str">
        <f t="shared" ref="EQ47:ER98" si="184">EI5</f>
        <v>FY18-1</v>
      </c>
      <c r="ER47" s="12">
        <f t="shared" si="184"/>
        <v>42922</v>
      </c>
      <c r="ES47" s="109">
        <f t="shared" ref="ES47:ET62" si="185">EK5/1000000</f>
        <v>14.311103305157838</v>
      </c>
      <c r="ET47" s="109">
        <f t="shared" si="185"/>
        <v>3</v>
      </c>
      <c r="EU47" s="106"/>
      <c r="EV47" s="106"/>
      <c r="EW47" s="106"/>
      <c r="EX47" s="16" t="s">
        <v>33</v>
      </c>
      <c r="EY47" s="16">
        <v>43580</v>
      </c>
      <c r="EZ47" s="103">
        <v>22688576.025744166</v>
      </c>
      <c r="FA47" s="104">
        <v>20000000</v>
      </c>
      <c r="FF47" s="12" t="str">
        <f t="shared" ref="FF47:FG98" si="186">EX5</f>
        <v>FY19</v>
      </c>
      <c r="FG47" s="12">
        <f t="shared" si="186"/>
        <v>43286</v>
      </c>
      <c r="FH47" s="109">
        <f t="shared" ref="FH47:FI62" si="187">EZ5/1000000</f>
        <v>20.852316083916079</v>
      </c>
      <c r="FI47" s="109">
        <f t="shared" si="187"/>
        <v>12</v>
      </c>
      <c r="FK47" s="106"/>
      <c r="FL47" s="106"/>
      <c r="FM47" s="40"/>
      <c r="FN47" s="39"/>
      <c r="FO47" s="40"/>
      <c r="FP47" s="39"/>
      <c r="FR47" s="106"/>
      <c r="FS47" s="106"/>
      <c r="FT47" s="16" t="s">
        <v>39</v>
      </c>
      <c r="FU47" s="16">
        <v>43944</v>
      </c>
      <c r="FV47" s="103">
        <v>40886779.446640313</v>
      </c>
      <c r="FW47" s="104">
        <v>20000000</v>
      </c>
      <c r="GB47" s="12" t="str">
        <f t="shared" ref="GB47:GC98" si="188">FT5</f>
        <v>FY20</v>
      </c>
      <c r="GC47" s="12">
        <f t="shared" si="188"/>
        <v>43650</v>
      </c>
      <c r="GD47" s="109">
        <f t="shared" ref="GD47:GE62" si="189">FV5/1000000</f>
        <v>52.868604987932429</v>
      </c>
      <c r="GE47" s="109">
        <f t="shared" si="189"/>
        <v>60</v>
      </c>
      <c r="GG47" s="106"/>
      <c r="GH47" s="106"/>
      <c r="GI47" s="40"/>
      <c r="GJ47" s="39"/>
      <c r="GK47" s="40"/>
      <c r="GL47" s="39"/>
      <c r="GN47" s="106"/>
      <c r="GO47" s="106"/>
      <c r="GP47" s="16" t="s">
        <v>38</v>
      </c>
      <c r="GQ47" s="16">
        <v>44308</v>
      </c>
      <c r="GR47" s="103">
        <v>118500310.611128</v>
      </c>
      <c r="GS47" s="104">
        <v>80000000</v>
      </c>
      <c r="GX47" s="12" t="str">
        <f t="shared" ref="GX47:GY98" si="190">GP5</f>
        <v>FY21</v>
      </c>
      <c r="GY47" s="12">
        <f t="shared" si="190"/>
        <v>44014</v>
      </c>
      <c r="GZ47" s="109">
        <f t="shared" ref="GZ47:HA62" si="191">GR5/1000000</f>
        <v>69.318618911523259</v>
      </c>
      <c r="HA47" s="109">
        <f t="shared" si="191"/>
        <v>50</v>
      </c>
      <c r="HC47" s="106"/>
      <c r="HD47" s="106"/>
      <c r="HE47" s="16" t="s">
        <v>35</v>
      </c>
      <c r="HF47" s="16">
        <v>44672</v>
      </c>
      <c r="HG47" s="103">
        <v>24232711.705685619</v>
      </c>
      <c r="HH47" s="104">
        <v>8000000</v>
      </c>
      <c r="HM47" s="12" t="str">
        <f t="shared" ref="HM47:HN98" si="192">HE5</f>
        <v>FY22</v>
      </c>
      <c r="HN47" s="12">
        <f t="shared" si="192"/>
        <v>44378</v>
      </c>
      <c r="HO47" s="109">
        <f t="shared" ref="HO47:HP62" si="193">HG5/1000000</f>
        <v>77.623219458802055</v>
      </c>
      <c r="HP47" s="109">
        <f t="shared" si="193"/>
        <v>60</v>
      </c>
      <c r="HR47" s="106"/>
      <c r="HS47" s="106"/>
      <c r="HT47" s="40"/>
      <c r="HU47" s="39"/>
      <c r="HV47" s="40"/>
      <c r="HW47" s="39"/>
      <c r="HY47" s="106"/>
      <c r="HZ47" s="106"/>
      <c r="IA47" s="16" t="s">
        <v>37</v>
      </c>
      <c r="IB47" s="16">
        <v>45043</v>
      </c>
      <c r="IC47" s="103">
        <v>27045895.28732137</v>
      </c>
      <c r="ID47" s="104">
        <v>8000000</v>
      </c>
      <c r="II47" s="59">
        <v>-6.0000000000000002E-5</v>
      </c>
      <c r="IJ47" s="59">
        <v>1.67E-2</v>
      </c>
      <c r="IK47" s="59">
        <v>0.48</v>
      </c>
      <c r="IL47" s="59">
        <v>20.736999999999998</v>
      </c>
      <c r="IN47" s="106"/>
      <c r="IO47" s="106"/>
      <c r="IP47" s="59">
        <v>1E-4</v>
      </c>
      <c r="IQ47" s="59">
        <v>-1.29E-2</v>
      </c>
      <c r="IR47" s="59">
        <v>1.4476</v>
      </c>
      <c r="IS47" s="59">
        <v>15.06</v>
      </c>
      <c r="IU47" s="106"/>
      <c r="IV47" s="106"/>
      <c r="IW47" s="16" t="s">
        <v>169</v>
      </c>
      <c r="IX47" s="12">
        <v>44308</v>
      </c>
      <c r="IY47" s="103">
        <v>118500310.611128</v>
      </c>
      <c r="IZ47" s="104">
        <v>80000000</v>
      </c>
      <c r="JE47" s="59">
        <v>-6.0000000000000002E-5</v>
      </c>
      <c r="JF47" s="59">
        <v>1.67E-2</v>
      </c>
      <c r="JG47" s="59">
        <v>0.48</v>
      </c>
      <c r="JH47" s="59">
        <v>20.736999999999998</v>
      </c>
      <c r="JI47" s="59"/>
      <c r="JJ47" s="59"/>
      <c r="JL47" s="106"/>
      <c r="JM47" s="106"/>
      <c r="JN47" s="59">
        <v>1E-4</v>
      </c>
      <c r="JO47" s="59">
        <v>-1.29E-2</v>
      </c>
      <c r="JP47" s="59">
        <v>1.4476</v>
      </c>
      <c r="JQ47" s="59">
        <v>15.06</v>
      </c>
      <c r="JR47" s="59"/>
      <c r="JS47" s="59"/>
      <c r="JT47" s="59"/>
      <c r="JU47" s="59"/>
      <c r="JW47" s="106"/>
      <c r="JX47" s="106"/>
      <c r="NA47" s="16" t="s">
        <v>34</v>
      </c>
      <c r="NB47" s="16">
        <v>43132</v>
      </c>
      <c r="NC47" s="103">
        <v>12804440</v>
      </c>
      <c r="ND47" s="104">
        <v>3000000</v>
      </c>
      <c r="NI47" s="12" t="str">
        <f>NA5</f>
        <v>FY17</v>
      </c>
      <c r="NJ47" s="12">
        <f t="shared" ref="NJ47:NJ82" si="194">NB5</f>
        <v>42838</v>
      </c>
      <c r="NK47" s="109">
        <f>NC5/1000000</f>
        <v>17.646640000000001</v>
      </c>
      <c r="NL47" s="109">
        <f t="shared" ref="NL47:NL82" si="195">ND5/1000000</f>
        <v>6</v>
      </c>
      <c r="NN47" s="106"/>
      <c r="NP47" s="16" t="s">
        <v>33</v>
      </c>
      <c r="NQ47" s="16">
        <v>43503</v>
      </c>
      <c r="NR47" s="103">
        <v>25782900</v>
      </c>
      <c r="NS47" s="104">
        <v>12000000</v>
      </c>
      <c r="NX47" s="12" t="str">
        <f>NP5</f>
        <v>FY18</v>
      </c>
      <c r="NY47" s="12">
        <f t="shared" ref="NY47:NY82" si="196">NQ5</f>
        <v>43209</v>
      </c>
      <c r="NZ47" s="109">
        <f>NR5/1000000</f>
        <v>18.243324000000001</v>
      </c>
      <c r="OA47" s="109">
        <f t="shared" ref="OA47:OA82" si="197">NS5/1000000</f>
        <v>8</v>
      </c>
      <c r="OC47" s="106"/>
    </row>
    <row r="48" spans="2:393" x14ac:dyDescent="0.25">
      <c r="B48" s="5"/>
      <c r="C48" s="5"/>
      <c r="D48" s="5"/>
      <c r="F48" s="5" t="s">
        <v>49</v>
      </c>
      <c r="G48" s="53">
        <v>44224</v>
      </c>
      <c r="H48" s="53">
        <v>44329</v>
      </c>
      <c r="I48" s="50">
        <f>INT((WEEKDAY($G48-5)-$G48+$H48)/7)</f>
        <v>16</v>
      </c>
      <c r="K48" s="7">
        <v>44</v>
      </c>
      <c r="M48" s="5" t="str" cm="1">
        <f t="array" ref="M48">LOOKUP(2,1/($G$19:$G$35&lt;=$V48)/($H$19:$H$35&gt;=$V48),$F$19:$F$35)</f>
        <v>1H18</v>
      </c>
      <c r="N48" s="5" t="str" cm="1">
        <f t="array" ref="N48">LOOKUP(2,1/($G$8:$G$16&lt;=$V48)/($H$8:$H$16&gt;=$V48),$F$8:$F$16)</f>
        <v>FY18</v>
      </c>
      <c r="O48" s="5" t="str">
        <f>IFERROR(N48&amp;"-"&amp;COUNTIF($N$19:N48,N48),NA())</f>
        <v>FY18-18</v>
      </c>
      <c r="P48" s="5">
        <f>COUNTIF(V$19:V48,"&gt;="&amp;MAX($V:$V)-183)</f>
        <v>0</v>
      </c>
      <c r="Q48" s="5">
        <f>COUNTIF(V$19:V48,"&gt;="&amp;MAX($V:$V)-365)</f>
        <v>0</v>
      </c>
      <c r="R48" s="5" cm="1">
        <f t="array" ref="R48">LOOKUP(2,1/($G$46:$G$50&lt;=$V48)/($H$46:$H$50&gt;=$V48),$F$46:$F$50)</f>
        <v>0</v>
      </c>
      <c r="S48" s="5" cm="1">
        <f t="array" ref="S48">LOOKUP(2,1/($G$53:$G$56&lt;=$V48)/($H$53:$H$56&gt;=$V48),$F$53:$F$56)</f>
        <v>0</v>
      </c>
      <c r="T48" s="5" t="e">
        <f>IFERROR(IF($R48&gt;0,$R48&amp;"-"&amp;COUNTIF($R$19:$R48,$R48),NA()),NA())</f>
        <v>#N/A</v>
      </c>
      <c r="U48" s="5" t="e">
        <f>IFERROR(IF($S48&gt;0,$S48&amp;"-"&amp;COUNTIF($S$19:$S48,$S48),NA()),NA())</f>
        <v>#N/A</v>
      </c>
      <c r="V48" s="10">
        <v>43041</v>
      </c>
      <c r="W48" s="101">
        <v>16170259.991374848</v>
      </c>
      <c r="X48" s="101">
        <v>15022980.044986801</v>
      </c>
      <c r="Y48" s="102">
        <v>6000000</v>
      </c>
      <c r="AA48" s="48" t="e">
        <f t="shared" si="170"/>
        <v>#N/A</v>
      </c>
      <c r="AB48" s="12" t="e">
        <f t="shared" si="151"/>
        <v>#N/A</v>
      </c>
      <c r="AC48" s="103" t="e">
        <f t="shared" si="152"/>
        <v>#N/A</v>
      </c>
      <c r="AD48" s="104" t="e">
        <f t="shared" si="153"/>
        <v>#N/A</v>
      </c>
      <c r="AI48" s="18">
        <f t="shared" si="172"/>
        <v>2</v>
      </c>
      <c r="AJ48" s="12">
        <f t="shared" si="172"/>
        <v>45029</v>
      </c>
      <c r="AK48" s="109">
        <f t="shared" si="173"/>
        <v>49.471698145332923</v>
      </c>
      <c r="AL48" s="109">
        <f t="shared" si="173"/>
        <v>30</v>
      </c>
      <c r="AN48" s="106"/>
      <c r="AO48" s="106"/>
      <c r="AP48" s="38" t="s">
        <v>48</v>
      </c>
      <c r="AQ48" s="38" t="s">
        <v>26</v>
      </c>
      <c r="AR48" s="38" t="s">
        <v>25</v>
      </c>
      <c r="AS48" s="38" t="s">
        <v>24</v>
      </c>
      <c r="AU48" s="106"/>
      <c r="AW48" s="48">
        <f t="shared" si="171"/>
        <v>44</v>
      </c>
      <c r="AX48" s="12">
        <f t="shared" si="154"/>
        <v>45141</v>
      </c>
      <c r="AY48" s="103">
        <f t="shared" si="155"/>
        <v>156823488.17696416</v>
      </c>
      <c r="AZ48" s="104">
        <f t="shared" si="156"/>
        <v>100000000</v>
      </c>
      <c r="BF48" s="18">
        <f t="shared" si="174"/>
        <v>2</v>
      </c>
      <c r="BG48" s="12">
        <f t="shared" si="174"/>
        <v>44847</v>
      </c>
      <c r="BH48" s="109">
        <f t="shared" si="175"/>
        <v>77.692655761629666</v>
      </c>
      <c r="BI48" s="109">
        <f t="shared" si="175"/>
        <v>50</v>
      </c>
      <c r="BK48" s="106"/>
      <c r="BL48" s="106"/>
      <c r="BM48" s="38" t="s">
        <v>48</v>
      </c>
      <c r="BN48" s="38" t="s">
        <v>26</v>
      </c>
      <c r="BO48" s="38" t="s">
        <v>25</v>
      </c>
      <c r="BP48" s="38" t="s">
        <v>24</v>
      </c>
      <c r="BR48" s="106"/>
      <c r="BT48" s="48" t="e">
        <f t="shared" si="8"/>
        <v>#N/A</v>
      </c>
      <c r="BU48" s="12" t="e">
        <f t="shared" si="157"/>
        <v>#N/A</v>
      </c>
      <c r="BV48" s="103" t="e">
        <f t="shared" si="158"/>
        <v>#N/A</v>
      </c>
      <c r="BW48" s="104" t="e">
        <f t="shared" si="159"/>
        <v>#N/A</v>
      </c>
      <c r="CB48" s="18" t="str">
        <f t="shared" si="176"/>
        <v>N1-2</v>
      </c>
      <c r="CC48" s="12">
        <f t="shared" si="176"/>
        <v>44119</v>
      </c>
      <c r="CD48" s="109">
        <f t="shared" si="177"/>
        <v>61.499423776223779</v>
      </c>
      <c r="CE48" s="109">
        <f t="shared" si="177"/>
        <v>40</v>
      </c>
      <c r="CG48" s="106"/>
      <c r="CH48" s="106"/>
      <c r="CI48" s="48" t="e">
        <f t="shared" si="12"/>
        <v>#N/A</v>
      </c>
      <c r="CJ48" s="12" t="e">
        <f t="shared" si="160"/>
        <v>#N/A</v>
      </c>
      <c r="CK48" s="105" t="e">
        <f t="shared" si="161"/>
        <v>#N/A</v>
      </c>
      <c r="CL48" s="105" t="e">
        <f t="shared" si="162"/>
        <v>#N/A</v>
      </c>
      <c r="CQ48" s="18" t="str">
        <f t="shared" si="178"/>
        <v>A1-2</v>
      </c>
      <c r="CR48" s="12">
        <f t="shared" si="178"/>
        <v>44231</v>
      </c>
      <c r="CS48" s="109">
        <f t="shared" si="179"/>
        <v>36.953457707509884</v>
      </c>
      <c r="CT48" s="109">
        <f t="shared" si="179"/>
        <v>20</v>
      </c>
      <c r="CV48" s="106"/>
      <c r="CX48" s="48" t="e">
        <f t="shared" si="16"/>
        <v>#N/A</v>
      </c>
      <c r="CY48" s="12" t="e">
        <f t="shared" si="163"/>
        <v>#N/A</v>
      </c>
      <c r="CZ48" s="103" t="e">
        <f t="shared" si="164"/>
        <v>#N/A</v>
      </c>
      <c r="DA48" s="104" t="e">
        <f t="shared" si="165"/>
        <v>#N/A</v>
      </c>
      <c r="DF48" s="18" t="str">
        <f t="shared" si="180"/>
        <v>N2-2</v>
      </c>
      <c r="DG48" s="12">
        <f t="shared" si="180"/>
        <v>44714</v>
      </c>
      <c r="DH48" s="109">
        <f t="shared" si="181"/>
        <v>21.125759318941927</v>
      </c>
      <c r="DI48" s="109">
        <f t="shared" si="181"/>
        <v>4</v>
      </c>
      <c r="DK48" s="106"/>
      <c r="DL48" s="106"/>
      <c r="DM48" s="48" t="e">
        <f t="shared" si="20"/>
        <v>#N/A</v>
      </c>
      <c r="DN48" s="12" t="e">
        <f t="shared" si="166"/>
        <v>#N/A</v>
      </c>
      <c r="DO48" s="103" t="e">
        <f t="shared" si="167"/>
        <v>#N/A</v>
      </c>
      <c r="DP48" s="104" t="e">
        <f t="shared" si="168"/>
        <v>#N/A</v>
      </c>
      <c r="DU48" s="18" t="str">
        <f t="shared" si="182"/>
        <v>A2-2</v>
      </c>
      <c r="DV48" s="12">
        <f t="shared" si="182"/>
        <v>44826</v>
      </c>
      <c r="DW48" s="109">
        <f t="shared" si="183"/>
        <v>22.65982973548191</v>
      </c>
      <c r="DX48" s="109">
        <f t="shared" si="183"/>
        <v>8</v>
      </c>
      <c r="DZ48" s="106"/>
      <c r="EA48" s="106"/>
      <c r="EB48" s="38" t="s">
        <v>27</v>
      </c>
      <c r="EC48" s="38" t="s">
        <v>26</v>
      </c>
      <c r="ED48" s="38" t="s">
        <v>25</v>
      </c>
      <c r="EE48" s="38" t="s">
        <v>24</v>
      </c>
      <c r="EG48" s="106"/>
      <c r="EH48" s="106"/>
      <c r="EI48" s="47" t="str">
        <f t="shared" si="25"/>
        <v>FY18-44</v>
      </c>
      <c r="EJ48" s="46">
        <v>43223</v>
      </c>
      <c r="EK48" s="107">
        <v>15861424.030514937</v>
      </c>
      <c r="EL48" s="108">
        <f t="shared" si="169"/>
        <v>8000000</v>
      </c>
      <c r="EN48" s="1">
        <v>6</v>
      </c>
      <c r="EO48" s="1">
        <v>40</v>
      </c>
      <c r="EQ48" s="12" t="str">
        <f t="shared" si="184"/>
        <v>FY18-2</v>
      </c>
      <c r="ER48" s="12">
        <f t="shared" si="184"/>
        <v>42929</v>
      </c>
      <c r="ES48" s="109">
        <f t="shared" si="185"/>
        <v>15.800128126617214</v>
      </c>
      <c r="ET48" s="109">
        <f t="shared" si="185"/>
        <v>6</v>
      </c>
      <c r="EU48" s="106"/>
      <c r="EV48" s="106"/>
      <c r="EW48" s="106"/>
      <c r="EX48" s="16" t="s">
        <v>33</v>
      </c>
      <c r="EY48" s="16">
        <v>43587</v>
      </c>
      <c r="EZ48" s="103">
        <v>34273410.483321987</v>
      </c>
      <c r="FA48" s="104">
        <v>30000000</v>
      </c>
      <c r="FF48" s="12" t="str">
        <f t="shared" si="186"/>
        <v>FY19</v>
      </c>
      <c r="FG48" s="12">
        <f t="shared" si="186"/>
        <v>43293</v>
      </c>
      <c r="FH48" s="109">
        <f t="shared" si="187"/>
        <v>26.842498410680225</v>
      </c>
      <c r="FI48" s="109">
        <f t="shared" si="187"/>
        <v>20</v>
      </c>
      <c r="FK48" s="106"/>
      <c r="FL48" s="106"/>
      <c r="FM48" s="38" t="s">
        <v>27</v>
      </c>
      <c r="FN48" s="38" t="s">
        <v>26</v>
      </c>
      <c r="FO48" s="38" t="s">
        <v>25</v>
      </c>
      <c r="FP48" s="38" t="s">
        <v>24</v>
      </c>
      <c r="FR48" s="106"/>
      <c r="FS48" s="106"/>
      <c r="FT48" s="16" t="s">
        <v>39</v>
      </c>
      <c r="FU48" s="16">
        <v>43951</v>
      </c>
      <c r="FV48" s="103">
        <v>17546634.478564911</v>
      </c>
      <c r="FW48" s="104">
        <v>3000000</v>
      </c>
      <c r="GB48" s="12" t="str">
        <f t="shared" si="188"/>
        <v>FY20</v>
      </c>
      <c r="GC48" s="12">
        <f t="shared" si="188"/>
        <v>43657</v>
      </c>
      <c r="GD48" s="109">
        <f t="shared" si="189"/>
        <v>73.766786311034096</v>
      </c>
      <c r="GE48" s="109">
        <f t="shared" si="189"/>
        <v>80</v>
      </c>
      <c r="GG48" s="106"/>
      <c r="GH48" s="106"/>
      <c r="GI48" s="38" t="s">
        <v>27</v>
      </c>
      <c r="GJ48" s="38" t="s">
        <v>26</v>
      </c>
      <c r="GK48" s="38" t="s">
        <v>25</v>
      </c>
      <c r="GL48" s="38" t="s">
        <v>24</v>
      </c>
      <c r="GN48" s="106"/>
      <c r="GO48" s="106"/>
      <c r="GP48" s="16" t="s">
        <v>38</v>
      </c>
      <c r="GQ48" s="16">
        <v>44315</v>
      </c>
      <c r="GR48" s="103">
        <v>24573953.906962603</v>
      </c>
      <c r="GS48" s="104">
        <v>8000000</v>
      </c>
      <c r="GX48" s="12" t="str">
        <f t="shared" si="190"/>
        <v>FY21</v>
      </c>
      <c r="GY48" s="12">
        <f t="shared" si="190"/>
        <v>44021</v>
      </c>
      <c r="GZ48" s="109">
        <f t="shared" si="191"/>
        <v>107.88941027667983</v>
      </c>
      <c r="HA48" s="109">
        <f t="shared" si="191"/>
        <v>80</v>
      </c>
      <c r="HC48" s="106"/>
      <c r="HD48" s="106"/>
      <c r="HE48" s="16" t="s">
        <v>35</v>
      </c>
      <c r="HF48" s="16">
        <v>44679</v>
      </c>
      <c r="HG48" s="103">
        <v>39401901.124961987</v>
      </c>
      <c r="HH48" s="104">
        <v>20000000</v>
      </c>
      <c r="HM48" s="12" t="str">
        <f t="shared" si="192"/>
        <v>FY22</v>
      </c>
      <c r="HN48" s="12">
        <f t="shared" si="192"/>
        <v>44385</v>
      </c>
      <c r="HO48" s="109">
        <f t="shared" si="193"/>
        <v>18.162558102766802</v>
      </c>
      <c r="HP48" s="109">
        <f t="shared" si="193"/>
        <v>3</v>
      </c>
      <c r="HR48" s="106"/>
      <c r="HS48" s="106"/>
      <c r="HT48" s="38" t="s">
        <v>27</v>
      </c>
      <c r="HU48" s="38" t="s">
        <v>26</v>
      </c>
      <c r="HV48" s="38" t="s">
        <v>25</v>
      </c>
      <c r="HW48" s="38" t="s">
        <v>24</v>
      </c>
      <c r="HY48" s="106"/>
      <c r="HZ48" s="106"/>
      <c r="IA48" s="16" t="s">
        <v>37</v>
      </c>
      <c r="IB48" s="16">
        <v>45050</v>
      </c>
      <c r="IC48" s="103">
        <v>41813564.487686224</v>
      </c>
      <c r="ID48" s="104">
        <v>20000000</v>
      </c>
      <c r="IN48" s="106"/>
      <c r="IO48" s="106"/>
      <c r="IU48" s="106"/>
      <c r="IV48" s="106"/>
      <c r="IW48" s="16" t="s">
        <v>169</v>
      </c>
      <c r="IX48" s="12">
        <v>44315</v>
      </c>
      <c r="IY48" s="103">
        <v>24573953.906962603</v>
      </c>
      <c r="IZ48" s="104">
        <v>8000000</v>
      </c>
      <c r="JL48" s="106"/>
      <c r="JM48" s="106"/>
      <c r="JW48" s="106"/>
      <c r="JX48" s="106"/>
      <c r="NA48" s="16" t="s">
        <v>34</v>
      </c>
      <c r="NB48" s="16">
        <v>43139</v>
      </c>
      <c r="NC48" s="103">
        <v>16166920</v>
      </c>
      <c r="ND48" s="104">
        <v>6000000</v>
      </c>
      <c r="NI48" s="12" t="str">
        <f t="shared" ref="NI48:NI82" si="198">NA6</f>
        <v>FY17</v>
      </c>
      <c r="NJ48" s="12">
        <f t="shared" si="194"/>
        <v>42845</v>
      </c>
      <c r="NK48" s="109">
        <f t="shared" ref="NK48:NK82" si="199">NC6/1000000</f>
        <v>23.499739999999999</v>
      </c>
      <c r="NL48" s="109">
        <f t="shared" si="195"/>
        <v>10</v>
      </c>
      <c r="NN48" s="106"/>
      <c r="NP48" s="16" t="s">
        <v>33</v>
      </c>
      <c r="NQ48" s="16">
        <v>43510</v>
      </c>
      <c r="NR48" s="103">
        <v>32237898</v>
      </c>
      <c r="NS48" s="104">
        <v>20000000</v>
      </c>
      <c r="NX48" s="12" t="str">
        <f t="shared" ref="NX48:NX82" si="200">NP6</f>
        <v>FY18</v>
      </c>
      <c r="NY48" s="12">
        <f t="shared" si="196"/>
        <v>43216</v>
      </c>
      <c r="NZ48" s="109">
        <f t="shared" ref="NZ48:NZ82" si="201">NR6/1000000</f>
        <v>11.782121999999999</v>
      </c>
      <c r="OA48" s="109">
        <f t="shared" si="197"/>
        <v>3</v>
      </c>
      <c r="OC48" s="106"/>
    </row>
    <row r="49" spans="2:393" x14ac:dyDescent="0.25">
      <c r="B49" s="5"/>
      <c r="C49" s="5"/>
      <c r="D49" s="5"/>
      <c r="F49" s="5" t="s">
        <v>47</v>
      </c>
      <c r="G49" s="51">
        <f>H48+7</f>
        <v>44336</v>
      </c>
      <c r="H49" s="51">
        <f>H48+(I47*7)</f>
        <v>44441</v>
      </c>
      <c r="I49" s="50">
        <f>I48</f>
        <v>16</v>
      </c>
      <c r="K49" s="7">
        <v>45</v>
      </c>
      <c r="M49" s="5" t="str" cm="1">
        <f t="array" ref="M49">LOOKUP(2,1/($G$19:$G$35&lt;=$V49)/($H$19:$H$35&gt;=$V49),$F$19:$F$35)</f>
        <v>1H18</v>
      </c>
      <c r="N49" s="5" t="str" cm="1">
        <f t="array" ref="N49">LOOKUP(2,1/($G$8:$G$16&lt;=$V49)/($H$8:$H$16&gt;=$V49),$F$8:$F$16)</f>
        <v>FY18</v>
      </c>
      <c r="O49" s="5" t="str">
        <f>IFERROR(N49&amp;"-"&amp;COUNTIF($N$19:N49,N49),NA())</f>
        <v>FY18-19</v>
      </c>
      <c r="P49" s="5">
        <f>COUNTIF(V$19:V49,"&gt;="&amp;MAX($V:$V)-183)</f>
        <v>0</v>
      </c>
      <c r="Q49" s="5">
        <f>COUNTIF(V$19:V49,"&gt;="&amp;MAX($V:$V)-365)</f>
        <v>0</v>
      </c>
      <c r="R49" s="5" cm="1">
        <f t="array" ref="R49">LOOKUP(2,1/($G$46:$G$50&lt;=$V49)/($H$46:$H$50&gt;=$V49),$F$46:$F$50)</f>
        <v>0</v>
      </c>
      <c r="S49" s="5" cm="1">
        <f t="array" ref="S49">LOOKUP(2,1/($G$53:$G$56&lt;=$V49)/($H$53:$H$56&gt;=$V49),$F$53:$F$56)</f>
        <v>0</v>
      </c>
      <c r="T49" s="5" t="e">
        <f>IFERROR(IF($R49&gt;0,$R49&amp;"-"&amp;COUNTIF($R$19:$R49,$R49),NA()),NA())</f>
        <v>#N/A</v>
      </c>
      <c r="U49" s="5" t="e">
        <f>IFERROR(IF($S49&gt;0,$S49&amp;"-"&amp;COUNTIF($S$19:$S49,$S49),NA()),NA())</f>
        <v>#N/A</v>
      </c>
      <c r="V49" s="10">
        <v>43048</v>
      </c>
      <c r="W49" s="101">
        <v>13079537.52975677</v>
      </c>
      <c r="X49" s="101">
        <v>12151544.342020527</v>
      </c>
      <c r="Y49" s="102">
        <v>3000000</v>
      </c>
      <c r="AA49" s="48" t="e">
        <f t="shared" si="170"/>
        <v>#N/A</v>
      </c>
      <c r="AB49" s="12" t="e">
        <f t="shared" si="151"/>
        <v>#N/A</v>
      </c>
      <c r="AC49" s="103" t="e">
        <f t="shared" si="152"/>
        <v>#N/A</v>
      </c>
      <c r="AD49" s="104" t="e">
        <f t="shared" si="153"/>
        <v>#N/A</v>
      </c>
      <c r="AI49" s="18">
        <f t="shared" si="172"/>
        <v>3</v>
      </c>
      <c r="AJ49" s="12">
        <f t="shared" si="172"/>
        <v>45036</v>
      </c>
      <c r="AK49" s="109">
        <f t="shared" si="173"/>
        <v>21.741040681058067</v>
      </c>
      <c r="AL49" s="109">
        <f t="shared" si="173"/>
        <v>4</v>
      </c>
      <c r="AN49" s="106"/>
      <c r="AO49" s="106"/>
      <c r="AP49" s="18">
        <f t="shared" ref="AP49:AQ64" si="202">IF(OR(ISBLANK(AA5),$AD5&gt;=$AQ$46),NA(),AA5)</f>
        <v>1</v>
      </c>
      <c r="AQ49" s="12">
        <f t="shared" si="202"/>
        <v>45022</v>
      </c>
      <c r="AR49" s="109">
        <f t="shared" ref="AR49:AS64" si="203">IF(OR(ISBLANK(AC5),$AD5&gt;=$AQ$46),NA(),AC5/1000000)</f>
        <v>41.047026208574025</v>
      </c>
      <c r="AS49" s="109">
        <f t="shared" si="203"/>
        <v>20</v>
      </c>
      <c r="AU49" s="106"/>
      <c r="AW49" s="48">
        <f t="shared" si="171"/>
        <v>45</v>
      </c>
      <c r="AX49" s="12">
        <f t="shared" si="154"/>
        <v>45148</v>
      </c>
      <c r="AY49" s="103">
        <f t="shared" si="155"/>
        <v>20677774.436090227</v>
      </c>
      <c r="AZ49" s="104">
        <f t="shared" si="156"/>
        <v>4000000</v>
      </c>
      <c r="BF49" s="18">
        <f t="shared" si="174"/>
        <v>3</v>
      </c>
      <c r="BG49" s="12">
        <f t="shared" si="174"/>
        <v>44854</v>
      </c>
      <c r="BH49" s="109">
        <f t="shared" si="175"/>
        <v>183.08447309212528</v>
      </c>
      <c r="BI49" s="109">
        <f t="shared" si="175"/>
        <v>100</v>
      </c>
      <c r="BK49" s="106"/>
      <c r="BL49" s="106"/>
      <c r="BM49" s="18">
        <f t="shared" ref="BM49:BN64" si="204">IF(OR(ISBLANK(AW5),$AZ5&gt;=$BN$46),NA(),AW5)</f>
        <v>1</v>
      </c>
      <c r="BN49" s="12">
        <f t="shared" si="204"/>
        <v>44840</v>
      </c>
      <c r="BO49" s="109">
        <f t="shared" ref="BO49:BP64" si="205">IF(OR(ISBLANK(AY5),$AZ5&gt;=$BN$46),NA(),AY5/1000000)</f>
        <v>47.423181270903001</v>
      </c>
      <c r="BP49" s="109">
        <f t="shared" si="205"/>
        <v>30</v>
      </c>
      <c r="BR49" s="106"/>
      <c r="BT49" s="48" t="e">
        <f t="shared" si="8"/>
        <v>#N/A</v>
      </c>
      <c r="BU49" s="12" t="e">
        <f t="shared" si="157"/>
        <v>#N/A</v>
      </c>
      <c r="BV49" s="103" t="e">
        <f t="shared" si="158"/>
        <v>#N/A</v>
      </c>
      <c r="BW49" s="104" t="e">
        <f t="shared" si="159"/>
        <v>#N/A</v>
      </c>
      <c r="CB49" s="18" t="str">
        <f t="shared" si="176"/>
        <v>N1-3</v>
      </c>
      <c r="CC49" s="12">
        <f t="shared" si="176"/>
        <v>44126</v>
      </c>
      <c r="CD49" s="109">
        <f t="shared" si="177"/>
        <v>19.054887686226817</v>
      </c>
      <c r="CE49" s="109">
        <f t="shared" si="177"/>
        <v>3</v>
      </c>
      <c r="CG49" s="106"/>
      <c r="CH49" s="106"/>
      <c r="CI49" s="48" t="e">
        <f t="shared" si="12"/>
        <v>#N/A</v>
      </c>
      <c r="CJ49" s="12" t="e">
        <f t="shared" si="160"/>
        <v>#N/A</v>
      </c>
      <c r="CK49" s="105" t="e">
        <f t="shared" si="161"/>
        <v>#N/A</v>
      </c>
      <c r="CL49" s="105" t="e">
        <f t="shared" si="162"/>
        <v>#N/A</v>
      </c>
      <c r="CQ49" s="18" t="str">
        <f t="shared" si="178"/>
        <v>A1-3</v>
      </c>
      <c r="CR49" s="12">
        <f t="shared" si="178"/>
        <v>44238</v>
      </c>
      <c r="CS49" s="109">
        <f t="shared" si="179"/>
        <v>48.994890605047111</v>
      </c>
      <c r="CT49" s="109">
        <f t="shared" si="179"/>
        <v>30</v>
      </c>
      <c r="CV49" s="106"/>
      <c r="CX49" s="48" t="e">
        <f t="shared" si="16"/>
        <v>#N/A</v>
      </c>
      <c r="CY49" s="12" t="e">
        <f t="shared" si="163"/>
        <v>#N/A</v>
      </c>
      <c r="CZ49" s="103" t="e">
        <f t="shared" si="164"/>
        <v>#N/A</v>
      </c>
      <c r="DA49" s="104" t="e">
        <f t="shared" si="165"/>
        <v>#N/A</v>
      </c>
      <c r="DF49" s="18" t="str">
        <f t="shared" si="180"/>
        <v>N2-3</v>
      </c>
      <c r="DG49" s="12">
        <f t="shared" si="180"/>
        <v>44721</v>
      </c>
      <c r="DH49" s="109">
        <f t="shared" si="181"/>
        <v>27.291882760717545</v>
      </c>
      <c r="DI49" s="109">
        <f t="shared" si="181"/>
        <v>8</v>
      </c>
      <c r="DK49" s="106"/>
      <c r="DL49" s="106"/>
      <c r="DM49" s="48" t="e">
        <f t="shared" si="20"/>
        <v>#N/A</v>
      </c>
      <c r="DN49" s="12" t="e">
        <f t="shared" si="166"/>
        <v>#N/A</v>
      </c>
      <c r="DO49" s="103" t="e">
        <f t="shared" si="167"/>
        <v>#N/A</v>
      </c>
      <c r="DP49" s="104" t="e">
        <f t="shared" si="168"/>
        <v>#N/A</v>
      </c>
      <c r="DU49" s="18" t="str">
        <f t="shared" si="182"/>
        <v>A2-3</v>
      </c>
      <c r="DV49" s="12">
        <f t="shared" si="182"/>
        <v>44833</v>
      </c>
      <c r="DW49" s="109">
        <f t="shared" si="183"/>
        <v>35.905405655214345</v>
      </c>
      <c r="DX49" s="109">
        <f t="shared" si="183"/>
        <v>20</v>
      </c>
      <c r="DZ49" s="106"/>
      <c r="EA49" s="106"/>
      <c r="EB49" s="12" t="str">
        <f t="shared" ref="EB49:EC64" si="206">IF(OR(ISBLANK(DM5),$DP5&gt;=$EC$46),NA(),DM5)</f>
        <v>A2-1</v>
      </c>
      <c r="EC49" s="12">
        <f t="shared" si="206"/>
        <v>44819</v>
      </c>
      <c r="ED49" s="109">
        <f t="shared" ref="ED49:EE64" si="207">IF(OR(ISBLANK(DO5),$DP5&gt;=$EC$46),NA(),DO5/1000000)</f>
        <v>25.008818485861962</v>
      </c>
      <c r="EE49" s="109">
        <f t="shared" si="207"/>
        <v>8</v>
      </c>
      <c r="EG49" s="106"/>
      <c r="EH49" s="106"/>
      <c r="EI49" s="47" t="str">
        <f t="shared" si="25"/>
        <v>FY18-45</v>
      </c>
      <c r="EJ49" s="46">
        <v>43230</v>
      </c>
      <c r="EK49" s="107">
        <v>17697270.947234582</v>
      </c>
      <c r="EL49" s="108">
        <f t="shared" si="169"/>
        <v>12000000</v>
      </c>
      <c r="EN49" s="1">
        <v>7</v>
      </c>
      <c r="EO49" s="1">
        <v>55</v>
      </c>
      <c r="EQ49" s="12" t="str">
        <f t="shared" si="184"/>
        <v>FY18-3</v>
      </c>
      <c r="ER49" s="12">
        <f t="shared" si="184"/>
        <v>42936</v>
      </c>
      <c r="ES49" s="109">
        <f t="shared" si="185"/>
        <v>13.695982549594616</v>
      </c>
      <c r="ET49" s="109">
        <f t="shared" si="185"/>
        <v>3</v>
      </c>
      <c r="EU49" s="106"/>
      <c r="EV49" s="106"/>
      <c r="EW49" s="106"/>
      <c r="EX49" s="16" t="s">
        <v>33</v>
      </c>
      <c r="EY49" s="16">
        <v>43594</v>
      </c>
      <c r="EZ49" s="103">
        <v>12230604.616622316</v>
      </c>
      <c r="FA49" s="104">
        <v>3000000</v>
      </c>
      <c r="FF49" s="12" t="str">
        <f t="shared" si="186"/>
        <v>FY19</v>
      </c>
      <c r="FG49" s="12">
        <f t="shared" si="186"/>
        <v>43300</v>
      </c>
      <c r="FH49" s="109">
        <f t="shared" si="187"/>
        <v>32.449661792752693</v>
      </c>
      <c r="FI49" s="109">
        <f t="shared" si="187"/>
        <v>30</v>
      </c>
      <c r="FK49" s="106"/>
      <c r="FL49" s="106"/>
      <c r="FM49" s="12" t="str">
        <f t="shared" ref="FM49:FN64" si="208">IF(OR(ISBLANK(EX5),$FA5&gt;=$FN$46),NA(),EX5)</f>
        <v>FY19</v>
      </c>
      <c r="FN49" s="12">
        <f t="shared" si="208"/>
        <v>43286</v>
      </c>
      <c r="FO49" s="109">
        <f t="shared" ref="FO49:FP64" si="209">IF(OR(ISBLANK(EZ5),$FA5&gt;=$FN$46),NA(),EZ5/1000000)</f>
        <v>20.852316083916079</v>
      </c>
      <c r="FP49" s="109">
        <f t="shared" si="209"/>
        <v>12</v>
      </c>
      <c r="FR49" s="106"/>
      <c r="FS49" s="106"/>
      <c r="FT49" s="16" t="s">
        <v>39</v>
      </c>
      <c r="FU49" s="16">
        <v>43958</v>
      </c>
      <c r="FV49" s="103">
        <v>22952706.354515053</v>
      </c>
      <c r="FW49" s="104">
        <v>8000000</v>
      </c>
      <c r="GB49" s="12" t="str">
        <f t="shared" si="188"/>
        <v>FY20</v>
      </c>
      <c r="GC49" s="12">
        <f t="shared" si="188"/>
        <v>43664</v>
      </c>
      <c r="GD49" s="109">
        <f t="shared" si="189"/>
        <v>149.65972894362272</v>
      </c>
      <c r="GE49" s="109">
        <f t="shared" si="189"/>
        <v>110</v>
      </c>
      <c r="GG49" s="106"/>
      <c r="GH49" s="106"/>
      <c r="GI49" s="12" t="str">
        <f t="shared" ref="GI49:GJ64" si="210">IF(OR(ISBLANK(FT5),$FW5&gt;=$GJ$46),NA(),FT5)</f>
        <v>FY20</v>
      </c>
      <c r="GJ49" s="12">
        <f t="shared" si="210"/>
        <v>43650</v>
      </c>
      <c r="GK49" s="109">
        <f t="shared" ref="GK49:GL64" si="211">IF(OR(ISBLANK(FV5),$FW5&gt;=$GJ$46),NA(),FV5/1000000)</f>
        <v>52.868604987932429</v>
      </c>
      <c r="GL49" s="109">
        <f t="shared" si="211"/>
        <v>60</v>
      </c>
      <c r="GN49" s="106"/>
      <c r="GO49" s="106"/>
      <c r="GP49" s="16" t="s">
        <v>38</v>
      </c>
      <c r="GQ49" s="16">
        <v>44322</v>
      </c>
      <c r="GR49" s="103">
        <v>37110605.290361807</v>
      </c>
      <c r="GS49" s="104">
        <v>20000000</v>
      </c>
      <c r="GX49" s="12" t="str">
        <f t="shared" si="190"/>
        <v>FY21</v>
      </c>
      <c r="GY49" s="12">
        <f t="shared" si="190"/>
        <v>44028</v>
      </c>
      <c r="GZ49" s="109">
        <f t="shared" si="191"/>
        <v>20.009448707813924</v>
      </c>
      <c r="HA49" s="109">
        <f t="shared" si="191"/>
        <v>3</v>
      </c>
      <c r="HC49" s="106"/>
      <c r="HD49" s="106"/>
      <c r="HE49" s="16" t="s">
        <v>35</v>
      </c>
      <c r="HF49" s="16">
        <v>44686</v>
      </c>
      <c r="HG49" s="103">
        <v>58067244.025539674</v>
      </c>
      <c r="HH49" s="104">
        <v>40000000</v>
      </c>
      <c r="HM49" s="12" t="str">
        <f t="shared" si="192"/>
        <v>FY22</v>
      </c>
      <c r="HN49" s="12">
        <f t="shared" si="192"/>
        <v>44392</v>
      </c>
      <c r="HO49" s="109">
        <f t="shared" si="193"/>
        <v>25.998846336272418</v>
      </c>
      <c r="HP49" s="109">
        <f t="shared" si="193"/>
        <v>8</v>
      </c>
      <c r="HR49" s="106"/>
      <c r="HS49" s="106"/>
      <c r="HT49" s="12" t="str">
        <f t="shared" ref="HT49:HU64" si="212">IF(OR(ISBLANK(HE5),$HH5&gt;=$HU$46),NA(),HE5)</f>
        <v>FY22</v>
      </c>
      <c r="HU49" s="12">
        <f t="shared" si="212"/>
        <v>44378</v>
      </c>
      <c r="HV49" s="109">
        <f t="shared" ref="HV49:HW64" si="213">IF(OR(ISBLANK(HG5),$HH5&gt;=$HU$46),NA(),HG5/1000000)</f>
        <v>77.623219458802055</v>
      </c>
      <c r="HW49" s="109">
        <f t="shared" si="213"/>
        <v>60</v>
      </c>
      <c r="HY49" s="106"/>
      <c r="HZ49" s="106"/>
      <c r="IA49" s="16" t="s">
        <v>37</v>
      </c>
      <c r="IB49" s="16">
        <v>45057</v>
      </c>
      <c r="IC49" s="103">
        <v>19348700.760109454</v>
      </c>
      <c r="ID49" s="104">
        <v>4000000</v>
      </c>
      <c r="II49" s="2" t="s">
        <v>41</v>
      </c>
      <c r="IJ49" s="2" t="s">
        <v>25</v>
      </c>
      <c r="IN49" s="106"/>
      <c r="IO49" s="106"/>
      <c r="IP49" s="2" t="s">
        <v>41</v>
      </c>
      <c r="IQ49" s="2" t="s">
        <v>25</v>
      </c>
      <c r="IU49" s="106"/>
      <c r="IV49" s="106"/>
      <c r="IW49" s="16" t="s">
        <v>169</v>
      </c>
      <c r="IX49" s="12">
        <v>44322</v>
      </c>
      <c r="IY49" s="103">
        <v>37110605.290361807</v>
      </c>
      <c r="IZ49" s="104">
        <v>20000000</v>
      </c>
      <c r="JE49" s="2" t="s">
        <v>41</v>
      </c>
      <c r="JF49" s="2" t="s">
        <v>25</v>
      </c>
      <c r="JL49" s="106"/>
      <c r="JM49" s="106"/>
      <c r="JN49" s="2" t="s">
        <v>41</v>
      </c>
      <c r="JO49" s="2" t="s">
        <v>25</v>
      </c>
      <c r="JW49" s="106"/>
      <c r="JX49" s="106"/>
      <c r="NA49" s="16" t="s">
        <v>34</v>
      </c>
      <c r="NB49" s="16">
        <v>43146</v>
      </c>
      <c r="NC49" s="103">
        <v>14281960</v>
      </c>
      <c r="ND49" s="104">
        <v>3000000</v>
      </c>
      <c r="NI49" s="12" t="str">
        <f t="shared" si="198"/>
        <v>FY17</v>
      </c>
      <c r="NJ49" s="12">
        <f t="shared" si="194"/>
        <v>42852</v>
      </c>
      <c r="NK49" s="109">
        <f t="shared" si="199"/>
        <v>26.247979999999998</v>
      </c>
      <c r="NL49" s="109">
        <f t="shared" si="195"/>
        <v>15</v>
      </c>
      <c r="NN49" s="106"/>
      <c r="NP49" s="16" t="s">
        <v>33</v>
      </c>
      <c r="NQ49" s="16">
        <v>43517</v>
      </c>
      <c r="NR49" s="103">
        <v>39329268</v>
      </c>
      <c r="NS49" s="104">
        <v>30000000</v>
      </c>
      <c r="NX49" s="12" t="str">
        <f t="shared" si="200"/>
        <v>FY18</v>
      </c>
      <c r="NY49" s="12">
        <f t="shared" si="196"/>
        <v>43223</v>
      </c>
      <c r="NZ49" s="109">
        <f t="shared" si="201"/>
        <v>16.804853999999999</v>
      </c>
      <c r="OA49" s="109">
        <f t="shared" si="197"/>
        <v>8</v>
      </c>
      <c r="OC49" s="106"/>
    </row>
    <row r="50" spans="2:393" x14ac:dyDescent="0.25">
      <c r="B50" s="5"/>
      <c r="C50" s="5"/>
      <c r="D50" s="5"/>
      <c r="F50" s="5">
        <v>0</v>
      </c>
      <c r="G50" s="51">
        <f>H49+1</f>
        <v>44442</v>
      </c>
      <c r="H50" s="51">
        <f>EOMONTH(MAX($V:$V),0)</f>
        <v>45230</v>
      </c>
      <c r="I50" s="50"/>
      <c r="K50" s="7">
        <v>46</v>
      </c>
      <c r="M50" s="5" t="str" cm="1">
        <f t="array" ref="M50">LOOKUP(2,1/($G$19:$G$35&lt;=$V50)/($H$19:$H$35&gt;=$V50),$F$19:$F$35)</f>
        <v>1H18</v>
      </c>
      <c r="N50" s="5" t="str" cm="1">
        <f t="array" ref="N50">LOOKUP(2,1/($G$8:$G$16&lt;=$V50)/($H$8:$H$16&gt;=$V50),$F$8:$F$16)</f>
        <v>FY18</v>
      </c>
      <c r="O50" s="5" t="str">
        <f>IFERROR(N50&amp;"-"&amp;COUNTIF($N$19:N50,N50),NA())</f>
        <v>FY18-20</v>
      </c>
      <c r="P50" s="5">
        <f>COUNTIF(V$19:V50,"&gt;="&amp;MAX($V:$V)-183)</f>
        <v>0</v>
      </c>
      <c r="Q50" s="5">
        <f>COUNTIF(V$19:V50,"&gt;="&amp;MAX($V:$V)-365)</f>
        <v>0</v>
      </c>
      <c r="R50" s="5" cm="1">
        <f t="array" ref="R50">LOOKUP(2,1/($G$46:$G$50&lt;=$V50)/($H$46:$H$50&gt;=$V50),$F$46:$F$50)</f>
        <v>0</v>
      </c>
      <c r="S50" s="5" cm="1">
        <f t="array" ref="S50">LOOKUP(2,1/($G$53:$G$56&lt;=$V50)/($H$53:$H$56&gt;=$V50),$F$53:$F$56)</f>
        <v>0</v>
      </c>
      <c r="T50" s="5" t="e">
        <f>IFERROR(IF($R50&gt;0,$R50&amp;"-"&amp;COUNTIF($R$19:$R50,$R50),NA()),NA())</f>
        <v>#N/A</v>
      </c>
      <c r="U50" s="5" t="e">
        <f>IFERROR(IF($S50&gt;0,$S50&amp;"-"&amp;COUNTIF($S$19:$S50,$S50),NA()),NA())</f>
        <v>#N/A</v>
      </c>
      <c r="V50" s="10">
        <v>43055</v>
      </c>
      <c r="W50" s="101">
        <v>17451375.32171813</v>
      </c>
      <c r="X50" s="101">
        <v>16213200.242642228</v>
      </c>
      <c r="Y50" s="102">
        <v>6000000</v>
      </c>
      <c r="AA50" s="48" t="e">
        <f t="shared" si="170"/>
        <v>#N/A</v>
      </c>
      <c r="AB50" s="12" t="e">
        <f t="shared" si="151"/>
        <v>#N/A</v>
      </c>
      <c r="AC50" s="103" t="e">
        <f t="shared" si="152"/>
        <v>#N/A</v>
      </c>
      <c r="AD50" s="104" t="e">
        <f t="shared" si="153"/>
        <v>#N/A</v>
      </c>
      <c r="AI50" s="18">
        <f t="shared" si="172"/>
        <v>4</v>
      </c>
      <c r="AJ50" s="12">
        <f t="shared" si="172"/>
        <v>45043</v>
      </c>
      <c r="AK50" s="109">
        <f t="shared" si="173"/>
        <v>27.045895287321372</v>
      </c>
      <c r="AL50" s="109">
        <f t="shared" si="173"/>
        <v>8</v>
      </c>
      <c r="AN50" s="106"/>
      <c r="AO50" s="106"/>
      <c r="AP50" s="18">
        <f t="shared" si="202"/>
        <v>2</v>
      </c>
      <c r="AQ50" s="12">
        <f t="shared" si="202"/>
        <v>45029</v>
      </c>
      <c r="AR50" s="109">
        <f t="shared" si="203"/>
        <v>49.471698145332923</v>
      </c>
      <c r="AS50" s="109">
        <f t="shared" si="203"/>
        <v>30</v>
      </c>
      <c r="AU50" s="106"/>
      <c r="AW50" s="48">
        <f t="shared" si="171"/>
        <v>46</v>
      </c>
      <c r="AX50" s="12">
        <f t="shared" si="154"/>
        <v>45155</v>
      </c>
      <c r="AY50" s="103">
        <f t="shared" si="155"/>
        <v>30840203.334423013</v>
      </c>
      <c r="AZ50" s="104">
        <f t="shared" si="156"/>
        <v>12000000</v>
      </c>
      <c r="BF50" s="18">
        <f t="shared" si="174"/>
        <v>4</v>
      </c>
      <c r="BG50" s="12">
        <f t="shared" si="174"/>
        <v>44861</v>
      </c>
      <c r="BH50" s="109">
        <f t="shared" si="175"/>
        <v>284.83741380358765</v>
      </c>
      <c r="BI50" s="109">
        <f t="shared" si="175"/>
        <v>160</v>
      </c>
      <c r="BK50" s="106"/>
      <c r="BL50" s="106"/>
      <c r="BM50" s="18">
        <f t="shared" si="204"/>
        <v>2</v>
      </c>
      <c r="BN50" s="12">
        <f t="shared" si="204"/>
        <v>44847</v>
      </c>
      <c r="BO50" s="109">
        <f t="shared" si="205"/>
        <v>77.692655761629666</v>
      </c>
      <c r="BP50" s="109">
        <f t="shared" si="205"/>
        <v>50</v>
      </c>
      <c r="BR50" s="106"/>
      <c r="BT50" s="48" t="e">
        <f t="shared" si="8"/>
        <v>#N/A</v>
      </c>
      <c r="BU50" s="12" t="e">
        <f t="shared" si="157"/>
        <v>#N/A</v>
      </c>
      <c r="BV50" s="103" t="e">
        <f t="shared" si="158"/>
        <v>#N/A</v>
      </c>
      <c r="BW50" s="104" t="e">
        <f t="shared" si="159"/>
        <v>#N/A</v>
      </c>
      <c r="CB50" s="18" t="str">
        <f t="shared" si="176"/>
        <v>N1-4</v>
      </c>
      <c r="CC50" s="12">
        <f t="shared" si="176"/>
        <v>44133</v>
      </c>
      <c r="CD50" s="109">
        <f t="shared" si="177"/>
        <v>24.929902341137119</v>
      </c>
      <c r="CE50" s="109">
        <f t="shared" si="177"/>
        <v>8</v>
      </c>
      <c r="CG50" s="106"/>
      <c r="CH50" s="106"/>
      <c r="CI50" s="48" t="e">
        <f t="shared" si="12"/>
        <v>#N/A</v>
      </c>
      <c r="CJ50" s="12" t="e">
        <f t="shared" si="160"/>
        <v>#N/A</v>
      </c>
      <c r="CK50" s="105" t="e">
        <f t="shared" si="161"/>
        <v>#N/A</v>
      </c>
      <c r="CL50" s="105" t="e">
        <f t="shared" si="162"/>
        <v>#N/A</v>
      </c>
      <c r="CQ50" s="18" t="str">
        <f t="shared" si="178"/>
        <v>A1-4</v>
      </c>
      <c r="CR50" s="12">
        <f t="shared" si="178"/>
        <v>44245</v>
      </c>
      <c r="CS50" s="109">
        <f t="shared" si="179"/>
        <v>78.306876740650651</v>
      </c>
      <c r="CT50" s="109">
        <f t="shared" si="179"/>
        <v>50</v>
      </c>
      <c r="CV50" s="106"/>
      <c r="CX50" s="48" t="e">
        <f t="shared" si="16"/>
        <v>#N/A</v>
      </c>
      <c r="CY50" s="12" t="e">
        <f t="shared" si="163"/>
        <v>#N/A</v>
      </c>
      <c r="CZ50" s="103" t="e">
        <f t="shared" si="164"/>
        <v>#N/A</v>
      </c>
      <c r="DA50" s="104" t="e">
        <f t="shared" si="165"/>
        <v>#N/A</v>
      </c>
      <c r="DF50" s="18" t="str">
        <f t="shared" si="180"/>
        <v>N2-4</v>
      </c>
      <c r="DG50" s="12">
        <f t="shared" si="180"/>
        <v>44728</v>
      </c>
      <c r="DH50" s="109">
        <f t="shared" si="181"/>
        <v>41.963661416844026</v>
      </c>
      <c r="DI50" s="109">
        <f t="shared" si="181"/>
        <v>20</v>
      </c>
      <c r="DK50" s="106"/>
      <c r="DL50" s="106"/>
      <c r="DM50" s="48" t="e">
        <f t="shared" si="20"/>
        <v>#N/A</v>
      </c>
      <c r="DN50" s="12" t="e">
        <f t="shared" si="166"/>
        <v>#N/A</v>
      </c>
      <c r="DO50" s="103" t="e">
        <f t="shared" si="167"/>
        <v>#N/A</v>
      </c>
      <c r="DP50" s="104" t="e">
        <f t="shared" si="168"/>
        <v>#N/A</v>
      </c>
      <c r="DU50" s="18" t="str">
        <f t="shared" si="182"/>
        <v>A2-4</v>
      </c>
      <c r="DV50" s="12">
        <f t="shared" si="182"/>
        <v>44840</v>
      </c>
      <c r="DW50" s="109">
        <f t="shared" si="183"/>
        <v>47.423181270903001</v>
      </c>
      <c r="DX50" s="109">
        <f t="shared" si="183"/>
        <v>30</v>
      </c>
      <c r="DZ50" s="106"/>
      <c r="EA50" s="106"/>
      <c r="EB50" s="12" t="str">
        <f t="shared" si="206"/>
        <v>A2-2</v>
      </c>
      <c r="EC50" s="12">
        <f t="shared" si="206"/>
        <v>44826</v>
      </c>
      <c r="ED50" s="109">
        <f t="shared" si="207"/>
        <v>22.65982973548191</v>
      </c>
      <c r="EE50" s="109">
        <f t="shared" si="207"/>
        <v>8</v>
      </c>
      <c r="EG50" s="106"/>
      <c r="EH50" s="106"/>
      <c r="EI50" s="47" t="str">
        <f t="shared" si="25"/>
        <v>FY18-46</v>
      </c>
      <c r="EJ50" s="46">
        <v>43237</v>
      </c>
      <c r="EK50" s="107">
        <v>26087560.584869672</v>
      </c>
      <c r="EL50" s="108">
        <f t="shared" si="169"/>
        <v>20000000</v>
      </c>
      <c r="EN50" s="1">
        <v>8</v>
      </c>
      <c r="EO50" s="56">
        <v>80</v>
      </c>
      <c r="EQ50" s="12" t="str">
        <f t="shared" si="184"/>
        <v>FY18-4</v>
      </c>
      <c r="ER50" s="12">
        <f t="shared" si="184"/>
        <v>42943</v>
      </c>
      <c r="ES50" s="109">
        <f t="shared" si="185"/>
        <v>12.32912110746938</v>
      </c>
      <c r="ET50" s="109">
        <f t="shared" si="185"/>
        <v>3</v>
      </c>
      <c r="EU50" s="106"/>
      <c r="EV50" s="106"/>
      <c r="EW50" s="106"/>
      <c r="EX50" s="16" t="s">
        <v>33</v>
      </c>
      <c r="EY50" s="16">
        <v>43601</v>
      </c>
      <c r="EZ50" s="103">
        <v>16704121.542174639</v>
      </c>
      <c r="FA50" s="104">
        <v>8000000</v>
      </c>
      <c r="FF50" s="12" t="str">
        <f t="shared" si="186"/>
        <v>FY19</v>
      </c>
      <c r="FG50" s="12">
        <f t="shared" si="186"/>
        <v>43307</v>
      </c>
      <c r="FH50" s="109">
        <f t="shared" si="187"/>
        <v>38.67065225683406</v>
      </c>
      <c r="FI50" s="109">
        <f t="shared" si="187"/>
        <v>40</v>
      </c>
      <c r="FK50" s="106"/>
      <c r="FL50" s="106"/>
      <c r="FM50" s="12" t="str">
        <f t="shared" si="208"/>
        <v>FY19</v>
      </c>
      <c r="FN50" s="12">
        <f t="shared" si="208"/>
        <v>43293</v>
      </c>
      <c r="FO50" s="109">
        <f t="shared" si="209"/>
        <v>26.842498410680225</v>
      </c>
      <c r="FP50" s="109">
        <f t="shared" si="209"/>
        <v>20</v>
      </c>
      <c r="FR50" s="106"/>
      <c r="FS50" s="106"/>
      <c r="FT50" s="16" t="s">
        <v>39</v>
      </c>
      <c r="FU50" s="16">
        <v>43965</v>
      </c>
      <c r="FV50" s="103">
        <v>17170624.749163877</v>
      </c>
      <c r="FW50" s="104">
        <v>3000000</v>
      </c>
      <c r="GB50" s="12" t="str">
        <f t="shared" si="188"/>
        <v>FY20</v>
      </c>
      <c r="GC50" s="12">
        <f t="shared" si="188"/>
        <v>43671</v>
      </c>
      <c r="GD50" s="109">
        <f t="shared" si="189"/>
        <v>14.254130329847143</v>
      </c>
      <c r="GE50" s="109">
        <f t="shared" si="189"/>
        <v>3</v>
      </c>
      <c r="GG50" s="106"/>
      <c r="GH50" s="106"/>
      <c r="GI50" s="12" t="str">
        <f t="shared" si="210"/>
        <v>FY20</v>
      </c>
      <c r="GJ50" s="12">
        <f t="shared" si="210"/>
        <v>43657</v>
      </c>
      <c r="GK50" s="109">
        <f t="shared" si="211"/>
        <v>73.766786311034096</v>
      </c>
      <c r="GL50" s="109">
        <f t="shared" si="211"/>
        <v>80</v>
      </c>
      <c r="GN50" s="106"/>
      <c r="GO50" s="106"/>
      <c r="GP50" s="16" t="s">
        <v>38</v>
      </c>
      <c r="GQ50" s="16">
        <v>44329</v>
      </c>
      <c r="GR50" s="103">
        <v>47890415.81027668</v>
      </c>
      <c r="GS50" s="104">
        <v>30000000</v>
      </c>
      <c r="GX50" s="12" t="str">
        <f t="shared" si="190"/>
        <v>FY21</v>
      </c>
      <c r="GY50" s="12">
        <f t="shared" si="190"/>
        <v>44035</v>
      </c>
      <c r="GZ50" s="109">
        <f t="shared" si="191"/>
        <v>25.6119068409851</v>
      </c>
      <c r="HA50" s="109">
        <f t="shared" si="191"/>
        <v>8</v>
      </c>
      <c r="HC50" s="106"/>
      <c r="HD50" s="106"/>
      <c r="HE50" s="16" t="s">
        <v>35</v>
      </c>
      <c r="HF50" s="16">
        <v>44693</v>
      </c>
      <c r="HG50" s="103">
        <v>83810205.168744296</v>
      </c>
      <c r="HH50" s="104">
        <v>60000000</v>
      </c>
      <c r="HM50" s="12" t="str">
        <f t="shared" si="192"/>
        <v>FY22</v>
      </c>
      <c r="HN50" s="12">
        <f t="shared" si="192"/>
        <v>44399</v>
      </c>
      <c r="HO50" s="109">
        <f t="shared" si="193"/>
        <v>41.039352751596226</v>
      </c>
      <c r="HP50" s="109">
        <f t="shared" si="193"/>
        <v>20</v>
      </c>
      <c r="HR50" s="106"/>
      <c r="HS50" s="106"/>
      <c r="HT50" s="12" t="str">
        <f t="shared" si="212"/>
        <v>FY22</v>
      </c>
      <c r="HU50" s="12">
        <f t="shared" si="212"/>
        <v>44385</v>
      </c>
      <c r="HV50" s="109">
        <f t="shared" si="213"/>
        <v>18.162558102766802</v>
      </c>
      <c r="HW50" s="109">
        <f t="shared" si="213"/>
        <v>3</v>
      </c>
      <c r="HY50" s="106"/>
      <c r="HZ50" s="106"/>
      <c r="IA50" s="16" t="s">
        <v>37</v>
      </c>
      <c r="IB50" s="16">
        <v>45064</v>
      </c>
      <c r="IC50" s="103">
        <v>19409982.487078138</v>
      </c>
      <c r="ID50" s="104">
        <v>4000000</v>
      </c>
      <c r="II50" s="40">
        <v>60</v>
      </c>
      <c r="IJ50" s="39">
        <f t="shared" ref="IJ50:IJ64" si="214">($II$47*II50^3+$IJ$47*II50^2+$IK$47*II50+$IL$47)*1000000</f>
        <v>96696999.999999985</v>
      </c>
      <c r="IK50" s="40">
        <v>210</v>
      </c>
      <c r="IL50" s="39">
        <f t="shared" ref="IL50:IL64" si="215">($II$47*IK50^3+$IJ$47*IK50^2+$IK$47*IK50+$IL$47)*1000000</f>
        <v>302347000.00000012</v>
      </c>
      <c r="IN50" s="106"/>
      <c r="IO50" s="106"/>
      <c r="IP50" s="40">
        <v>60</v>
      </c>
      <c r="IQ50" s="39">
        <f t="shared" ref="IQ50:IQ64" si="216">($II$47*IP50^3+$IJ$47*IP50^2+$IK$47*IP50+$IL$47)*1000000</f>
        <v>96696999.999999985</v>
      </c>
      <c r="IR50" s="40">
        <v>210</v>
      </c>
      <c r="IS50" s="39">
        <f t="shared" ref="IS50:IS64" si="217">($II$47*IR50^3+$IJ$47*IR50^2+$IK$47*IR50+$IL$47)*1000000</f>
        <v>302347000.00000012</v>
      </c>
      <c r="IU50" s="106"/>
      <c r="IV50" s="106"/>
      <c r="IW50" s="16" t="s">
        <v>169</v>
      </c>
      <c r="IX50" s="12">
        <v>44329</v>
      </c>
      <c r="IY50" s="103">
        <v>47890415.81027668</v>
      </c>
      <c r="IZ50" s="104">
        <v>30000000</v>
      </c>
      <c r="JE50" s="40">
        <v>60</v>
      </c>
      <c r="JF50" s="39">
        <f t="shared" ref="JF50:JF64" si="218">($II$47*JE50^3+$IJ$47*JE50^2+$IK$47*JE50+$IL$47)*1000000</f>
        <v>96696999.999999985</v>
      </c>
      <c r="JG50" s="40">
        <v>210</v>
      </c>
      <c r="JH50" s="39">
        <f t="shared" ref="JH50:JH64" si="219">($II$47*JG50^3+$IJ$47*JG50^2+$IK$47*JG50+$IL$47)*1000000</f>
        <v>302347000.00000012</v>
      </c>
      <c r="JI50" s="39"/>
      <c r="JJ50" s="39"/>
      <c r="JL50" s="106"/>
      <c r="JM50" s="106"/>
      <c r="JN50" s="40">
        <v>60</v>
      </c>
      <c r="JO50" s="39">
        <f t="shared" ref="JO50:JO64" si="220">($II$47*JN50^3+$IJ$47*JN50^2+$IK$47*JN50+$IL$47)*1000000</f>
        <v>96696999.999999985</v>
      </c>
      <c r="JP50" s="40">
        <v>210</v>
      </c>
      <c r="JQ50" s="39">
        <f t="shared" ref="JQ50:JQ64" si="221">($II$47*JP50^3+$IJ$47*JP50^2+$IK$47*JP50+$IL$47)*1000000</f>
        <v>302347000.00000012</v>
      </c>
      <c r="JR50" s="39"/>
      <c r="JS50" s="39"/>
      <c r="JT50" s="39"/>
      <c r="JU50" s="39"/>
      <c r="JW50" s="106"/>
      <c r="JX50" s="106"/>
      <c r="NA50" s="16" t="s">
        <v>34</v>
      </c>
      <c r="NB50" s="16">
        <v>43153</v>
      </c>
      <c r="NC50" s="103">
        <v>17130740</v>
      </c>
      <c r="ND50" s="104">
        <v>6000000</v>
      </c>
      <c r="NI50" s="12" t="str">
        <f t="shared" si="198"/>
        <v>FY17</v>
      </c>
      <c r="NJ50" s="12">
        <f t="shared" si="194"/>
        <v>42859</v>
      </c>
      <c r="NK50" s="109">
        <f t="shared" si="199"/>
        <v>42.723999999999997</v>
      </c>
      <c r="NL50" s="109">
        <f t="shared" si="195"/>
        <v>30</v>
      </c>
      <c r="NN50" s="106"/>
      <c r="NP50" s="16" t="s">
        <v>33</v>
      </c>
      <c r="NQ50" s="16">
        <v>43524</v>
      </c>
      <c r="NR50" s="103">
        <v>45325170</v>
      </c>
      <c r="NS50" s="104">
        <v>40000000</v>
      </c>
      <c r="NX50" s="12" t="str">
        <f t="shared" si="200"/>
        <v>FY18</v>
      </c>
      <c r="NY50" s="12">
        <f t="shared" si="196"/>
        <v>43230</v>
      </c>
      <c r="NZ50" s="109">
        <f t="shared" si="201"/>
        <v>17.618040000000001</v>
      </c>
      <c r="OA50" s="109">
        <f t="shared" si="197"/>
        <v>12</v>
      </c>
      <c r="OC50" s="106"/>
    </row>
    <row r="51" spans="2:393" x14ac:dyDescent="0.25">
      <c r="B51" s="5"/>
      <c r="C51" s="5"/>
      <c r="D51" s="5"/>
      <c r="F51" s="5"/>
      <c r="G51" s="5"/>
      <c r="H51" s="5"/>
      <c r="I51" s="5"/>
      <c r="K51" s="7">
        <v>47</v>
      </c>
      <c r="M51" s="5" t="str" cm="1">
        <f t="array" ref="M51">LOOKUP(2,1/($G$19:$G$35&lt;=$V51)/($H$19:$H$35&gt;=$V51),$F$19:$F$35)</f>
        <v>1H18</v>
      </c>
      <c r="N51" s="5" t="str" cm="1">
        <f t="array" ref="N51">LOOKUP(2,1/($G$8:$G$16&lt;=$V51)/($H$8:$H$16&gt;=$V51),$F$8:$F$16)</f>
        <v>FY18</v>
      </c>
      <c r="O51" s="5" t="str">
        <f>IFERROR(N51&amp;"-"&amp;COUNTIF($N$19:N51,N51),NA())</f>
        <v>FY18-21</v>
      </c>
      <c r="P51" s="5">
        <f>COUNTIF(V$19:V51,"&gt;="&amp;MAX($V:$V)-183)</f>
        <v>0</v>
      </c>
      <c r="Q51" s="5">
        <f>COUNTIF(V$19:V51,"&gt;="&amp;MAX($V:$V)-365)</f>
        <v>0</v>
      </c>
      <c r="R51" s="5" cm="1">
        <f t="array" ref="R51">LOOKUP(2,1/($G$46:$G$50&lt;=$V51)/($H$46:$H$50&gt;=$V51),$F$46:$F$50)</f>
        <v>0</v>
      </c>
      <c r="S51" s="5" cm="1">
        <f t="array" ref="S51">LOOKUP(2,1/($G$53:$G$56&lt;=$V51)/($H$53:$H$56&gt;=$V51),$F$53:$F$56)</f>
        <v>0</v>
      </c>
      <c r="T51" s="5" t="e">
        <f>IFERROR(IF($R51&gt;0,$R51&amp;"-"&amp;COUNTIF($R$19:$R51,$R51),NA()),NA())</f>
        <v>#N/A</v>
      </c>
      <c r="U51" s="5" t="e">
        <f>IFERROR(IF($S51&gt;0,$S51&amp;"-"&amp;COUNTIF($S$19:$S51,$S51),NA()),NA())</f>
        <v>#N/A</v>
      </c>
      <c r="V51" s="10">
        <v>43062</v>
      </c>
      <c r="W51" s="101">
        <v>25218185.292392615</v>
      </c>
      <c r="X51" s="101">
        <v>23428955.045897357</v>
      </c>
      <c r="Y51" s="102">
        <v>10000000</v>
      </c>
      <c r="AA51" s="48" t="e">
        <f t="shared" si="170"/>
        <v>#N/A</v>
      </c>
      <c r="AB51" s="12" t="e">
        <f t="shared" si="151"/>
        <v>#N/A</v>
      </c>
      <c r="AC51" s="103" t="e">
        <f t="shared" si="152"/>
        <v>#N/A</v>
      </c>
      <c r="AD51" s="104" t="e">
        <f t="shared" si="153"/>
        <v>#N/A</v>
      </c>
      <c r="AI51" s="18">
        <f t="shared" si="172"/>
        <v>5</v>
      </c>
      <c r="AJ51" s="12">
        <f t="shared" si="172"/>
        <v>45050</v>
      </c>
      <c r="AK51" s="109">
        <f t="shared" si="173"/>
        <v>41.813564487686222</v>
      </c>
      <c r="AL51" s="109">
        <f t="shared" si="173"/>
        <v>20</v>
      </c>
      <c r="AN51" s="106"/>
      <c r="AO51" s="106"/>
      <c r="AP51" s="18">
        <f t="shared" si="202"/>
        <v>3</v>
      </c>
      <c r="AQ51" s="12">
        <f t="shared" si="202"/>
        <v>45036</v>
      </c>
      <c r="AR51" s="109">
        <f t="shared" si="203"/>
        <v>21.741040681058067</v>
      </c>
      <c r="AS51" s="109">
        <f t="shared" si="203"/>
        <v>4</v>
      </c>
      <c r="AU51" s="106"/>
      <c r="AW51" s="48">
        <f t="shared" si="171"/>
        <v>47</v>
      </c>
      <c r="AX51" s="12">
        <f t="shared" si="154"/>
        <v>45162</v>
      </c>
      <c r="AY51" s="103">
        <f t="shared" si="155"/>
        <v>42995307.072027899</v>
      </c>
      <c r="AZ51" s="104">
        <f t="shared" si="156"/>
        <v>20000000</v>
      </c>
      <c r="BF51" s="18">
        <f t="shared" si="174"/>
        <v>5</v>
      </c>
      <c r="BG51" s="12">
        <f t="shared" si="174"/>
        <v>44868</v>
      </c>
      <c r="BH51" s="109">
        <f t="shared" si="175"/>
        <v>27.003392885375497</v>
      </c>
      <c r="BI51" s="109">
        <f t="shared" si="175"/>
        <v>8</v>
      </c>
      <c r="BK51" s="106"/>
      <c r="BL51" s="106"/>
      <c r="BM51" s="18" t="e">
        <f t="shared" si="204"/>
        <v>#N/A</v>
      </c>
      <c r="BN51" s="12" t="e">
        <f t="shared" si="204"/>
        <v>#N/A</v>
      </c>
      <c r="BO51" s="109" t="e">
        <f t="shared" si="205"/>
        <v>#N/A</v>
      </c>
      <c r="BP51" s="109" t="e">
        <f t="shared" si="205"/>
        <v>#N/A</v>
      </c>
      <c r="BR51" s="106"/>
      <c r="BT51" s="48" t="e">
        <f t="shared" si="8"/>
        <v>#N/A</v>
      </c>
      <c r="BU51" s="12" t="e">
        <f t="shared" si="157"/>
        <v>#N/A</v>
      </c>
      <c r="BV51" s="103" t="e">
        <f t="shared" si="158"/>
        <v>#N/A</v>
      </c>
      <c r="BW51" s="104" t="e">
        <f t="shared" si="159"/>
        <v>#N/A</v>
      </c>
      <c r="CB51" s="18" t="str">
        <f t="shared" si="176"/>
        <v>N1-5</v>
      </c>
      <c r="CC51" s="12">
        <f t="shared" si="176"/>
        <v>44140</v>
      </c>
      <c r="CD51" s="109">
        <f t="shared" si="177"/>
        <v>39.323627363940403</v>
      </c>
      <c r="CE51" s="109">
        <f t="shared" si="177"/>
        <v>20</v>
      </c>
      <c r="CG51" s="106"/>
      <c r="CH51" s="106"/>
      <c r="CI51" s="48" t="e">
        <f t="shared" si="12"/>
        <v>#N/A</v>
      </c>
      <c r="CJ51" s="12" t="e">
        <f t="shared" si="160"/>
        <v>#N/A</v>
      </c>
      <c r="CK51" s="105" t="e">
        <f t="shared" si="161"/>
        <v>#N/A</v>
      </c>
      <c r="CL51" s="105" t="e">
        <f t="shared" si="162"/>
        <v>#N/A</v>
      </c>
      <c r="CQ51" s="18" t="str">
        <f t="shared" si="178"/>
        <v>A1-5</v>
      </c>
      <c r="CR51" s="12">
        <f t="shared" si="178"/>
        <v>44252</v>
      </c>
      <c r="CS51" s="109">
        <f t="shared" si="179"/>
        <v>22.972673761021586</v>
      </c>
      <c r="CT51" s="109">
        <f t="shared" si="179"/>
        <v>8</v>
      </c>
      <c r="CV51" s="106"/>
      <c r="CX51" s="48" t="e">
        <f t="shared" si="16"/>
        <v>#N/A</v>
      </c>
      <c r="CY51" s="12" t="e">
        <f t="shared" si="163"/>
        <v>#N/A</v>
      </c>
      <c r="CZ51" s="103" t="e">
        <f t="shared" si="164"/>
        <v>#N/A</v>
      </c>
      <c r="DA51" s="104" t="e">
        <f t="shared" si="165"/>
        <v>#N/A</v>
      </c>
      <c r="DF51" s="18" t="str">
        <f t="shared" si="180"/>
        <v>N2-5</v>
      </c>
      <c r="DG51" s="12">
        <f t="shared" si="180"/>
        <v>44735</v>
      </c>
      <c r="DH51" s="109">
        <f t="shared" si="181"/>
        <v>57.463937245363326</v>
      </c>
      <c r="DI51" s="109">
        <f t="shared" si="181"/>
        <v>40</v>
      </c>
      <c r="DK51" s="106"/>
      <c r="DL51" s="106"/>
      <c r="DM51" s="48" t="e">
        <f t="shared" si="20"/>
        <v>#N/A</v>
      </c>
      <c r="DN51" s="12" t="e">
        <f t="shared" si="166"/>
        <v>#N/A</v>
      </c>
      <c r="DO51" s="103" t="e">
        <f t="shared" si="167"/>
        <v>#N/A</v>
      </c>
      <c r="DP51" s="104" t="e">
        <f t="shared" si="168"/>
        <v>#N/A</v>
      </c>
      <c r="DU51" s="18" t="str">
        <f t="shared" si="182"/>
        <v>A2-5</v>
      </c>
      <c r="DV51" s="12">
        <f t="shared" si="182"/>
        <v>44847</v>
      </c>
      <c r="DW51" s="109">
        <f t="shared" si="183"/>
        <v>77.692655761629666</v>
      </c>
      <c r="DX51" s="109">
        <f t="shared" si="183"/>
        <v>50</v>
      </c>
      <c r="DZ51" s="106"/>
      <c r="EA51" s="106"/>
      <c r="EB51" s="12" t="str">
        <f t="shared" si="206"/>
        <v>A2-3</v>
      </c>
      <c r="EC51" s="12">
        <f t="shared" si="206"/>
        <v>44833</v>
      </c>
      <c r="ED51" s="109">
        <f t="shared" si="207"/>
        <v>35.905405655214345</v>
      </c>
      <c r="EE51" s="109">
        <f t="shared" si="207"/>
        <v>20</v>
      </c>
      <c r="EG51" s="106"/>
      <c r="EH51" s="106"/>
      <c r="EI51" s="47" t="str">
        <f t="shared" si="25"/>
        <v>FY18-47</v>
      </c>
      <c r="EJ51" s="46">
        <v>43244</v>
      </c>
      <c r="EK51" s="107">
        <v>36432706.166560702</v>
      </c>
      <c r="EL51" s="108">
        <f t="shared" si="169"/>
        <v>30000000</v>
      </c>
      <c r="EN51" s="1">
        <v>9</v>
      </c>
      <c r="EO51" s="56">
        <v>100</v>
      </c>
      <c r="EQ51" s="12" t="str">
        <f t="shared" si="184"/>
        <v>FY18-5</v>
      </c>
      <c r="ER51" s="12">
        <f t="shared" si="184"/>
        <v>42950</v>
      </c>
      <c r="ES51" s="109">
        <f t="shared" si="185"/>
        <v>17.372581597377952</v>
      </c>
      <c r="ET51" s="109">
        <f t="shared" si="185"/>
        <v>6</v>
      </c>
      <c r="EU51" s="106"/>
      <c r="EV51" s="106"/>
      <c r="EW51" s="106"/>
      <c r="EX51" s="16" t="s">
        <v>33</v>
      </c>
      <c r="EY51" s="16">
        <v>43608</v>
      </c>
      <c r="EZ51" s="103">
        <v>12325589.702333063</v>
      </c>
      <c r="FA51" s="104">
        <v>3000000</v>
      </c>
      <c r="FF51" s="12" t="str">
        <f t="shared" si="186"/>
        <v>FY19</v>
      </c>
      <c r="FG51" s="12">
        <f t="shared" si="186"/>
        <v>43314</v>
      </c>
      <c r="FH51" s="109">
        <f t="shared" si="187"/>
        <v>47.637119898283515</v>
      </c>
      <c r="FI51" s="109">
        <f t="shared" si="187"/>
        <v>50</v>
      </c>
      <c r="FK51" s="106"/>
      <c r="FL51" s="106"/>
      <c r="FM51" s="12" t="str">
        <f t="shared" si="208"/>
        <v>FY19</v>
      </c>
      <c r="FN51" s="12">
        <f t="shared" si="208"/>
        <v>43300</v>
      </c>
      <c r="FO51" s="109">
        <f t="shared" si="209"/>
        <v>32.449661792752693</v>
      </c>
      <c r="FP51" s="109">
        <f t="shared" si="209"/>
        <v>30</v>
      </c>
      <c r="FR51" s="106"/>
      <c r="FS51" s="106"/>
      <c r="FT51" s="16" t="s">
        <v>39</v>
      </c>
      <c r="FU51" s="16">
        <v>43972</v>
      </c>
      <c r="FV51" s="103">
        <v>24236348.555792037</v>
      </c>
      <c r="FW51" s="104">
        <v>8000000</v>
      </c>
      <c r="GB51" s="12" t="str">
        <f t="shared" si="188"/>
        <v>FY20</v>
      </c>
      <c r="GC51" s="12">
        <f t="shared" si="188"/>
        <v>43678</v>
      </c>
      <c r="GD51" s="109">
        <f t="shared" si="189"/>
        <v>17.621573612228481</v>
      </c>
      <c r="GE51" s="109">
        <f t="shared" si="189"/>
        <v>8</v>
      </c>
      <c r="GG51" s="106"/>
      <c r="GH51" s="106"/>
      <c r="GI51" s="12" t="e">
        <f t="shared" si="210"/>
        <v>#N/A</v>
      </c>
      <c r="GJ51" s="12" t="e">
        <f t="shared" si="210"/>
        <v>#N/A</v>
      </c>
      <c r="GK51" s="109" t="e">
        <f t="shared" si="211"/>
        <v>#N/A</v>
      </c>
      <c r="GL51" s="109" t="e">
        <f t="shared" si="211"/>
        <v>#N/A</v>
      </c>
      <c r="GN51" s="106"/>
      <c r="GO51" s="106"/>
      <c r="GP51" s="16" t="s">
        <v>38</v>
      </c>
      <c r="GQ51" s="16">
        <v>44336</v>
      </c>
      <c r="GR51" s="103">
        <v>18569740.589844935</v>
      </c>
      <c r="GS51" s="104">
        <v>3000000</v>
      </c>
      <c r="GX51" s="12" t="str">
        <f t="shared" si="190"/>
        <v>FY21</v>
      </c>
      <c r="GY51" s="12">
        <f t="shared" si="190"/>
        <v>44042</v>
      </c>
      <c r="GZ51" s="109">
        <f t="shared" si="191"/>
        <v>44.346019337184551</v>
      </c>
      <c r="HA51" s="109">
        <f t="shared" si="191"/>
        <v>20</v>
      </c>
      <c r="HC51" s="106"/>
      <c r="HD51" s="106"/>
      <c r="HE51" s="16" t="s">
        <v>35</v>
      </c>
      <c r="HF51" s="16">
        <v>44700</v>
      </c>
      <c r="HG51" s="103">
        <v>116725204.01337792</v>
      </c>
      <c r="HH51" s="104">
        <v>80000000</v>
      </c>
      <c r="HM51" s="12" t="str">
        <f t="shared" si="192"/>
        <v>FY22</v>
      </c>
      <c r="HN51" s="12">
        <f t="shared" si="192"/>
        <v>44406</v>
      </c>
      <c r="HO51" s="109">
        <f t="shared" si="193"/>
        <v>57.263651200972937</v>
      </c>
      <c r="HP51" s="109">
        <f t="shared" si="193"/>
        <v>40</v>
      </c>
      <c r="HR51" s="106"/>
      <c r="HS51" s="106"/>
      <c r="HT51" s="12" t="str">
        <f t="shared" si="212"/>
        <v>FY22</v>
      </c>
      <c r="HU51" s="12">
        <f t="shared" si="212"/>
        <v>44392</v>
      </c>
      <c r="HV51" s="109">
        <f t="shared" si="213"/>
        <v>25.998846336272418</v>
      </c>
      <c r="HW51" s="109">
        <f t="shared" si="213"/>
        <v>8</v>
      </c>
      <c r="HY51" s="106"/>
      <c r="HZ51" s="106"/>
      <c r="IA51" s="16" t="s">
        <v>37</v>
      </c>
      <c r="IB51" s="16">
        <v>45071</v>
      </c>
      <c r="IC51" s="103">
        <v>30887849.079219788</v>
      </c>
      <c r="ID51" s="104">
        <v>12000000</v>
      </c>
      <c r="II51" s="40">
        <v>70</v>
      </c>
      <c r="IJ51" s="39">
        <f t="shared" si="214"/>
        <v>115586999.99999999</v>
      </c>
      <c r="IK51" s="40">
        <v>220</v>
      </c>
      <c r="IL51" s="39">
        <f t="shared" si="215"/>
        <v>295737000</v>
      </c>
      <c r="IN51" s="106"/>
      <c r="IO51" s="106"/>
      <c r="IP51" s="40">
        <v>70</v>
      </c>
      <c r="IQ51" s="39">
        <f t="shared" si="216"/>
        <v>115586999.99999999</v>
      </c>
      <c r="IR51" s="40">
        <v>220</v>
      </c>
      <c r="IS51" s="39">
        <f t="shared" si="217"/>
        <v>295737000</v>
      </c>
      <c r="IU51" s="106"/>
      <c r="IV51" s="106"/>
      <c r="IW51" s="16" t="s">
        <v>169</v>
      </c>
      <c r="IX51" s="12">
        <v>44336</v>
      </c>
      <c r="IY51" s="103">
        <v>18569740.589844935</v>
      </c>
      <c r="IZ51" s="104">
        <v>3000000</v>
      </c>
      <c r="JE51" s="40">
        <v>70</v>
      </c>
      <c r="JF51" s="39">
        <f t="shared" si="218"/>
        <v>115586999.99999999</v>
      </c>
      <c r="JG51" s="40">
        <v>220</v>
      </c>
      <c r="JH51" s="39">
        <f t="shared" si="219"/>
        <v>295737000</v>
      </c>
      <c r="JI51" s="39"/>
      <c r="JJ51" s="39"/>
      <c r="JL51" s="106"/>
      <c r="JM51" s="106"/>
      <c r="JN51" s="40">
        <v>70</v>
      </c>
      <c r="JO51" s="39">
        <f t="shared" si="220"/>
        <v>115586999.99999999</v>
      </c>
      <c r="JP51" s="40">
        <v>220</v>
      </c>
      <c r="JQ51" s="39">
        <f t="shared" si="221"/>
        <v>295737000</v>
      </c>
      <c r="JR51" s="39"/>
      <c r="JS51" s="39"/>
      <c r="JT51" s="39"/>
      <c r="JU51" s="39"/>
      <c r="JW51" s="106"/>
      <c r="JX51" s="106"/>
      <c r="NA51" s="16" t="s">
        <v>34</v>
      </c>
      <c r="NB51" s="16">
        <v>43160</v>
      </c>
      <c r="NC51" s="103">
        <v>21616100</v>
      </c>
      <c r="ND51" s="104">
        <v>10000000</v>
      </c>
      <c r="NI51" s="12" t="str">
        <f t="shared" si="198"/>
        <v>FY17</v>
      </c>
      <c r="NJ51" s="12">
        <f t="shared" si="194"/>
        <v>42866</v>
      </c>
      <c r="NK51" s="109">
        <f t="shared" si="199"/>
        <v>67.043239999999997</v>
      </c>
      <c r="NL51" s="109">
        <f t="shared" si="195"/>
        <v>50</v>
      </c>
      <c r="NN51" s="106"/>
      <c r="NP51" s="16" t="s">
        <v>33</v>
      </c>
      <c r="NQ51" s="16">
        <v>43531</v>
      </c>
      <c r="NR51" s="103">
        <v>12844326</v>
      </c>
      <c r="NS51" s="104">
        <v>3000000</v>
      </c>
      <c r="NX51" s="12" t="str">
        <f t="shared" si="200"/>
        <v>FY18</v>
      </c>
      <c r="NY51" s="12">
        <f t="shared" si="196"/>
        <v>43237</v>
      </c>
      <c r="NZ51" s="109">
        <f t="shared" si="201"/>
        <v>26.383103999999999</v>
      </c>
      <c r="OA51" s="109">
        <f t="shared" si="197"/>
        <v>20</v>
      </c>
      <c r="OC51" s="106"/>
    </row>
    <row r="52" spans="2:393" x14ac:dyDescent="0.25">
      <c r="B52" s="5"/>
      <c r="C52" s="5"/>
      <c r="D52" s="5"/>
      <c r="F52" s="58" t="s">
        <v>46</v>
      </c>
      <c r="G52" s="57"/>
      <c r="H52" s="57"/>
      <c r="I52" s="57"/>
      <c r="K52" s="7">
        <v>48</v>
      </c>
      <c r="M52" s="5" t="str" cm="1">
        <f t="array" ref="M52">LOOKUP(2,1/($G$19:$G$35&lt;=$V52)/($H$19:$H$35&gt;=$V52),$F$19:$F$35)</f>
        <v>1H18</v>
      </c>
      <c r="N52" s="5" t="str" cm="1">
        <f t="array" ref="N52">LOOKUP(2,1/($G$8:$G$16&lt;=$V52)/($H$8:$H$16&gt;=$V52),$F$8:$F$16)</f>
        <v>FY18</v>
      </c>
      <c r="O52" s="5" t="str">
        <f>IFERROR(N52&amp;"-"&amp;COUNTIF($N$19:N52,N52),NA())</f>
        <v>FY18-22</v>
      </c>
      <c r="P52" s="5">
        <f>COUNTIF(V$19:V52,"&gt;="&amp;MAX($V:$V)-183)</f>
        <v>0</v>
      </c>
      <c r="Q52" s="5">
        <f>COUNTIF(V$19:V52,"&gt;="&amp;MAX($V:$V)-365)</f>
        <v>0</v>
      </c>
      <c r="R52" s="5" cm="1">
        <f t="array" ref="R52">LOOKUP(2,1/($G$46:$G$50&lt;=$V52)/($H$46:$H$50&gt;=$V52),$F$46:$F$50)</f>
        <v>0</v>
      </c>
      <c r="S52" s="5" cm="1">
        <f t="array" ref="S52">LOOKUP(2,1/($G$53:$G$56&lt;=$V52)/($H$53:$H$56&gt;=$V52),$F$53:$F$56)</f>
        <v>0</v>
      </c>
      <c r="T52" s="5" t="e">
        <f>IFERROR(IF($R52&gt;0,$R52&amp;"-"&amp;COUNTIF($R$19:$R52,$R52),NA()),NA())</f>
        <v>#N/A</v>
      </c>
      <c r="U52" s="5" t="e">
        <f>IFERROR(IF($S52&gt;0,$S52&amp;"-"&amp;COUNTIF($S$19:$S52,$S52),NA()),NA())</f>
        <v>#N/A</v>
      </c>
      <c r="V52" s="10">
        <v>43069</v>
      </c>
      <c r="W52" s="101">
        <v>13093111.238571674</v>
      </c>
      <c r="X52" s="101">
        <v>12164154.996195013</v>
      </c>
      <c r="Y52" s="102">
        <v>3000000</v>
      </c>
      <c r="AA52" s="48" t="e">
        <f t="shared" si="170"/>
        <v>#N/A</v>
      </c>
      <c r="AB52" s="12" t="e">
        <f t="shared" si="151"/>
        <v>#N/A</v>
      </c>
      <c r="AC52" s="103" t="e">
        <f t="shared" si="152"/>
        <v>#N/A</v>
      </c>
      <c r="AD52" s="104" t="e">
        <f t="shared" si="153"/>
        <v>#N/A</v>
      </c>
      <c r="AI52" s="18">
        <f t="shared" si="172"/>
        <v>6</v>
      </c>
      <c r="AJ52" s="12">
        <f t="shared" si="172"/>
        <v>45057</v>
      </c>
      <c r="AK52" s="109">
        <f t="shared" si="173"/>
        <v>19.348700760109455</v>
      </c>
      <c r="AL52" s="109">
        <f t="shared" si="173"/>
        <v>4</v>
      </c>
      <c r="AN52" s="106"/>
      <c r="AO52" s="106"/>
      <c r="AP52" s="18">
        <f t="shared" si="202"/>
        <v>4</v>
      </c>
      <c r="AQ52" s="12">
        <f t="shared" si="202"/>
        <v>45043</v>
      </c>
      <c r="AR52" s="109">
        <f t="shared" si="203"/>
        <v>27.045895287321372</v>
      </c>
      <c r="AS52" s="109">
        <f t="shared" si="203"/>
        <v>8</v>
      </c>
      <c r="AU52" s="106"/>
      <c r="AW52" s="48">
        <f t="shared" si="171"/>
        <v>48</v>
      </c>
      <c r="AX52" s="12">
        <f t="shared" si="154"/>
        <v>45169</v>
      </c>
      <c r="AY52" s="103">
        <f t="shared" si="155"/>
        <v>59703342.595619485</v>
      </c>
      <c r="AZ52" s="104">
        <f t="shared" si="156"/>
        <v>40000000</v>
      </c>
      <c r="BF52" s="18">
        <f t="shared" si="174"/>
        <v>6</v>
      </c>
      <c r="BG52" s="12">
        <f t="shared" si="174"/>
        <v>44875</v>
      </c>
      <c r="BH52" s="109">
        <f t="shared" si="175"/>
        <v>44.321005290361803</v>
      </c>
      <c r="BI52" s="109">
        <f t="shared" si="175"/>
        <v>20</v>
      </c>
      <c r="BK52" s="106"/>
      <c r="BL52" s="106"/>
      <c r="BM52" s="18" t="e">
        <f t="shared" si="204"/>
        <v>#N/A</v>
      </c>
      <c r="BN52" s="12" t="e">
        <f t="shared" si="204"/>
        <v>#N/A</v>
      </c>
      <c r="BO52" s="109" t="e">
        <f t="shared" si="205"/>
        <v>#N/A</v>
      </c>
      <c r="BP52" s="109" t="e">
        <f t="shared" si="205"/>
        <v>#N/A</v>
      </c>
      <c r="BR52" s="106"/>
      <c r="BT52" s="48" t="e">
        <f t="shared" si="8"/>
        <v>#N/A</v>
      </c>
      <c r="BU52" s="12" t="e">
        <f t="shared" si="157"/>
        <v>#N/A</v>
      </c>
      <c r="BV52" s="103" t="e">
        <f t="shared" si="158"/>
        <v>#N/A</v>
      </c>
      <c r="BW52" s="104" t="e">
        <f t="shared" si="159"/>
        <v>#N/A</v>
      </c>
      <c r="CB52" s="18" t="str">
        <f t="shared" si="176"/>
        <v>N1-6</v>
      </c>
      <c r="CC52" s="12">
        <f t="shared" si="176"/>
        <v>44147</v>
      </c>
      <c r="CD52" s="109">
        <f t="shared" si="177"/>
        <v>17.49003441775616</v>
      </c>
      <c r="CE52" s="109">
        <f t="shared" si="177"/>
        <v>3</v>
      </c>
      <c r="CG52" s="106"/>
      <c r="CH52" s="106"/>
      <c r="CI52" s="48" t="e">
        <f t="shared" si="12"/>
        <v>#N/A</v>
      </c>
      <c r="CJ52" s="12" t="e">
        <f t="shared" si="160"/>
        <v>#N/A</v>
      </c>
      <c r="CK52" s="105" t="e">
        <f t="shared" si="161"/>
        <v>#N/A</v>
      </c>
      <c r="CL52" s="105" t="e">
        <f t="shared" si="162"/>
        <v>#N/A</v>
      </c>
      <c r="CQ52" s="18" t="str">
        <f t="shared" si="178"/>
        <v>A1-6</v>
      </c>
      <c r="CR52" s="12">
        <f t="shared" si="178"/>
        <v>44259</v>
      </c>
      <c r="CS52" s="109">
        <f t="shared" si="179"/>
        <v>37.058402918820313</v>
      </c>
      <c r="CT52" s="109">
        <f t="shared" si="179"/>
        <v>20</v>
      </c>
      <c r="CV52" s="106"/>
      <c r="CX52" s="48" t="e">
        <f t="shared" si="16"/>
        <v>#N/A</v>
      </c>
      <c r="CY52" s="12" t="e">
        <f t="shared" si="163"/>
        <v>#N/A</v>
      </c>
      <c r="CZ52" s="103" t="e">
        <f t="shared" si="164"/>
        <v>#N/A</v>
      </c>
      <c r="DA52" s="104" t="e">
        <f t="shared" si="165"/>
        <v>#N/A</v>
      </c>
      <c r="DF52" s="18" t="str">
        <f t="shared" si="180"/>
        <v>N2-6</v>
      </c>
      <c r="DG52" s="12">
        <f t="shared" si="180"/>
        <v>44742</v>
      </c>
      <c r="DH52" s="109">
        <f t="shared" si="181"/>
        <v>77.836461903314074</v>
      </c>
      <c r="DI52" s="109">
        <f t="shared" si="181"/>
        <v>60</v>
      </c>
      <c r="DK52" s="106"/>
      <c r="DL52" s="106"/>
      <c r="DM52" s="48" t="e">
        <f t="shared" si="20"/>
        <v>#N/A</v>
      </c>
      <c r="DN52" s="12" t="e">
        <f t="shared" si="166"/>
        <v>#N/A</v>
      </c>
      <c r="DO52" s="103" t="e">
        <f t="shared" si="167"/>
        <v>#N/A</v>
      </c>
      <c r="DP52" s="104" t="e">
        <f t="shared" si="168"/>
        <v>#N/A</v>
      </c>
      <c r="DU52" s="18" t="str">
        <f t="shared" si="182"/>
        <v>A2-6</v>
      </c>
      <c r="DV52" s="12">
        <f t="shared" si="182"/>
        <v>44854</v>
      </c>
      <c r="DW52" s="109">
        <f t="shared" si="183"/>
        <v>183.08447309212528</v>
      </c>
      <c r="DX52" s="109">
        <f t="shared" si="183"/>
        <v>100</v>
      </c>
      <c r="DZ52" s="106"/>
      <c r="EA52" s="106"/>
      <c r="EB52" s="12" t="str">
        <f t="shared" si="206"/>
        <v>A2-4</v>
      </c>
      <c r="EC52" s="12">
        <f t="shared" si="206"/>
        <v>44840</v>
      </c>
      <c r="ED52" s="109">
        <f t="shared" si="207"/>
        <v>47.423181270903001</v>
      </c>
      <c r="EE52" s="109">
        <f t="shared" si="207"/>
        <v>30</v>
      </c>
      <c r="EG52" s="106"/>
      <c r="EH52" s="106"/>
      <c r="EI52" s="47" t="str">
        <f t="shared" si="25"/>
        <v>FY18-48</v>
      </c>
      <c r="EJ52" s="46">
        <v>43251</v>
      </c>
      <c r="EK52" s="107">
        <v>46219221.614748873</v>
      </c>
      <c r="EL52" s="108">
        <f t="shared" si="169"/>
        <v>40000000</v>
      </c>
      <c r="EN52" s="1">
        <v>10</v>
      </c>
      <c r="EO52" s="56">
        <v>150</v>
      </c>
      <c r="EQ52" s="12" t="str">
        <f t="shared" si="184"/>
        <v>FY18-6</v>
      </c>
      <c r="ER52" s="12">
        <f t="shared" si="184"/>
        <v>42957</v>
      </c>
      <c r="ES52" s="109">
        <f t="shared" si="185"/>
        <v>13.797288766603414</v>
      </c>
      <c r="ET52" s="109">
        <f t="shared" si="185"/>
        <v>3</v>
      </c>
      <c r="EU52" s="106"/>
      <c r="EV52" s="106"/>
      <c r="EW52" s="106"/>
      <c r="EX52" s="16" t="s">
        <v>33</v>
      </c>
      <c r="EY52" s="16">
        <v>43615</v>
      </c>
      <c r="EZ52" s="103">
        <v>15336385.914969984</v>
      </c>
      <c r="FA52" s="104">
        <v>8000000</v>
      </c>
      <c r="FF52" s="12" t="str">
        <f t="shared" si="186"/>
        <v>FY19</v>
      </c>
      <c r="FG52" s="12">
        <f t="shared" si="186"/>
        <v>43321</v>
      </c>
      <c r="FH52" s="109">
        <f t="shared" si="187"/>
        <v>89.658851621106137</v>
      </c>
      <c r="FI52" s="109">
        <f t="shared" si="187"/>
        <v>80</v>
      </c>
      <c r="FK52" s="106"/>
      <c r="FL52" s="106"/>
      <c r="FM52" s="12" t="str">
        <f t="shared" si="208"/>
        <v>FY19</v>
      </c>
      <c r="FN52" s="12">
        <f t="shared" si="208"/>
        <v>43307</v>
      </c>
      <c r="FO52" s="109">
        <f t="shared" si="209"/>
        <v>38.67065225683406</v>
      </c>
      <c r="FP52" s="109">
        <f t="shared" si="209"/>
        <v>40</v>
      </c>
      <c r="FR52" s="106"/>
      <c r="FS52" s="106"/>
      <c r="FT52" s="16" t="s">
        <v>39</v>
      </c>
      <c r="FU52" s="16">
        <v>43979</v>
      </c>
      <c r="FV52" s="103">
        <v>37016112.131346919</v>
      </c>
      <c r="FW52" s="104">
        <v>15000000</v>
      </c>
      <c r="GB52" s="12" t="str">
        <f t="shared" si="188"/>
        <v>FY20</v>
      </c>
      <c r="GC52" s="12">
        <f t="shared" si="188"/>
        <v>43685</v>
      </c>
      <c r="GD52" s="109">
        <f t="shared" si="189"/>
        <v>22.977947397735008</v>
      </c>
      <c r="GE52" s="109">
        <f t="shared" si="189"/>
        <v>12</v>
      </c>
      <c r="GG52" s="106"/>
      <c r="GH52" s="106"/>
      <c r="GI52" s="12" t="str">
        <f t="shared" si="210"/>
        <v>FY20</v>
      </c>
      <c r="GJ52" s="12">
        <f t="shared" si="210"/>
        <v>43671</v>
      </c>
      <c r="GK52" s="109">
        <f t="shared" si="211"/>
        <v>14.254130329847143</v>
      </c>
      <c r="GL52" s="109">
        <f t="shared" si="211"/>
        <v>3</v>
      </c>
      <c r="GN52" s="106"/>
      <c r="GO52" s="106"/>
      <c r="GP52" s="16" t="s">
        <v>38</v>
      </c>
      <c r="GQ52" s="16">
        <v>44343</v>
      </c>
      <c r="GR52" s="103">
        <v>25429040.072970506</v>
      </c>
      <c r="GS52" s="104">
        <v>8000000</v>
      </c>
      <c r="GX52" s="12" t="str">
        <f t="shared" si="190"/>
        <v>FY21</v>
      </c>
      <c r="GY52" s="12">
        <f t="shared" si="190"/>
        <v>44049</v>
      </c>
      <c r="GZ52" s="109">
        <f t="shared" si="191"/>
        <v>19.730848282152632</v>
      </c>
      <c r="HA52" s="109">
        <f t="shared" si="191"/>
        <v>3</v>
      </c>
      <c r="HC52" s="106"/>
      <c r="HD52" s="106"/>
      <c r="HE52" s="16" t="s">
        <v>35</v>
      </c>
      <c r="HF52" s="16">
        <v>44707</v>
      </c>
      <c r="HG52" s="103">
        <v>21016983.155974455</v>
      </c>
      <c r="HH52" s="104">
        <v>4000000</v>
      </c>
      <c r="HM52" s="12" t="str">
        <f t="shared" si="192"/>
        <v>FY22</v>
      </c>
      <c r="HN52" s="12">
        <f t="shared" si="192"/>
        <v>44413</v>
      </c>
      <c r="HO52" s="109">
        <f t="shared" si="193"/>
        <v>80.09238577075098</v>
      </c>
      <c r="HP52" s="109">
        <f t="shared" si="193"/>
        <v>60</v>
      </c>
      <c r="HR52" s="106"/>
      <c r="HS52" s="106"/>
      <c r="HT52" s="12" t="str">
        <f t="shared" si="212"/>
        <v>FY22</v>
      </c>
      <c r="HU52" s="12">
        <f t="shared" si="212"/>
        <v>44399</v>
      </c>
      <c r="HV52" s="109">
        <f t="shared" si="213"/>
        <v>41.039352751596226</v>
      </c>
      <c r="HW52" s="109">
        <f t="shared" si="213"/>
        <v>20</v>
      </c>
      <c r="HY52" s="106"/>
      <c r="HZ52" s="106"/>
      <c r="IA52" s="16" t="s">
        <v>37</v>
      </c>
      <c r="IB52" s="16">
        <v>45078</v>
      </c>
      <c r="IC52" s="103">
        <v>40719506.810504526</v>
      </c>
      <c r="ID52" s="104">
        <v>20000000</v>
      </c>
      <c r="II52" s="40">
        <v>80</v>
      </c>
      <c r="IJ52" s="39">
        <f t="shared" si="214"/>
        <v>135297000</v>
      </c>
      <c r="IK52" s="40">
        <v>230</v>
      </c>
      <c r="IL52" s="39">
        <f t="shared" si="215"/>
        <v>284546999.99999994</v>
      </c>
      <c r="IN52" s="106"/>
      <c r="IO52" s="106"/>
      <c r="IP52" s="40">
        <v>80</v>
      </c>
      <c r="IQ52" s="39">
        <f t="shared" si="216"/>
        <v>135297000</v>
      </c>
      <c r="IR52" s="40">
        <v>230</v>
      </c>
      <c r="IS52" s="39">
        <f t="shared" si="217"/>
        <v>284546999.99999994</v>
      </c>
      <c r="IU52" s="106"/>
      <c r="IV52" s="106"/>
      <c r="IW52" s="16" t="s">
        <v>169</v>
      </c>
      <c r="IX52" s="12">
        <v>44343</v>
      </c>
      <c r="IY52" s="103">
        <v>25429040.072970506</v>
      </c>
      <c r="IZ52" s="104">
        <v>8000000</v>
      </c>
      <c r="JE52" s="40">
        <v>80</v>
      </c>
      <c r="JF52" s="39">
        <f t="shared" si="218"/>
        <v>135297000</v>
      </c>
      <c r="JG52" s="40">
        <v>230</v>
      </c>
      <c r="JH52" s="39">
        <f t="shared" si="219"/>
        <v>284546999.99999994</v>
      </c>
      <c r="JI52" s="39"/>
      <c r="JJ52" s="39"/>
      <c r="JL52" s="106"/>
      <c r="JM52" s="106"/>
      <c r="JN52" s="40">
        <v>80</v>
      </c>
      <c r="JO52" s="39">
        <f t="shared" si="220"/>
        <v>135297000</v>
      </c>
      <c r="JP52" s="40">
        <v>230</v>
      </c>
      <c r="JQ52" s="39">
        <f t="shared" si="221"/>
        <v>284546999.99999994</v>
      </c>
      <c r="JR52" s="39"/>
      <c r="JS52" s="39"/>
      <c r="JT52" s="39"/>
      <c r="JU52" s="39"/>
      <c r="JW52" s="106"/>
      <c r="JX52" s="106"/>
      <c r="NA52" s="16" t="s">
        <v>34</v>
      </c>
      <c r="NB52" s="16">
        <v>43167</v>
      </c>
      <c r="NC52" s="103">
        <v>27324110</v>
      </c>
      <c r="ND52" s="104">
        <v>15000000</v>
      </c>
      <c r="NI52" s="12" t="str">
        <f t="shared" si="198"/>
        <v>FY17</v>
      </c>
      <c r="NJ52" s="12">
        <f t="shared" si="194"/>
        <v>42873</v>
      </c>
      <c r="NK52" s="109">
        <f t="shared" si="199"/>
        <v>13.68488</v>
      </c>
      <c r="NL52" s="109">
        <f t="shared" si="195"/>
        <v>3</v>
      </c>
      <c r="NN52" s="106"/>
      <c r="NP52" s="16" t="s">
        <v>33</v>
      </c>
      <c r="NQ52" s="16">
        <v>43538</v>
      </c>
      <c r="NR52" s="103">
        <v>16368594</v>
      </c>
      <c r="NS52" s="104">
        <v>8000000</v>
      </c>
      <c r="NX52" s="12" t="str">
        <f t="shared" si="200"/>
        <v>FY18</v>
      </c>
      <c r="NY52" s="12">
        <f t="shared" si="196"/>
        <v>43244</v>
      </c>
      <c r="NZ52" s="109">
        <f t="shared" si="201"/>
        <v>36.245220000000003</v>
      </c>
      <c r="OA52" s="109">
        <f t="shared" si="197"/>
        <v>30</v>
      </c>
      <c r="OC52" s="106"/>
    </row>
    <row r="53" spans="2:393" x14ac:dyDescent="0.25">
      <c r="B53" s="5"/>
      <c r="C53" s="5"/>
      <c r="D53" s="5"/>
      <c r="F53" s="5">
        <v>0</v>
      </c>
      <c r="G53" s="53">
        <v>42736</v>
      </c>
      <c r="H53" s="51">
        <f>G54-7</f>
        <v>44700</v>
      </c>
      <c r="I53" s="50"/>
      <c r="K53" s="7">
        <v>49</v>
      </c>
      <c r="M53" s="5" t="str" cm="1">
        <f t="array" ref="M53">LOOKUP(2,1/($G$19:$G$35&lt;=$V53)/($H$19:$H$35&gt;=$V53),$F$19:$F$35)</f>
        <v>1H18</v>
      </c>
      <c r="N53" s="5" t="str" cm="1">
        <f t="array" ref="N53">LOOKUP(2,1/($G$8:$G$16&lt;=$V53)/($H$8:$H$16&gt;=$V53),$F$8:$F$16)</f>
        <v>FY18</v>
      </c>
      <c r="O53" s="5" t="str">
        <f>IFERROR(N53&amp;"-"&amp;COUNTIF($N$19:N53,N53),NA())</f>
        <v>FY18-23</v>
      </c>
      <c r="P53" s="5">
        <f>COUNTIF(V$19:V53,"&gt;="&amp;MAX($V:$V)-183)</f>
        <v>0</v>
      </c>
      <c r="Q53" s="5">
        <f>COUNTIF(V$19:V53,"&gt;="&amp;MAX($V:$V)-365)</f>
        <v>0</v>
      </c>
      <c r="R53" s="5" cm="1">
        <f t="array" ref="R53">LOOKUP(2,1/($G$46:$G$50&lt;=$V53)/($H$46:$H$50&gt;=$V53),$F$46:$F$50)</f>
        <v>0</v>
      </c>
      <c r="S53" s="5" cm="1">
        <f t="array" ref="S53">LOOKUP(2,1/($G$53:$G$56&lt;=$V53)/($H$53:$H$56&gt;=$V53),$F$53:$F$56)</f>
        <v>0</v>
      </c>
      <c r="T53" s="5" t="e">
        <f>IFERROR(IF($R53&gt;0,$R53&amp;"-"&amp;COUNTIF($R$19:$R53,$R53),NA()),NA())</f>
        <v>#N/A</v>
      </c>
      <c r="U53" s="5" t="e">
        <f>IFERROR(IF($S53&gt;0,$S53&amp;"-"&amp;COUNTIF($S$19:$S53,$S53),NA()),NA())</f>
        <v>#N/A</v>
      </c>
      <c r="V53" s="10">
        <v>43076</v>
      </c>
      <c r="W53" s="101">
        <v>17159375.04916336</v>
      </c>
      <c r="X53" s="101">
        <v>15941917.389425218</v>
      </c>
      <c r="Y53" s="102">
        <v>6000000</v>
      </c>
      <c r="AA53" s="48" t="e">
        <f t="shared" si="170"/>
        <v>#N/A</v>
      </c>
      <c r="AB53" s="12" t="e">
        <f t="shared" si="151"/>
        <v>#N/A</v>
      </c>
      <c r="AC53" s="103" t="e">
        <f t="shared" si="152"/>
        <v>#N/A</v>
      </c>
      <c r="AD53" s="104" t="e">
        <f t="shared" si="153"/>
        <v>#N/A</v>
      </c>
      <c r="AI53" s="18">
        <f t="shared" si="172"/>
        <v>7</v>
      </c>
      <c r="AJ53" s="12">
        <f t="shared" si="172"/>
        <v>45064</v>
      </c>
      <c r="AK53" s="109">
        <f t="shared" si="173"/>
        <v>19.409982487078139</v>
      </c>
      <c r="AL53" s="109">
        <f t="shared" si="173"/>
        <v>4</v>
      </c>
      <c r="AN53" s="106"/>
      <c r="AO53" s="106"/>
      <c r="AP53" s="18">
        <f t="shared" si="202"/>
        <v>5</v>
      </c>
      <c r="AQ53" s="12">
        <f t="shared" si="202"/>
        <v>45050</v>
      </c>
      <c r="AR53" s="109">
        <f t="shared" si="203"/>
        <v>41.813564487686222</v>
      </c>
      <c r="AS53" s="109">
        <f t="shared" si="203"/>
        <v>20</v>
      </c>
      <c r="AU53" s="106"/>
      <c r="AW53" s="48">
        <f t="shared" si="171"/>
        <v>49</v>
      </c>
      <c r="AX53" s="12">
        <f t="shared" si="154"/>
        <v>45176</v>
      </c>
      <c r="AY53" s="103">
        <f t="shared" si="155"/>
        <v>20222166.06734227</v>
      </c>
      <c r="AZ53" s="104">
        <f t="shared" si="156"/>
        <v>4000000</v>
      </c>
      <c r="BF53" s="18">
        <f t="shared" si="174"/>
        <v>7</v>
      </c>
      <c r="BG53" s="12">
        <f t="shared" si="174"/>
        <v>44882</v>
      </c>
      <c r="BH53" s="109">
        <f t="shared" si="175"/>
        <v>51.026175372453629</v>
      </c>
      <c r="BI53" s="109">
        <f t="shared" si="175"/>
        <v>30</v>
      </c>
      <c r="BK53" s="106"/>
      <c r="BL53" s="106"/>
      <c r="BM53" s="18">
        <f t="shared" si="204"/>
        <v>5</v>
      </c>
      <c r="BN53" s="12">
        <f t="shared" si="204"/>
        <v>44868</v>
      </c>
      <c r="BO53" s="109">
        <f t="shared" si="205"/>
        <v>27.003392885375497</v>
      </c>
      <c r="BP53" s="109">
        <f t="shared" si="205"/>
        <v>8</v>
      </c>
      <c r="BR53" s="106"/>
      <c r="BT53" s="48" t="e">
        <f t="shared" si="8"/>
        <v>#N/A</v>
      </c>
      <c r="BU53" s="12" t="e">
        <f t="shared" si="157"/>
        <v>#N/A</v>
      </c>
      <c r="BV53" s="103" t="e">
        <f t="shared" si="158"/>
        <v>#N/A</v>
      </c>
      <c r="BW53" s="104" t="e">
        <f t="shared" si="159"/>
        <v>#N/A</v>
      </c>
      <c r="CB53" s="18" t="str">
        <f t="shared" si="176"/>
        <v>N1-7</v>
      </c>
      <c r="CC53" s="12">
        <f t="shared" si="176"/>
        <v>44154</v>
      </c>
      <c r="CD53" s="109">
        <f t="shared" si="177"/>
        <v>23.485624323502588</v>
      </c>
      <c r="CE53" s="109">
        <f t="shared" si="177"/>
        <v>8</v>
      </c>
      <c r="CG53" s="106"/>
      <c r="CH53" s="106"/>
      <c r="CI53" s="48" t="e">
        <f t="shared" si="12"/>
        <v>#N/A</v>
      </c>
      <c r="CJ53" s="12" t="e">
        <f t="shared" si="160"/>
        <v>#N/A</v>
      </c>
      <c r="CK53" s="105" t="e">
        <f t="shared" si="161"/>
        <v>#N/A</v>
      </c>
      <c r="CL53" s="105" t="e">
        <f t="shared" si="162"/>
        <v>#N/A</v>
      </c>
      <c r="CQ53" s="18" t="str">
        <f t="shared" si="178"/>
        <v>A1-7</v>
      </c>
      <c r="CR53" s="12">
        <f t="shared" si="178"/>
        <v>44266</v>
      </c>
      <c r="CS53" s="109">
        <f t="shared" si="179"/>
        <v>45.393461356035267</v>
      </c>
      <c r="CT53" s="109">
        <f t="shared" si="179"/>
        <v>30</v>
      </c>
      <c r="CV53" s="106"/>
      <c r="CX53" s="48" t="e">
        <f t="shared" si="16"/>
        <v>#N/A</v>
      </c>
      <c r="CY53" s="12" t="e">
        <f t="shared" si="163"/>
        <v>#N/A</v>
      </c>
      <c r="CZ53" s="103" t="e">
        <f t="shared" si="164"/>
        <v>#N/A</v>
      </c>
      <c r="DA53" s="104" t="e">
        <f t="shared" si="165"/>
        <v>#N/A</v>
      </c>
      <c r="DF53" s="18" t="str">
        <f t="shared" si="180"/>
        <v>N2-7</v>
      </c>
      <c r="DG53" s="12">
        <f t="shared" si="180"/>
        <v>44749</v>
      </c>
      <c r="DH53" s="109">
        <f t="shared" si="181"/>
        <v>20.096787838248709</v>
      </c>
      <c r="DI53" s="109">
        <f t="shared" si="181"/>
        <v>4</v>
      </c>
      <c r="DK53" s="106"/>
      <c r="DL53" s="106"/>
      <c r="DM53" s="48" t="e">
        <f t="shared" si="20"/>
        <v>#N/A</v>
      </c>
      <c r="DN53" s="12" t="e">
        <f t="shared" si="166"/>
        <v>#N/A</v>
      </c>
      <c r="DO53" s="103" t="e">
        <f t="shared" si="167"/>
        <v>#N/A</v>
      </c>
      <c r="DP53" s="104" t="e">
        <f t="shared" si="168"/>
        <v>#N/A</v>
      </c>
      <c r="DU53" s="18" t="str">
        <f t="shared" si="182"/>
        <v>A2-7</v>
      </c>
      <c r="DV53" s="12">
        <f t="shared" si="182"/>
        <v>44861</v>
      </c>
      <c r="DW53" s="109">
        <f t="shared" si="183"/>
        <v>284.83741380358765</v>
      </c>
      <c r="DX53" s="109">
        <f t="shared" si="183"/>
        <v>160</v>
      </c>
      <c r="DZ53" s="106"/>
      <c r="EA53" s="106"/>
      <c r="EB53" s="12" t="str">
        <f t="shared" si="206"/>
        <v>A2-5</v>
      </c>
      <c r="EC53" s="12">
        <f t="shared" si="206"/>
        <v>44847</v>
      </c>
      <c r="ED53" s="109">
        <f t="shared" si="207"/>
        <v>77.692655761629666</v>
      </c>
      <c r="EE53" s="109">
        <f t="shared" si="207"/>
        <v>50</v>
      </c>
      <c r="EG53" s="106"/>
      <c r="EH53" s="106"/>
      <c r="EI53" s="47" t="str">
        <f t="shared" si="25"/>
        <v>FY18-49</v>
      </c>
      <c r="EJ53" s="46">
        <v>43258</v>
      </c>
      <c r="EK53" s="107">
        <v>56921146.598855674</v>
      </c>
      <c r="EL53" s="108">
        <f t="shared" si="169"/>
        <v>50000000</v>
      </c>
      <c r="EQ53" s="12" t="str">
        <f t="shared" si="184"/>
        <v>FY18-7</v>
      </c>
      <c r="ER53" s="12">
        <f t="shared" si="184"/>
        <v>42964</v>
      </c>
      <c r="ES53" s="109">
        <f t="shared" si="185"/>
        <v>13.187465068138691</v>
      </c>
      <c r="ET53" s="109">
        <f t="shared" si="185"/>
        <v>3</v>
      </c>
      <c r="EU53" s="106"/>
      <c r="EV53" s="106"/>
      <c r="EW53" s="106"/>
      <c r="EX53" s="16" t="s">
        <v>33</v>
      </c>
      <c r="EY53" s="16">
        <v>43622</v>
      </c>
      <c r="EZ53" s="103">
        <v>18797418.899684388</v>
      </c>
      <c r="FA53" s="104">
        <v>12000000</v>
      </c>
      <c r="FF53" s="12" t="str">
        <f t="shared" si="186"/>
        <v>FY19</v>
      </c>
      <c r="FG53" s="12">
        <f t="shared" si="186"/>
        <v>43328</v>
      </c>
      <c r="FH53" s="109">
        <f t="shared" si="187"/>
        <v>169.38423649078192</v>
      </c>
      <c r="FI53" s="109">
        <f t="shared" si="187"/>
        <v>100</v>
      </c>
      <c r="FK53" s="106"/>
      <c r="FL53" s="106"/>
      <c r="FM53" s="12" t="str">
        <f t="shared" si="208"/>
        <v>FY19</v>
      </c>
      <c r="FN53" s="12">
        <f t="shared" si="208"/>
        <v>43314</v>
      </c>
      <c r="FO53" s="109">
        <f t="shared" si="209"/>
        <v>47.637119898283515</v>
      </c>
      <c r="FP53" s="109">
        <f t="shared" si="209"/>
        <v>50</v>
      </c>
      <c r="FR53" s="106"/>
      <c r="FS53" s="106"/>
      <c r="FT53" s="16" t="s">
        <v>39</v>
      </c>
      <c r="FU53" s="16">
        <v>43986</v>
      </c>
      <c r="FV53" s="103">
        <v>18066079.416235939</v>
      </c>
      <c r="FW53" s="104">
        <v>3000000</v>
      </c>
      <c r="GB53" s="12" t="str">
        <f t="shared" si="188"/>
        <v>FY20</v>
      </c>
      <c r="GC53" s="12">
        <f t="shared" si="188"/>
        <v>43692</v>
      </c>
      <c r="GD53" s="109">
        <f t="shared" si="189"/>
        <v>29.967446995482394</v>
      </c>
      <c r="GE53" s="109">
        <f t="shared" si="189"/>
        <v>20</v>
      </c>
      <c r="GG53" s="106"/>
      <c r="GH53" s="106"/>
      <c r="GI53" s="12" t="str">
        <f t="shared" si="210"/>
        <v>FY20</v>
      </c>
      <c r="GJ53" s="12">
        <f t="shared" si="210"/>
        <v>43678</v>
      </c>
      <c r="GK53" s="109">
        <f t="shared" si="211"/>
        <v>17.621573612228481</v>
      </c>
      <c r="GL53" s="109">
        <f t="shared" si="211"/>
        <v>8</v>
      </c>
      <c r="GN53" s="106"/>
      <c r="GO53" s="106"/>
      <c r="GP53" s="16" t="s">
        <v>38</v>
      </c>
      <c r="GQ53" s="16">
        <v>44350</v>
      </c>
      <c r="GR53" s="103">
        <v>17730661.964122836</v>
      </c>
      <c r="GS53" s="104">
        <v>3000000</v>
      </c>
      <c r="GX53" s="12" t="str">
        <f t="shared" si="190"/>
        <v>FY21</v>
      </c>
      <c r="GY53" s="12">
        <f t="shared" si="190"/>
        <v>44056</v>
      </c>
      <c r="GZ53" s="109">
        <f t="shared" si="191"/>
        <v>26.811783764062021</v>
      </c>
      <c r="HA53" s="109">
        <f t="shared" si="191"/>
        <v>8</v>
      </c>
      <c r="HC53" s="106"/>
      <c r="HD53" s="106"/>
      <c r="HE53" s="16" t="s">
        <v>35</v>
      </c>
      <c r="HF53" s="16">
        <v>44714</v>
      </c>
      <c r="HG53" s="103">
        <v>21125759.318941928</v>
      </c>
      <c r="HH53" s="104">
        <v>4000000</v>
      </c>
      <c r="HM53" s="12" t="str">
        <f t="shared" si="192"/>
        <v>FY22</v>
      </c>
      <c r="HN53" s="12">
        <f t="shared" si="192"/>
        <v>44420</v>
      </c>
      <c r="HO53" s="109">
        <f t="shared" si="193"/>
        <v>125.40573986013986</v>
      </c>
      <c r="HP53" s="109">
        <f t="shared" si="193"/>
        <v>80</v>
      </c>
      <c r="HR53" s="106"/>
      <c r="HS53" s="106"/>
      <c r="HT53" s="12" t="str">
        <f t="shared" si="212"/>
        <v>FY22</v>
      </c>
      <c r="HU53" s="12">
        <f t="shared" si="212"/>
        <v>44406</v>
      </c>
      <c r="HV53" s="109">
        <f t="shared" si="213"/>
        <v>57.263651200972937</v>
      </c>
      <c r="HW53" s="109">
        <f t="shared" si="213"/>
        <v>40</v>
      </c>
      <c r="HY53" s="106"/>
      <c r="HZ53" s="106"/>
      <c r="IA53" s="16" t="s">
        <v>37</v>
      </c>
      <c r="IB53" s="16">
        <v>45085</v>
      </c>
      <c r="IC53" s="103">
        <v>56400732.701318517</v>
      </c>
      <c r="ID53" s="104">
        <v>40000000</v>
      </c>
      <c r="II53" s="40">
        <v>90</v>
      </c>
      <c r="IJ53" s="39">
        <f t="shared" si="214"/>
        <v>155466999.99999997</v>
      </c>
      <c r="IK53" s="40">
        <v>240</v>
      </c>
      <c r="IL53" s="39">
        <f t="shared" si="215"/>
        <v>268416999.99999991</v>
      </c>
      <c r="IN53" s="106"/>
      <c r="IO53" s="106"/>
      <c r="IP53" s="40">
        <v>90</v>
      </c>
      <c r="IQ53" s="39">
        <f t="shared" si="216"/>
        <v>155466999.99999997</v>
      </c>
      <c r="IR53" s="40">
        <v>240</v>
      </c>
      <c r="IS53" s="39">
        <f t="shared" si="217"/>
        <v>268416999.99999991</v>
      </c>
      <c r="IU53" s="106"/>
      <c r="IV53" s="106"/>
      <c r="IW53" s="16" t="s">
        <v>169</v>
      </c>
      <c r="IX53" s="12">
        <v>44350</v>
      </c>
      <c r="IY53" s="103">
        <v>17730661.964122836</v>
      </c>
      <c r="IZ53" s="104">
        <v>3000000</v>
      </c>
      <c r="JE53" s="40">
        <v>90</v>
      </c>
      <c r="JF53" s="39">
        <f t="shared" si="218"/>
        <v>155466999.99999997</v>
      </c>
      <c r="JG53" s="40">
        <v>240</v>
      </c>
      <c r="JH53" s="39">
        <f t="shared" si="219"/>
        <v>268416999.99999991</v>
      </c>
      <c r="JI53" s="39"/>
      <c r="JJ53" s="39"/>
      <c r="JL53" s="106"/>
      <c r="JM53" s="106"/>
      <c r="JN53" s="40">
        <v>90</v>
      </c>
      <c r="JO53" s="39">
        <f t="shared" si="220"/>
        <v>155466999.99999997</v>
      </c>
      <c r="JP53" s="40">
        <v>240</v>
      </c>
      <c r="JQ53" s="39">
        <f t="shared" si="221"/>
        <v>268416999.99999991</v>
      </c>
      <c r="JR53" s="39"/>
      <c r="JS53" s="39"/>
      <c r="JT53" s="39"/>
      <c r="JU53" s="39"/>
      <c r="JW53" s="106"/>
      <c r="JX53" s="106"/>
      <c r="NA53" s="16" t="s">
        <v>34</v>
      </c>
      <c r="NB53" s="16">
        <v>43174</v>
      </c>
      <c r="NC53" s="103">
        <v>41905380</v>
      </c>
      <c r="ND53" s="104">
        <v>30000000</v>
      </c>
      <c r="NI53" s="12" t="str">
        <f t="shared" si="198"/>
        <v>FY17</v>
      </c>
      <c r="NJ53" s="12">
        <f t="shared" si="194"/>
        <v>42880</v>
      </c>
      <c r="NK53" s="109">
        <f t="shared" si="199"/>
        <v>16.170660000000002</v>
      </c>
      <c r="NL53" s="109">
        <f t="shared" si="195"/>
        <v>6</v>
      </c>
      <c r="NN53" s="106"/>
      <c r="NP53" s="16" t="s">
        <v>33</v>
      </c>
      <c r="NQ53" s="16">
        <v>43545</v>
      </c>
      <c r="NR53" s="103">
        <v>21428220</v>
      </c>
      <c r="NS53" s="104">
        <v>12000000</v>
      </c>
      <c r="NX53" s="12" t="str">
        <f t="shared" si="200"/>
        <v>FY18</v>
      </c>
      <c r="NY53" s="12">
        <f t="shared" si="196"/>
        <v>43251</v>
      </c>
      <c r="NZ53" s="109">
        <f t="shared" si="201"/>
        <v>46.268706000000002</v>
      </c>
      <c r="OA53" s="109">
        <f t="shared" si="197"/>
        <v>40</v>
      </c>
      <c r="OC53" s="106"/>
    </row>
    <row r="54" spans="2:393" x14ac:dyDescent="0.25">
      <c r="B54" s="5"/>
      <c r="C54" s="5"/>
      <c r="D54" s="5"/>
      <c r="F54" s="5" t="s">
        <v>45</v>
      </c>
      <c r="G54" s="51">
        <f>H54-(I55-1)*7</f>
        <v>44707</v>
      </c>
      <c r="H54" s="51">
        <f>G55-7</f>
        <v>44812</v>
      </c>
      <c r="I54" s="50">
        <f>INT((WEEKDAY($G54-5)-$G54+$H54)/7)</f>
        <v>16</v>
      </c>
      <c r="K54" s="7">
        <v>50</v>
      </c>
      <c r="M54" s="5" t="str" cm="1">
        <f t="array" ref="M54">LOOKUP(2,1/($G$19:$G$35&lt;=$V54)/($H$19:$H$35&gt;=$V54),$F$19:$F$35)</f>
        <v>1H18</v>
      </c>
      <c r="N54" s="5" t="str" cm="1">
        <f t="array" ref="N54">LOOKUP(2,1/($G$8:$G$16&lt;=$V54)/($H$8:$H$16&gt;=$V54),$F$8:$F$16)</f>
        <v>FY18</v>
      </c>
      <c r="O54" s="5" t="str">
        <f>IFERROR(N54&amp;"-"&amp;COUNTIF($N$19:N54,N54),NA())</f>
        <v>FY18-24</v>
      </c>
      <c r="P54" s="5">
        <f>COUNTIF(V$19:V54,"&gt;="&amp;MAX($V:$V)-183)</f>
        <v>0</v>
      </c>
      <c r="Q54" s="5">
        <f>COUNTIF(V$19:V54,"&gt;="&amp;MAX($V:$V)-365)</f>
        <v>0</v>
      </c>
      <c r="R54" s="5" cm="1">
        <f t="array" ref="R54">LOOKUP(2,1/($G$46:$G$50&lt;=$V54)/($H$46:$H$50&gt;=$V54),$F$46:$F$50)</f>
        <v>0</v>
      </c>
      <c r="S54" s="5" cm="1">
        <f t="array" ref="S54">LOOKUP(2,1/($G$53:$G$56&lt;=$V54)/($H$53:$H$56&gt;=$V54),$F$53:$F$56)</f>
        <v>0</v>
      </c>
      <c r="T54" s="5" t="e">
        <f>IFERROR(IF($R54&gt;0,$R54&amp;"-"&amp;COUNTIF($R$19:$R54,$R54),NA()),NA())</f>
        <v>#N/A</v>
      </c>
      <c r="U54" s="5" t="e">
        <f>IFERROR(IF($S54&gt;0,$S54&amp;"-"&amp;COUNTIF($S$19:$S54,$S54),NA()),NA())</f>
        <v>#N/A</v>
      </c>
      <c r="V54" s="10">
        <v>43083</v>
      </c>
      <c r="W54" s="101">
        <v>19518000.077626355</v>
      </c>
      <c r="X54" s="101">
        <v>18133197.972118765</v>
      </c>
      <c r="Y54" s="102">
        <v>10000000</v>
      </c>
      <c r="AA54" s="48" t="e">
        <f t="shared" si="170"/>
        <v>#N/A</v>
      </c>
      <c r="AB54" s="12" t="e">
        <f t="shared" si="151"/>
        <v>#N/A</v>
      </c>
      <c r="AC54" s="103" t="e">
        <f t="shared" si="152"/>
        <v>#N/A</v>
      </c>
      <c r="AD54" s="104" t="e">
        <f t="shared" si="153"/>
        <v>#N/A</v>
      </c>
      <c r="AI54" s="18">
        <f t="shared" si="172"/>
        <v>8</v>
      </c>
      <c r="AJ54" s="12">
        <f t="shared" si="172"/>
        <v>45071</v>
      </c>
      <c r="AK54" s="109">
        <f t="shared" si="173"/>
        <v>30.887849079219787</v>
      </c>
      <c r="AL54" s="109">
        <f t="shared" si="173"/>
        <v>12</v>
      </c>
      <c r="AN54" s="106"/>
      <c r="AO54" s="106"/>
      <c r="AP54" s="18">
        <f t="shared" si="202"/>
        <v>6</v>
      </c>
      <c r="AQ54" s="12">
        <f t="shared" si="202"/>
        <v>45057</v>
      </c>
      <c r="AR54" s="109">
        <f t="shared" si="203"/>
        <v>19.348700760109455</v>
      </c>
      <c r="AS54" s="109">
        <f t="shared" si="203"/>
        <v>4</v>
      </c>
      <c r="AU54" s="106"/>
      <c r="AW54" s="48">
        <f t="shared" si="171"/>
        <v>50</v>
      </c>
      <c r="AX54" s="12">
        <f t="shared" si="154"/>
        <v>45183</v>
      </c>
      <c r="AY54" s="103">
        <f t="shared" si="155"/>
        <v>32237415.277323749</v>
      </c>
      <c r="AZ54" s="104">
        <f t="shared" si="156"/>
        <v>12000000</v>
      </c>
      <c r="BF54" s="18">
        <f t="shared" si="174"/>
        <v>8</v>
      </c>
      <c r="BG54" s="12">
        <f t="shared" si="174"/>
        <v>44889</v>
      </c>
      <c r="BH54" s="109">
        <f t="shared" si="175"/>
        <v>71.266594101550623</v>
      </c>
      <c r="BI54" s="109">
        <f t="shared" si="175"/>
        <v>50</v>
      </c>
      <c r="BK54" s="106"/>
      <c r="BL54" s="106"/>
      <c r="BM54" s="18">
        <f t="shared" si="204"/>
        <v>6</v>
      </c>
      <c r="BN54" s="12">
        <f t="shared" si="204"/>
        <v>44875</v>
      </c>
      <c r="BO54" s="109">
        <f t="shared" si="205"/>
        <v>44.321005290361803</v>
      </c>
      <c r="BP54" s="109">
        <f t="shared" si="205"/>
        <v>20</v>
      </c>
      <c r="BR54" s="106"/>
      <c r="BT54" s="48" t="e">
        <f t="shared" si="8"/>
        <v>#N/A</v>
      </c>
      <c r="BU54" s="12" t="e">
        <f t="shared" si="157"/>
        <v>#N/A</v>
      </c>
      <c r="BV54" s="103" t="e">
        <f t="shared" si="158"/>
        <v>#N/A</v>
      </c>
      <c r="BW54" s="104" t="e">
        <f t="shared" si="159"/>
        <v>#N/A</v>
      </c>
      <c r="CB54" s="18" t="str">
        <f t="shared" si="176"/>
        <v>N1-8</v>
      </c>
      <c r="CC54" s="12">
        <f t="shared" si="176"/>
        <v>44161</v>
      </c>
      <c r="CD54" s="109">
        <f t="shared" si="177"/>
        <v>40.190379811492861</v>
      </c>
      <c r="CE54" s="109">
        <f t="shared" si="177"/>
        <v>20</v>
      </c>
      <c r="CG54" s="106"/>
      <c r="CH54" s="106"/>
      <c r="CI54" s="48" t="e">
        <f t="shared" si="12"/>
        <v>#N/A</v>
      </c>
      <c r="CJ54" s="12" t="e">
        <f t="shared" si="160"/>
        <v>#N/A</v>
      </c>
      <c r="CK54" s="105" t="e">
        <f t="shared" si="161"/>
        <v>#N/A</v>
      </c>
      <c r="CL54" s="105" t="e">
        <f t="shared" si="162"/>
        <v>#N/A</v>
      </c>
      <c r="CQ54" s="18" t="str">
        <f t="shared" si="178"/>
        <v>A1-8</v>
      </c>
      <c r="CR54" s="12">
        <f t="shared" si="178"/>
        <v>44273</v>
      </c>
      <c r="CS54" s="109">
        <f t="shared" si="179"/>
        <v>69.99746646397081</v>
      </c>
      <c r="CT54" s="109">
        <f t="shared" si="179"/>
        <v>50</v>
      </c>
      <c r="CV54" s="106"/>
      <c r="CX54" s="48" t="e">
        <f t="shared" si="16"/>
        <v>#N/A</v>
      </c>
      <c r="CY54" s="12" t="e">
        <f t="shared" si="163"/>
        <v>#N/A</v>
      </c>
      <c r="CZ54" s="103" t="e">
        <f t="shared" si="164"/>
        <v>#N/A</v>
      </c>
      <c r="DA54" s="104" t="e">
        <f t="shared" si="165"/>
        <v>#N/A</v>
      </c>
      <c r="DF54" s="18" t="str">
        <f t="shared" si="180"/>
        <v>N2-8</v>
      </c>
      <c r="DG54" s="12">
        <f t="shared" si="180"/>
        <v>44756</v>
      </c>
      <c r="DH54" s="109">
        <f t="shared" si="181"/>
        <v>27.258635451505018</v>
      </c>
      <c r="DI54" s="109">
        <f t="shared" si="181"/>
        <v>8</v>
      </c>
      <c r="DK54" s="106"/>
      <c r="DL54" s="106"/>
      <c r="DM54" s="48" t="e">
        <f t="shared" si="20"/>
        <v>#N/A</v>
      </c>
      <c r="DN54" s="12" t="e">
        <f t="shared" si="166"/>
        <v>#N/A</v>
      </c>
      <c r="DO54" s="103" t="e">
        <f t="shared" si="167"/>
        <v>#N/A</v>
      </c>
      <c r="DP54" s="104" t="e">
        <f t="shared" si="168"/>
        <v>#N/A</v>
      </c>
      <c r="DU54" s="18" t="str">
        <f t="shared" si="182"/>
        <v>A2-8</v>
      </c>
      <c r="DV54" s="12">
        <f t="shared" si="182"/>
        <v>44868</v>
      </c>
      <c r="DW54" s="109">
        <f t="shared" si="183"/>
        <v>27.003392885375497</v>
      </c>
      <c r="DX54" s="109">
        <f t="shared" si="183"/>
        <v>8</v>
      </c>
      <c r="DZ54" s="106"/>
      <c r="EA54" s="106"/>
      <c r="EB54" s="12" t="e">
        <f t="shared" si="206"/>
        <v>#N/A</v>
      </c>
      <c r="EC54" s="12" t="e">
        <f t="shared" si="206"/>
        <v>#N/A</v>
      </c>
      <c r="ED54" s="109" t="e">
        <f t="shared" si="207"/>
        <v>#N/A</v>
      </c>
      <c r="EE54" s="109" t="e">
        <f t="shared" si="207"/>
        <v>#N/A</v>
      </c>
      <c r="EG54" s="106"/>
      <c r="EH54" s="106"/>
      <c r="EI54" s="47" t="str">
        <f t="shared" si="25"/>
        <v>FY18-50</v>
      </c>
      <c r="EJ54" s="46">
        <v>43265</v>
      </c>
      <c r="EK54" s="107">
        <v>12004837.380801015</v>
      </c>
      <c r="EL54" s="108">
        <f t="shared" si="169"/>
        <v>3000000</v>
      </c>
      <c r="EN54" s="55" t="s">
        <v>44</v>
      </c>
      <c r="EO54" s="54"/>
      <c r="EQ54" s="12" t="str">
        <f t="shared" si="184"/>
        <v>FY18-8</v>
      </c>
      <c r="ER54" s="12">
        <f t="shared" si="184"/>
        <v>42971</v>
      </c>
      <c r="ES54" s="109">
        <f t="shared" si="185"/>
        <v>16.172577453855439</v>
      </c>
      <c r="ET54" s="109">
        <f t="shared" si="185"/>
        <v>6</v>
      </c>
      <c r="EU54" s="106"/>
      <c r="EV54" s="106"/>
      <c r="EW54" s="106"/>
      <c r="EX54" s="16" t="s">
        <v>33</v>
      </c>
      <c r="EY54" s="16">
        <v>43629</v>
      </c>
      <c r="EZ54" s="103">
        <v>22750507.333374586</v>
      </c>
      <c r="FA54" s="104">
        <v>20000000</v>
      </c>
      <c r="FF54" s="12" t="str">
        <f t="shared" si="186"/>
        <v>FY19</v>
      </c>
      <c r="FG54" s="12">
        <f t="shared" si="186"/>
        <v>43335</v>
      </c>
      <c r="FH54" s="109">
        <f t="shared" si="187"/>
        <v>14.031852256834073</v>
      </c>
      <c r="FI54" s="109">
        <f t="shared" si="187"/>
        <v>3</v>
      </c>
      <c r="FK54" s="106"/>
      <c r="FL54" s="106"/>
      <c r="FM54" s="12" t="str">
        <f t="shared" si="208"/>
        <v>FY19</v>
      </c>
      <c r="FN54" s="12">
        <f t="shared" si="208"/>
        <v>43321</v>
      </c>
      <c r="FO54" s="109">
        <f t="shared" si="209"/>
        <v>89.658851621106137</v>
      </c>
      <c r="FP54" s="109">
        <f t="shared" si="209"/>
        <v>80</v>
      </c>
      <c r="FR54" s="106"/>
      <c r="FS54" s="106"/>
      <c r="FT54" s="16" t="s">
        <v>39</v>
      </c>
      <c r="FU54" s="16">
        <v>43993</v>
      </c>
      <c r="FV54" s="103">
        <v>24991572.879294623</v>
      </c>
      <c r="FW54" s="104">
        <v>8000000</v>
      </c>
      <c r="GB54" s="12" t="str">
        <f t="shared" si="188"/>
        <v>FY20</v>
      </c>
      <c r="GC54" s="12">
        <f t="shared" si="188"/>
        <v>43699</v>
      </c>
      <c r="GD54" s="109">
        <f t="shared" si="189"/>
        <v>39.864962683334355</v>
      </c>
      <c r="GE54" s="109">
        <f t="shared" si="189"/>
        <v>40</v>
      </c>
      <c r="GG54" s="106"/>
      <c r="GH54" s="106"/>
      <c r="GI54" s="12" t="str">
        <f t="shared" si="210"/>
        <v>FY20</v>
      </c>
      <c r="GJ54" s="12">
        <f t="shared" si="210"/>
        <v>43685</v>
      </c>
      <c r="GK54" s="109">
        <f t="shared" si="211"/>
        <v>22.977947397735008</v>
      </c>
      <c r="GL54" s="109">
        <f t="shared" si="211"/>
        <v>12</v>
      </c>
      <c r="GN54" s="106"/>
      <c r="GO54" s="106"/>
      <c r="GP54" s="16" t="s">
        <v>38</v>
      </c>
      <c r="GQ54" s="16">
        <v>44357</v>
      </c>
      <c r="GR54" s="103">
        <v>23443848.707813926</v>
      </c>
      <c r="GS54" s="104">
        <v>8000000</v>
      </c>
      <c r="GX54" s="12" t="str">
        <f t="shared" si="190"/>
        <v>FY21</v>
      </c>
      <c r="GY54" s="12">
        <f t="shared" si="190"/>
        <v>44063</v>
      </c>
      <c r="GZ54" s="109">
        <f t="shared" si="191"/>
        <v>18.946345758589239</v>
      </c>
      <c r="HA54" s="109">
        <f t="shared" si="191"/>
        <v>3</v>
      </c>
      <c r="HC54" s="106"/>
      <c r="HD54" s="106"/>
      <c r="HE54" s="16" t="s">
        <v>35</v>
      </c>
      <c r="HF54" s="16">
        <v>44721</v>
      </c>
      <c r="HG54" s="103">
        <v>27291882.760717545</v>
      </c>
      <c r="HH54" s="104">
        <v>8000000</v>
      </c>
      <c r="HM54" s="12" t="str">
        <f t="shared" si="192"/>
        <v>FY22</v>
      </c>
      <c r="HN54" s="12">
        <f t="shared" si="192"/>
        <v>44427</v>
      </c>
      <c r="HO54" s="109">
        <f t="shared" si="193"/>
        <v>20.220383581635755</v>
      </c>
      <c r="HP54" s="109">
        <f t="shared" si="193"/>
        <v>3</v>
      </c>
      <c r="HR54" s="106"/>
      <c r="HS54" s="106"/>
      <c r="HT54" s="12" t="str">
        <f t="shared" si="212"/>
        <v>FY22</v>
      </c>
      <c r="HU54" s="12">
        <f t="shared" si="212"/>
        <v>44413</v>
      </c>
      <c r="HV54" s="109">
        <f t="shared" si="213"/>
        <v>80.09238577075098</v>
      </c>
      <c r="HW54" s="109">
        <f t="shared" si="213"/>
        <v>60</v>
      </c>
      <c r="HY54" s="106"/>
      <c r="HZ54" s="106"/>
      <c r="IA54" s="16" t="s">
        <v>37</v>
      </c>
      <c r="IB54" s="16">
        <v>45092</v>
      </c>
      <c r="IC54" s="103">
        <v>87731429.334205076</v>
      </c>
      <c r="ID54" s="104">
        <v>60000000</v>
      </c>
      <c r="II54" s="40">
        <v>100</v>
      </c>
      <c r="IJ54" s="39">
        <f t="shared" si="214"/>
        <v>175737000</v>
      </c>
      <c r="IK54" s="40">
        <v>250</v>
      </c>
      <c r="IL54" s="39">
        <f t="shared" si="215"/>
        <v>246987000</v>
      </c>
      <c r="IN54" s="106"/>
      <c r="IO54" s="106"/>
      <c r="IP54" s="40">
        <v>100</v>
      </c>
      <c r="IQ54" s="39">
        <f t="shared" si="216"/>
        <v>175737000</v>
      </c>
      <c r="IR54" s="40">
        <v>250</v>
      </c>
      <c r="IS54" s="39">
        <f t="shared" si="217"/>
        <v>246987000</v>
      </c>
      <c r="IU54" s="106"/>
      <c r="IV54" s="106"/>
      <c r="IW54" s="16" t="s">
        <v>169</v>
      </c>
      <c r="IX54" s="12">
        <v>44357</v>
      </c>
      <c r="IY54" s="103">
        <v>23443848.707813926</v>
      </c>
      <c r="IZ54" s="104">
        <v>8000000</v>
      </c>
      <c r="JE54" s="40">
        <v>100</v>
      </c>
      <c r="JF54" s="39">
        <f t="shared" si="218"/>
        <v>175737000</v>
      </c>
      <c r="JG54" s="40">
        <v>250</v>
      </c>
      <c r="JH54" s="39">
        <f t="shared" si="219"/>
        <v>246987000</v>
      </c>
      <c r="JI54" s="39"/>
      <c r="JJ54" s="39"/>
      <c r="JL54" s="106"/>
      <c r="JM54" s="106"/>
      <c r="JN54" s="40">
        <v>100</v>
      </c>
      <c r="JO54" s="39">
        <f t="shared" si="220"/>
        <v>175737000</v>
      </c>
      <c r="JP54" s="40">
        <v>250</v>
      </c>
      <c r="JQ54" s="39">
        <f t="shared" si="221"/>
        <v>246987000</v>
      </c>
      <c r="JR54" s="39"/>
      <c r="JS54" s="39"/>
      <c r="JT54" s="39"/>
      <c r="JU54" s="39"/>
      <c r="JW54" s="106"/>
      <c r="JX54" s="106"/>
      <c r="NA54" s="16" t="s">
        <v>34</v>
      </c>
      <c r="NB54" s="16">
        <v>43181</v>
      </c>
      <c r="NC54" s="103">
        <v>52143080</v>
      </c>
      <c r="ND54" s="104">
        <v>40000000</v>
      </c>
      <c r="NI54" s="12" t="str">
        <f t="shared" si="198"/>
        <v>FY17</v>
      </c>
      <c r="NJ54" s="12">
        <f t="shared" si="194"/>
        <v>42887</v>
      </c>
      <c r="NK54" s="109">
        <f t="shared" si="199"/>
        <v>23.254439999999999</v>
      </c>
      <c r="NL54" s="109">
        <f t="shared" si="195"/>
        <v>10</v>
      </c>
      <c r="NN54" s="106"/>
      <c r="NP54" s="16" t="s">
        <v>33</v>
      </c>
      <c r="NQ54" s="16">
        <v>43552</v>
      </c>
      <c r="NR54" s="103">
        <v>26306280</v>
      </c>
      <c r="NS54" s="104">
        <v>20000000</v>
      </c>
      <c r="NX54" s="12" t="str">
        <f t="shared" si="200"/>
        <v>FY18</v>
      </c>
      <c r="NY54" s="12">
        <f t="shared" si="196"/>
        <v>43258</v>
      </c>
      <c r="NZ54" s="109">
        <f t="shared" si="201"/>
        <v>56.733600000000003</v>
      </c>
      <c r="OA54" s="109">
        <f t="shared" si="197"/>
        <v>50</v>
      </c>
      <c r="OC54" s="106"/>
    </row>
    <row r="55" spans="2:393" x14ac:dyDescent="0.25">
      <c r="B55" s="5"/>
      <c r="C55" s="5"/>
      <c r="D55" s="5"/>
      <c r="F55" s="5" t="s">
        <v>43</v>
      </c>
      <c r="G55" s="53">
        <v>44819</v>
      </c>
      <c r="H55" s="53">
        <v>44924</v>
      </c>
      <c r="I55" s="50">
        <f>INT((WEEKDAY($G55-5)-$G55+$H55)/7)</f>
        <v>16</v>
      </c>
      <c r="K55" s="7">
        <v>51</v>
      </c>
      <c r="M55" s="5" t="str" cm="1">
        <f t="array" ref="M55">LOOKUP(2,1/($G$19:$G$35&lt;=$V55)/($H$19:$H$35&gt;=$V55),$F$19:$F$35)</f>
        <v>1H18</v>
      </c>
      <c r="N55" s="5" t="str" cm="1">
        <f t="array" ref="N55">LOOKUP(2,1/($G$8:$G$16&lt;=$V55)/($H$8:$H$16&gt;=$V55),$F$8:$F$16)</f>
        <v>FY18</v>
      </c>
      <c r="O55" s="5" t="str">
        <f>IFERROR(N55&amp;"-"&amp;COUNTIF($N$19:N55,N55),NA())</f>
        <v>FY18-25</v>
      </c>
      <c r="P55" s="5">
        <f>COUNTIF(V$19:V55,"&gt;="&amp;MAX($V:$V)-183)</f>
        <v>0</v>
      </c>
      <c r="Q55" s="5">
        <f>COUNTIF(V$19:V55,"&gt;="&amp;MAX($V:$V)-365)</f>
        <v>0</v>
      </c>
      <c r="R55" s="5" cm="1">
        <f t="array" ref="R55">LOOKUP(2,1/($G$46:$G$50&lt;=$V55)/($H$46:$H$50&gt;=$V55),$F$46:$F$50)</f>
        <v>0</v>
      </c>
      <c r="S55" s="5" cm="1">
        <f t="array" ref="S55">LOOKUP(2,1/($G$53:$G$56&lt;=$V55)/($H$53:$H$56&gt;=$V55),$F$53:$F$56)</f>
        <v>0</v>
      </c>
      <c r="T55" s="5" t="e">
        <f>IFERROR(IF($R55&gt;0,$R55&amp;"-"&amp;COUNTIF($R$19:$R55,$R55),NA()),NA())</f>
        <v>#N/A</v>
      </c>
      <c r="U55" s="5" t="e">
        <f>IFERROR(IF($S55&gt;0,$S55&amp;"-"&amp;COUNTIF($S$19:$S55,$S55),NA()),NA())</f>
        <v>#N/A</v>
      </c>
      <c r="V55" s="10">
        <v>43090</v>
      </c>
      <c r="W55" s="101">
        <v>23423034.712782472</v>
      </c>
      <c r="X55" s="101">
        <v>21761170.399910554</v>
      </c>
      <c r="Y55" s="102">
        <v>15000000</v>
      </c>
      <c r="AA55" s="48" t="e">
        <f t="shared" si="170"/>
        <v>#N/A</v>
      </c>
      <c r="AB55" s="12" t="e">
        <f t="shared" si="151"/>
        <v>#N/A</v>
      </c>
      <c r="AC55" s="103" t="e">
        <f t="shared" si="152"/>
        <v>#N/A</v>
      </c>
      <c r="AD55" s="104" t="e">
        <f t="shared" si="153"/>
        <v>#N/A</v>
      </c>
      <c r="AI55" s="18">
        <f t="shared" si="172"/>
        <v>9</v>
      </c>
      <c r="AJ55" s="12">
        <f t="shared" si="172"/>
        <v>45078</v>
      </c>
      <c r="AK55" s="109">
        <f t="shared" si="173"/>
        <v>40.719506810504527</v>
      </c>
      <c r="AL55" s="109">
        <f t="shared" si="173"/>
        <v>20</v>
      </c>
      <c r="AN55" s="106"/>
      <c r="AO55" s="106"/>
      <c r="AP55" s="18">
        <f t="shared" si="202"/>
        <v>7</v>
      </c>
      <c r="AQ55" s="12">
        <f t="shared" si="202"/>
        <v>45064</v>
      </c>
      <c r="AR55" s="109">
        <f t="shared" si="203"/>
        <v>19.409982487078139</v>
      </c>
      <c r="AS55" s="109">
        <f t="shared" si="203"/>
        <v>4</v>
      </c>
      <c r="AU55" s="106"/>
      <c r="AW55" s="48">
        <f t="shared" si="171"/>
        <v>51</v>
      </c>
      <c r="AX55" s="12">
        <f t="shared" si="154"/>
        <v>45190</v>
      </c>
      <c r="AY55" s="103">
        <f t="shared" si="155"/>
        <v>41746812.901819773</v>
      </c>
      <c r="AZ55" s="104">
        <f t="shared" si="156"/>
        <v>20000000</v>
      </c>
      <c r="BF55" s="18">
        <f t="shared" si="174"/>
        <v>9</v>
      </c>
      <c r="BG55" s="12">
        <f t="shared" si="174"/>
        <v>44896</v>
      </c>
      <c r="BH55" s="109">
        <f t="shared" si="175"/>
        <v>25.213057950744904</v>
      </c>
      <c r="BI55" s="109">
        <f t="shared" si="175"/>
        <v>8</v>
      </c>
      <c r="BK55" s="106"/>
      <c r="BL55" s="106"/>
      <c r="BM55" s="18">
        <f t="shared" si="204"/>
        <v>7</v>
      </c>
      <c r="BN55" s="12">
        <f t="shared" si="204"/>
        <v>44882</v>
      </c>
      <c r="BO55" s="109">
        <f t="shared" si="205"/>
        <v>51.026175372453629</v>
      </c>
      <c r="BP55" s="109">
        <f t="shared" si="205"/>
        <v>30</v>
      </c>
      <c r="BR55" s="106"/>
      <c r="BT55" s="48" t="e">
        <f t="shared" si="8"/>
        <v>#N/A</v>
      </c>
      <c r="BU55" s="12" t="e">
        <f t="shared" si="157"/>
        <v>#N/A</v>
      </c>
      <c r="BV55" s="103" t="e">
        <f t="shared" si="158"/>
        <v>#N/A</v>
      </c>
      <c r="BW55" s="104" t="e">
        <f t="shared" si="159"/>
        <v>#N/A</v>
      </c>
      <c r="CB55" s="18" t="str">
        <f t="shared" si="176"/>
        <v>N1-9</v>
      </c>
      <c r="CC55" s="12">
        <f t="shared" si="176"/>
        <v>44168</v>
      </c>
      <c r="CD55" s="109">
        <f t="shared" si="177"/>
        <v>17.815226512617816</v>
      </c>
      <c r="CE55" s="109">
        <f t="shared" si="177"/>
        <v>3</v>
      </c>
      <c r="CG55" s="106"/>
      <c r="CH55" s="106"/>
      <c r="CI55" s="48" t="e">
        <f t="shared" si="12"/>
        <v>#N/A</v>
      </c>
      <c r="CJ55" s="12" t="e">
        <f t="shared" si="160"/>
        <v>#N/A</v>
      </c>
      <c r="CK55" s="105" t="e">
        <f t="shared" si="161"/>
        <v>#N/A</v>
      </c>
      <c r="CL55" s="105" t="e">
        <f t="shared" si="162"/>
        <v>#N/A</v>
      </c>
      <c r="CQ55" s="18" t="str">
        <f t="shared" si="178"/>
        <v>A1-9</v>
      </c>
      <c r="CR55" s="12">
        <f t="shared" si="178"/>
        <v>44280</v>
      </c>
      <c r="CS55" s="109">
        <f t="shared" si="179"/>
        <v>23.50473821830343</v>
      </c>
      <c r="CT55" s="109">
        <f t="shared" si="179"/>
        <v>8</v>
      </c>
      <c r="CV55" s="106"/>
      <c r="CX55" s="48" t="e">
        <f t="shared" si="16"/>
        <v>#N/A</v>
      </c>
      <c r="CY55" s="12" t="e">
        <f t="shared" si="163"/>
        <v>#N/A</v>
      </c>
      <c r="CZ55" s="103" t="e">
        <f t="shared" si="164"/>
        <v>#N/A</v>
      </c>
      <c r="DA55" s="104" t="e">
        <f t="shared" si="165"/>
        <v>#N/A</v>
      </c>
      <c r="DF55" s="18" t="str">
        <f t="shared" si="180"/>
        <v>N2-9</v>
      </c>
      <c r="DG55" s="12">
        <f t="shared" si="180"/>
        <v>44763</v>
      </c>
      <c r="DH55" s="109">
        <f t="shared" si="181"/>
        <v>20.96840571602311</v>
      </c>
      <c r="DI55" s="109">
        <f t="shared" si="181"/>
        <v>4</v>
      </c>
      <c r="DK55" s="106"/>
      <c r="DL55" s="106"/>
      <c r="DM55" s="48" t="e">
        <f t="shared" si="20"/>
        <v>#N/A</v>
      </c>
      <c r="DN55" s="12" t="e">
        <f t="shared" si="166"/>
        <v>#N/A</v>
      </c>
      <c r="DO55" s="103" t="e">
        <f t="shared" si="167"/>
        <v>#N/A</v>
      </c>
      <c r="DP55" s="104" t="e">
        <f t="shared" si="168"/>
        <v>#N/A</v>
      </c>
      <c r="DU55" s="18" t="str">
        <f t="shared" si="182"/>
        <v>A2-9</v>
      </c>
      <c r="DV55" s="12">
        <f t="shared" si="182"/>
        <v>44875</v>
      </c>
      <c r="DW55" s="109">
        <f t="shared" si="183"/>
        <v>44.321005290361803</v>
      </c>
      <c r="DX55" s="109">
        <f t="shared" si="183"/>
        <v>20</v>
      </c>
      <c r="DZ55" s="106"/>
      <c r="EA55" s="106"/>
      <c r="EB55" s="12" t="e">
        <f t="shared" si="206"/>
        <v>#N/A</v>
      </c>
      <c r="EC55" s="12" t="e">
        <f t="shared" si="206"/>
        <v>#N/A</v>
      </c>
      <c r="ED55" s="109" t="e">
        <f t="shared" si="207"/>
        <v>#N/A</v>
      </c>
      <c r="EE55" s="109" t="e">
        <f t="shared" si="207"/>
        <v>#N/A</v>
      </c>
      <c r="EG55" s="106"/>
      <c r="EH55" s="106"/>
      <c r="EI55" s="47" t="str">
        <f t="shared" si="25"/>
        <v>FY18-51</v>
      </c>
      <c r="EJ55" s="46">
        <v>43272</v>
      </c>
      <c r="EK55" s="107">
        <v>11422460.775588047</v>
      </c>
      <c r="EL55" s="108">
        <f t="shared" si="169"/>
        <v>3000000</v>
      </c>
      <c r="EN55" s="52" t="s">
        <v>42</v>
      </c>
      <c r="EO55" s="52" t="s">
        <v>41</v>
      </c>
      <c r="EQ55" s="12" t="str">
        <f t="shared" si="184"/>
        <v>FY18-9</v>
      </c>
      <c r="ER55" s="12">
        <f t="shared" si="184"/>
        <v>42978</v>
      </c>
      <c r="ES55" s="109">
        <f t="shared" si="185"/>
        <v>18.730835321718125</v>
      </c>
      <c r="ET55" s="109">
        <f t="shared" si="185"/>
        <v>10</v>
      </c>
      <c r="EU55" s="106"/>
      <c r="EV55" s="106"/>
      <c r="EW55" s="106"/>
      <c r="EX55" s="16" t="s">
        <v>33</v>
      </c>
      <c r="EY55" s="16">
        <v>43636</v>
      </c>
      <c r="EZ55" s="103">
        <v>27826067.454669226</v>
      </c>
      <c r="FA55" s="104">
        <v>30000000</v>
      </c>
      <c r="FF55" s="12" t="str">
        <f t="shared" si="186"/>
        <v>FY19</v>
      </c>
      <c r="FG55" s="12">
        <f t="shared" si="186"/>
        <v>43342</v>
      </c>
      <c r="FH55" s="109">
        <f t="shared" si="187"/>
        <v>16.733295359186265</v>
      </c>
      <c r="FI55" s="109">
        <f t="shared" si="187"/>
        <v>8</v>
      </c>
      <c r="FK55" s="106"/>
      <c r="FL55" s="106"/>
      <c r="FM55" s="12" t="e">
        <f t="shared" si="208"/>
        <v>#N/A</v>
      </c>
      <c r="FN55" s="12" t="e">
        <f t="shared" si="208"/>
        <v>#N/A</v>
      </c>
      <c r="FO55" s="109" t="e">
        <f t="shared" si="209"/>
        <v>#N/A</v>
      </c>
      <c r="FP55" s="109" t="e">
        <f t="shared" si="209"/>
        <v>#N/A</v>
      </c>
      <c r="FR55" s="106"/>
      <c r="FS55" s="106"/>
      <c r="FT55" s="16" t="s">
        <v>39</v>
      </c>
      <c r="FU55" s="16">
        <v>44000</v>
      </c>
      <c r="FV55" s="103">
        <v>31885473.031316504</v>
      </c>
      <c r="FW55" s="104">
        <v>15000000</v>
      </c>
      <c r="GB55" s="12" t="str">
        <f t="shared" si="188"/>
        <v>FY20</v>
      </c>
      <c r="GC55" s="12">
        <f t="shared" si="188"/>
        <v>43706</v>
      </c>
      <c r="GD55" s="109">
        <f t="shared" si="189"/>
        <v>55.027958165728073</v>
      </c>
      <c r="GE55" s="109">
        <f t="shared" si="189"/>
        <v>60</v>
      </c>
      <c r="GG55" s="106"/>
      <c r="GH55" s="106"/>
      <c r="GI55" s="12" t="str">
        <f t="shared" si="210"/>
        <v>FY20</v>
      </c>
      <c r="GJ55" s="12">
        <f t="shared" si="210"/>
        <v>43692</v>
      </c>
      <c r="GK55" s="109">
        <f t="shared" si="211"/>
        <v>29.967446995482394</v>
      </c>
      <c r="GL55" s="109">
        <f t="shared" si="211"/>
        <v>20</v>
      </c>
      <c r="GN55" s="106"/>
      <c r="GO55" s="106"/>
      <c r="GP55" s="16" t="s">
        <v>38</v>
      </c>
      <c r="GQ55" s="16">
        <v>44364</v>
      </c>
      <c r="GR55" s="103">
        <v>36861438.491942838</v>
      </c>
      <c r="GS55" s="104">
        <v>20000000</v>
      </c>
      <c r="GX55" s="12" t="str">
        <f t="shared" si="190"/>
        <v>FY21</v>
      </c>
      <c r="GY55" s="12">
        <f t="shared" si="190"/>
        <v>44070</v>
      </c>
      <c r="GZ55" s="109">
        <f t="shared" si="191"/>
        <v>26.767640012161749</v>
      </c>
      <c r="HA55" s="109">
        <f t="shared" si="191"/>
        <v>8</v>
      </c>
      <c r="HC55" s="106"/>
      <c r="HD55" s="106"/>
      <c r="HE55" s="16" t="s">
        <v>35</v>
      </c>
      <c r="HF55" s="16">
        <v>44728</v>
      </c>
      <c r="HG55" s="103">
        <v>41963661.416844025</v>
      </c>
      <c r="HH55" s="104">
        <v>20000000</v>
      </c>
      <c r="HM55" s="12" t="str">
        <f t="shared" si="192"/>
        <v>FY22</v>
      </c>
      <c r="HN55" s="12">
        <f t="shared" si="192"/>
        <v>44434</v>
      </c>
      <c r="HO55" s="109">
        <f t="shared" si="193"/>
        <v>29.212562359379749</v>
      </c>
      <c r="HP55" s="109">
        <f t="shared" si="193"/>
        <v>8</v>
      </c>
      <c r="HR55" s="106"/>
      <c r="HS55" s="106"/>
      <c r="HT55" s="12" t="str">
        <f t="shared" si="212"/>
        <v>FY22</v>
      </c>
      <c r="HU55" s="12">
        <f t="shared" si="212"/>
        <v>44420</v>
      </c>
      <c r="HV55" s="109">
        <f t="shared" si="213"/>
        <v>125.40573986013986</v>
      </c>
      <c r="HW55" s="109">
        <f t="shared" si="213"/>
        <v>80</v>
      </c>
      <c r="HY55" s="106"/>
      <c r="HZ55" s="106"/>
      <c r="IA55" s="16" t="s">
        <v>37</v>
      </c>
      <c r="IB55" s="16">
        <v>45099</v>
      </c>
      <c r="IC55" s="103">
        <v>169147583.30609131</v>
      </c>
      <c r="ID55" s="104">
        <v>100000000</v>
      </c>
      <c r="II55" s="40">
        <v>110</v>
      </c>
      <c r="IJ55" s="39">
        <f t="shared" si="214"/>
        <v>195747000</v>
      </c>
      <c r="IK55" s="40">
        <v>260</v>
      </c>
      <c r="IL55" s="39">
        <f t="shared" si="215"/>
        <v>219897000.00000012</v>
      </c>
      <c r="IN55" s="106"/>
      <c r="IO55" s="106"/>
      <c r="IP55" s="40">
        <v>110</v>
      </c>
      <c r="IQ55" s="39">
        <f t="shared" si="216"/>
        <v>195747000</v>
      </c>
      <c r="IR55" s="40">
        <v>260</v>
      </c>
      <c r="IS55" s="39">
        <f t="shared" si="217"/>
        <v>219897000.00000012</v>
      </c>
      <c r="IU55" s="106"/>
      <c r="IV55" s="106"/>
      <c r="IW55" s="16" t="s">
        <v>169</v>
      </c>
      <c r="IX55" s="12">
        <v>44364</v>
      </c>
      <c r="IY55" s="103">
        <v>36861438.491942838</v>
      </c>
      <c r="IZ55" s="104">
        <v>20000000</v>
      </c>
      <c r="JE55" s="40">
        <v>110</v>
      </c>
      <c r="JF55" s="39">
        <f t="shared" si="218"/>
        <v>195747000</v>
      </c>
      <c r="JG55" s="40">
        <v>260</v>
      </c>
      <c r="JH55" s="39">
        <f t="shared" si="219"/>
        <v>219897000.00000012</v>
      </c>
      <c r="JI55" s="39"/>
      <c r="JJ55" s="39"/>
      <c r="JL55" s="106"/>
      <c r="JM55" s="106"/>
      <c r="JN55" s="40">
        <v>110</v>
      </c>
      <c r="JO55" s="39">
        <f t="shared" si="220"/>
        <v>195747000</v>
      </c>
      <c r="JP55" s="40">
        <v>260</v>
      </c>
      <c r="JQ55" s="39">
        <f t="shared" si="221"/>
        <v>219897000.00000012</v>
      </c>
      <c r="JR55" s="39"/>
      <c r="JS55" s="39"/>
      <c r="JT55" s="39"/>
      <c r="JU55" s="39"/>
      <c r="JW55" s="106"/>
      <c r="JX55" s="106"/>
      <c r="NA55" s="16" t="s">
        <v>34</v>
      </c>
      <c r="NB55" s="16">
        <v>43188</v>
      </c>
      <c r="NC55" s="103">
        <v>15080230</v>
      </c>
      <c r="ND55" s="104">
        <v>3000000</v>
      </c>
      <c r="NI55" s="12" t="str">
        <f t="shared" si="198"/>
        <v>FY17</v>
      </c>
      <c r="NJ55" s="12">
        <f t="shared" si="194"/>
        <v>42894</v>
      </c>
      <c r="NK55" s="109">
        <f t="shared" si="199"/>
        <v>30.271339999999999</v>
      </c>
      <c r="NL55" s="109">
        <f t="shared" si="195"/>
        <v>15</v>
      </c>
      <c r="NN55" s="106"/>
      <c r="NP55" s="16" t="s">
        <v>33</v>
      </c>
      <c r="NQ55" s="16">
        <v>43559</v>
      </c>
      <c r="NR55" s="103">
        <v>13384866</v>
      </c>
      <c r="NS55" s="104">
        <v>3000000</v>
      </c>
      <c r="NX55" s="12" t="str">
        <f t="shared" si="200"/>
        <v>FY18</v>
      </c>
      <c r="NY55" s="12">
        <f t="shared" si="196"/>
        <v>43265</v>
      </c>
      <c r="NZ55" s="109">
        <f t="shared" si="201"/>
        <v>11.832018</v>
      </c>
      <c r="OA55" s="109">
        <f t="shared" si="197"/>
        <v>3</v>
      </c>
      <c r="OC55" s="106"/>
    </row>
    <row r="56" spans="2:393" x14ac:dyDescent="0.25">
      <c r="B56" s="5"/>
      <c r="C56" s="5"/>
      <c r="D56" s="5"/>
      <c r="F56" s="5">
        <v>0</v>
      </c>
      <c r="G56" s="51">
        <f>H55+7</f>
        <v>44931</v>
      </c>
      <c r="H56" s="51">
        <f>EOMONTH(MAX($V:$V),0)</f>
        <v>45230</v>
      </c>
      <c r="I56" s="50"/>
      <c r="K56" s="7">
        <v>52</v>
      </c>
      <c r="M56" s="5" t="str" cm="1">
        <f t="array" ref="M56">LOOKUP(2,1/($G$19:$G$35&lt;=$V56)/($H$19:$H$35&gt;=$V56),$F$19:$F$35)</f>
        <v>1H18</v>
      </c>
      <c r="N56" s="5" t="str" cm="1">
        <f t="array" ref="N56">LOOKUP(2,1/($G$8:$G$16&lt;=$V56)/($H$8:$H$16&gt;=$V56),$F$8:$F$16)</f>
        <v>FY18</v>
      </c>
      <c r="O56" s="5" t="str">
        <f>IFERROR(N56&amp;"-"&amp;COUNTIF($N$19:N56,N56),NA())</f>
        <v>FY18-26</v>
      </c>
      <c r="P56" s="5">
        <f>COUNTIF(V$19:V56,"&gt;="&amp;MAX($V:$V)-183)</f>
        <v>0</v>
      </c>
      <c r="Q56" s="5">
        <f>COUNTIF(V$19:V56,"&gt;="&amp;MAX($V:$V)-365)</f>
        <v>0</v>
      </c>
      <c r="R56" s="5" cm="1">
        <f t="array" ref="R56">LOOKUP(2,1/($G$46:$G$50&lt;=$V56)/($H$46:$H$50&gt;=$V56),$F$46:$F$50)</f>
        <v>0</v>
      </c>
      <c r="S56" s="5" cm="1">
        <f t="array" ref="S56">LOOKUP(2,1/($G$53:$G$56&lt;=$V56)/($H$53:$H$56&gt;=$V56),$F$53:$F$56)</f>
        <v>0</v>
      </c>
      <c r="T56" s="5" t="e">
        <f>IFERROR(IF($R56&gt;0,$R56&amp;"-"&amp;COUNTIF($R$19:$R56,$R56),NA()),NA())</f>
        <v>#N/A</v>
      </c>
      <c r="U56" s="5" t="e">
        <f>IFERROR(IF($S56&gt;0,$S56&amp;"-"&amp;COUNTIF($S$19:$S56,$S56),NA()),NA())</f>
        <v>#N/A</v>
      </c>
      <c r="V56" s="10">
        <v>43097</v>
      </c>
      <c r="W56" s="101">
        <v>27652624.450577881</v>
      </c>
      <c r="X56" s="101">
        <v>25690670.74580938</v>
      </c>
      <c r="Y56" s="102">
        <v>25000000</v>
      </c>
      <c r="AA56" s="48" t="e">
        <f t="shared" si="170"/>
        <v>#N/A</v>
      </c>
      <c r="AB56" s="12" t="e">
        <f t="shared" si="151"/>
        <v>#N/A</v>
      </c>
      <c r="AC56" s="103" t="e">
        <f t="shared" si="152"/>
        <v>#N/A</v>
      </c>
      <c r="AD56" s="104" t="e">
        <f t="shared" si="153"/>
        <v>#N/A</v>
      </c>
      <c r="AI56" s="18">
        <f t="shared" si="172"/>
        <v>10</v>
      </c>
      <c r="AJ56" s="12">
        <f t="shared" si="172"/>
        <v>45085</v>
      </c>
      <c r="AK56" s="109">
        <f t="shared" si="173"/>
        <v>56.400732701318518</v>
      </c>
      <c r="AL56" s="109">
        <f t="shared" si="173"/>
        <v>40</v>
      </c>
      <c r="AN56" s="106"/>
      <c r="AO56" s="106"/>
      <c r="AP56" s="18">
        <f t="shared" si="202"/>
        <v>8</v>
      </c>
      <c r="AQ56" s="12">
        <f t="shared" si="202"/>
        <v>45071</v>
      </c>
      <c r="AR56" s="109">
        <f t="shared" si="203"/>
        <v>30.887849079219787</v>
      </c>
      <c r="AS56" s="109">
        <f t="shared" si="203"/>
        <v>12</v>
      </c>
      <c r="AU56" s="106"/>
      <c r="AW56" s="48">
        <f t="shared" si="171"/>
        <v>52</v>
      </c>
      <c r="AX56" s="12">
        <f t="shared" si="154"/>
        <v>45197</v>
      </c>
      <c r="AY56" s="103">
        <f t="shared" si="155"/>
        <v>56641298.899422474</v>
      </c>
      <c r="AZ56" s="104">
        <f t="shared" si="156"/>
        <v>40000000</v>
      </c>
      <c r="BF56" s="18">
        <f t="shared" si="174"/>
        <v>10</v>
      </c>
      <c r="BG56" s="12">
        <f t="shared" si="174"/>
        <v>44903</v>
      </c>
      <c r="BH56" s="109">
        <f t="shared" si="175"/>
        <v>38.341626147765275</v>
      </c>
      <c r="BI56" s="109">
        <f t="shared" si="175"/>
        <v>20</v>
      </c>
      <c r="BK56" s="106"/>
      <c r="BL56" s="106"/>
      <c r="BM56" s="18">
        <f t="shared" si="204"/>
        <v>8</v>
      </c>
      <c r="BN56" s="12">
        <f t="shared" si="204"/>
        <v>44889</v>
      </c>
      <c r="BO56" s="109">
        <f t="shared" si="205"/>
        <v>71.266594101550623</v>
      </c>
      <c r="BP56" s="109">
        <f t="shared" si="205"/>
        <v>50</v>
      </c>
      <c r="BR56" s="106"/>
      <c r="BT56" s="48" t="e">
        <f t="shared" si="8"/>
        <v>#N/A</v>
      </c>
      <c r="BU56" s="12" t="e">
        <f t="shared" si="157"/>
        <v>#N/A</v>
      </c>
      <c r="BV56" s="103" t="e">
        <f t="shared" si="158"/>
        <v>#N/A</v>
      </c>
      <c r="BW56" s="104" t="e">
        <f t="shared" si="159"/>
        <v>#N/A</v>
      </c>
      <c r="CB56" s="18" t="str">
        <f t="shared" si="176"/>
        <v>N1-10</v>
      </c>
      <c r="CC56" s="12">
        <f t="shared" si="176"/>
        <v>44175</v>
      </c>
      <c r="CD56" s="109">
        <f t="shared" si="177"/>
        <v>25.066381757373062</v>
      </c>
      <c r="CE56" s="109">
        <f t="shared" si="177"/>
        <v>8</v>
      </c>
      <c r="CH56" s="106"/>
      <c r="CI56" s="48" t="e">
        <f t="shared" si="12"/>
        <v>#N/A</v>
      </c>
      <c r="CJ56" s="12" t="e">
        <f t="shared" si="160"/>
        <v>#N/A</v>
      </c>
      <c r="CK56" s="105" t="e">
        <f t="shared" si="161"/>
        <v>#N/A</v>
      </c>
      <c r="CL56" s="105" t="e">
        <f t="shared" si="162"/>
        <v>#N/A</v>
      </c>
      <c r="CQ56" s="18" t="str">
        <f t="shared" si="178"/>
        <v>A1-10</v>
      </c>
      <c r="CR56" s="12">
        <f t="shared" si="178"/>
        <v>44287</v>
      </c>
      <c r="CS56" s="109">
        <f t="shared" si="179"/>
        <v>37.212500334448158</v>
      </c>
      <c r="CT56" s="109">
        <f t="shared" si="179"/>
        <v>20</v>
      </c>
      <c r="CV56" s="106"/>
      <c r="CX56" s="48" t="e">
        <f t="shared" si="16"/>
        <v>#N/A</v>
      </c>
      <c r="CY56" s="12" t="e">
        <f t="shared" si="163"/>
        <v>#N/A</v>
      </c>
      <c r="CZ56" s="103" t="e">
        <f t="shared" si="164"/>
        <v>#N/A</v>
      </c>
      <c r="DA56" s="104" t="e">
        <f t="shared" si="165"/>
        <v>#N/A</v>
      </c>
      <c r="DF56" s="18" t="str">
        <f t="shared" si="180"/>
        <v>N2-10</v>
      </c>
      <c r="DG56" s="12">
        <f t="shared" si="180"/>
        <v>44770</v>
      </c>
      <c r="DH56" s="109">
        <f t="shared" si="181"/>
        <v>19.329129096989966</v>
      </c>
      <c r="DI56" s="109">
        <f t="shared" si="181"/>
        <v>4</v>
      </c>
      <c r="DK56" s="106" t="s">
        <v>40</v>
      </c>
      <c r="DL56" s="106"/>
      <c r="DM56" s="48" t="e">
        <f t="shared" si="20"/>
        <v>#N/A</v>
      </c>
      <c r="DN56" s="12" t="e">
        <f t="shared" si="166"/>
        <v>#N/A</v>
      </c>
      <c r="DO56" s="103" t="e">
        <f t="shared" si="167"/>
        <v>#N/A</v>
      </c>
      <c r="DP56" s="104" t="e">
        <f t="shared" si="168"/>
        <v>#N/A</v>
      </c>
      <c r="DU56" s="18" t="str">
        <f t="shared" si="182"/>
        <v>A2-10</v>
      </c>
      <c r="DV56" s="12">
        <f t="shared" si="182"/>
        <v>44882</v>
      </c>
      <c r="DW56" s="109">
        <f t="shared" si="183"/>
        <v>51.026175372453629</v>
      </c>
      <c r="DX56" s="109">
        <f t="shared" si="183"/>
        <v>30</v>
      </c>
      <c r="DZ56" s="106"/>
      <c r="EA56" s="106"/>
      <c r="EB56" s="12" t="str">
        <f t="shared" si="206"/>
        <v>A2-8</v>
      </c>
      <c r="EC56" s="12">
        <f t="shared" si="206"/>
        <v>44868</v>
      </c>
      <c r="ED56" s="109">
        <f t="shared" si="207"/>
        <v>27.003392885375497</v>
      </c>
      <c r="EE56" s="109">
        <f t="shared" si="207"/>
        <v>8</v>
      </c>
      <c r="EG56" s="106"/>
      <c r="EH56" s="106"/>
      <c r="EI56" s="47" t="str">
        <f t="shared" si="25"/>
        <v>FY18-52</v>
      </c>
      <c r="EJ56" s="46">
        <v>43279</v>
      </c>
      <c r="EK56" s="107">
        <v>16829889.891926251</v>
      </c>
      <c r="EL56" s="108">
        <f t="shared" si="169"/>
        <v>8000000</v>
      </c>
      <c r="EN56" s="1">
        <v>1</v>
      </c>
      <c r="EO56" s="1">
        <v>3</v>
      </c>
      <c r="EQ56" s="12" t="str">
        <f t="shared" si="184"/>
        <v>FY18-10</v>
      </c>
      <c r="ER56" s="12">
        <f t="shared" si="184"/>
        <v>42985</v>
      </c>
      <c r="ES56" s="109">
        <f t="shared" si="185"/>
        <v>25.735862268414696</v>
      </c>
      <c r="ET56" s="109">
        <f t="shared" si="185"/>
        <v>15</v>
      </c>
      <c r="EU56" s="106"/>
      <c r="EV56" s="106"/>
      <c r="EW56" s="106"/>
      <c r="EX56" s="16" t="s">
        <v>33</v>
      </c>
      <c r="EY56" s="16">
        <v>43643</v>
      </c>
      <c r="EZ56" s="103">
        <v>37957462.714276873</v>
      </c>
      <c r="FA56" s="104">
        <v>40000000</v>
      </c>
      <c r="FF56" s="12" t="str">
        <f t="shared" si="186"/>
        <v>FY19</v>
      </c>
      <c r="FG56" s="12">
        <f t="shared" si="186"/>
        <v>43349</v>
      </c>
      <c r="FH56" s="109">
        <f t="shared" si="187"/>
        <v>21.606582835346465</v>
      </c>
      <c r="FI56" s="109">
        <f t="shared" si="187"/>
        <v>12</v>
      </c>
      <c r="FK56" s="106"/>
      <c r="FL56" s="106"/>
      <c r="FM56" s="12" t="str">
        <f t="shared" si="208"/>
        <v>FY19</v>
      </c>
      <c r="FN56" s="12">
        <f t="shared" si="208"/>
        <v>43335</v>
      </c>
      <c r="FO56" s="109">
        <f t="shared" si="209"/>
        <v>14.031852256834073</v>
      </c>
      <c r="FP56" s="109">
        <f t="shared" si="209"/>
        <v>3</v>
      </c>
      <c r="FR56" s="106"/>
      <c r="FS56" s="106"/>
      <c r="FT56" s="16" t="s">
        <v>39</v>
      </c>
      <c r="FU56" s="16">
        <v>44007</v>
      </c>
      <c r="FV56" s="103">
        <v>48173921.070234112</v>
      </c>
      <c r="FW56" s="104">
        <v>30000000</v>
      </c>
      <c r="GB56" s="12" t="str">
        <f t="shared" si="188"/>
        <v>FY20</v>
      </c>
      <c r="GC56" s="12">
        <f t="shared" si="188"/>
        <v>43713</v>
      </c>
      <c r="GD56" s="109">
        <f t="shared" si="189"/>
        <v>82.565532768116853</v>
      </c>
      <c r="GE56" s="109">
        <f t="shared" si="189"/>
        <v>80</v>
      </c>
      <c r="GG56" s="106"/>
      <c r="GH56" s="106"/>
      <c r="GI56" s="12" t="str">
        <f t="shared" si="210"/>
        <v>FY20</v>
      </c>
      <c r="GJ56" s="12">
        <f t="shared" si="210"/>
        <v>43699</v>
      </c>
      <c r="GK56" s="109">
        <f t="shared" si="211"/>
        <v>39.864962683334355</v>
      </c>
      <c r="GL56" s="109">
        <f t="shared" si="211"/>
        <v>40</v>
      </c>
      <c r="GN56" s="106"/>
      <c r="GO56" s="106"/>
      <c r="GP56" s="16" t="s">
        <v>38</v>
      </c>
      <c r="GQ56" s="16">
        <v>44371</v>
      </c>
      <c r="GR56" s="103">
        <v>55754455.457585886</v>
      </c>
      <c r="GS56" s="104">
        <v>40000000</v>
      </c>
      <c r="GX56" s="12" t="str">
        <f t="shared" si="190"/>
        <v>FY21</v>
      </c>
      <c r="GY56" s="12">
        <f t="shared" si="190"/>
        <v>44077</v>
      </c>
      <c r="GZ56" s="109">
        <f t="shared" si="191"/>
        <v>40.517600243235023</v>
      </c>
      <c r="HA56" s="109">
        <f t="shared" si="191"/>
        <v>20</v>
      </c>
      <c r="HC56" s="106"/>
      <c r="HD56" s="106"/>
      <c r="HE56" s="16" t="s">
        <v>35</v>
      </c>
      <c r="HF56" s="16">
        <v>44735</v>
      </c>
      <c r="HG56" s="103">
        <v>57463937.245363325</v>
      </c>
      <c r="HH56" s="104">
        <v>40000000</v>
      </c>
      <c r="HM56" s="12" t="str">
        <f t="shared" si="192"/>
        <v>FY22</v>
      </c>
      <c r="HN56" s="12">
        <f t="shared" si="192"/>
        <v>44441</v>
      </c>
      <c r="HO56" s="109">
        <f t="shared" si="193"/>
        <v>43.186218060200659</v>
      </c>
      <c r="HP56" s="109">
        <f t="shared" si="193"/>
        <v>20</v>
      </c>
      <c r="HR56" s="106"/>
      <c r="HS56" s="106"/>
      <c r="HT56" s="12" t="str">
        <f t="shared" si="212"/>
        <v>FY22</v>
      </c>
      <c r="HU56" s="12">
        <f t="shared" si="212"/>
        <v>44427</v>
      </c>
      <c r="HV56" s="109">
        <f t="shared" si="213"/>
        <v>20.220383581635755</v>
      </c>
      <c r="HW56" s="109">
        <f t="shared" si="213"/>
        <v>3</v>
      </c>
      <c r="HY56" s="106"/>
      <c r="HZ56" s="106"/>
      <c r="IA56" s="16" t="s">
        <v>37</v>
      </c>
      <c r="IB56" s="16">
        <v>45106</v>
      </c>
      <c r="IC56" s="103">
        <v>19524423.123024959</v>
      </c>
      <c r="ID56" s="104">
        <v>4000000</v>
      </c>
      <c r="II56" s="40">
        <v>120</v>
      </c>
      <c r="IJ56" s="39">
        <f t="shared" si="214"/>
        <v>215136999.99999997</v>
      </c>
      <c r="IK56" s="40">
        <v>270</v>
      </c>
      <c r="IL56" s="39">
        <f t="shared" si="215"/>
        <v>186787000.00000003</v>
      </c>
      <c r="IN56" s="106"/>
      <c r="IO56" s="106"/>
      <c r="IP56" s="40">
        <v>120</v>
      </c>
      <c r="IQ56" s="39">
        <f t="shared" si="216"/>
        <v>215136999.99999997</v>
      </c>
      <c r="IR56" s="40">
        <v>270</v>
      </c>
      <c r="IS56" s="39">
        <f t="shared" si="217"/>
        <v>186787000.00000003</v>
      </c>
      <c r="IU56" s="106"/>
      <c r="IV56" s="106"/>
      <c r="IW56" s="16" t="s">
        <v>169</v>
      </c>
      <c r="IX56" s="12">
        <v>44371</v>
      </c>
      <c r="IY56" s="103">
        <v>55754455.457585886</v>
      </c>
      <c r="IZ56" s="104">
        <v>40000000</v>
      </c>
      <c r="JE56" s="40">
        <v>120</v>
      </c>
      <c r="JF56" s="39">
        <f t="shared" si="218"/>
        <v>215136999.99999997</v>
      </c>
      <c r="JG56" s="40">
        <v>270</v>
      </c>
      <c r="JH56" s="39">
        <f t="shared" si="219"/>
        <v>186787000.00000003</v>
      </c>
      <c r="JI56" s="39"/>
      <c r="JJ56" s="39"/>
      <c r="JL56" s="106"/>
      <c r="JM56" s="106"/>
      <c r="JN56" s="40">
        <v>120</v>
      </c>
      <c r="JO56" s="39">
        <f t="shared" si="220"/>
        <v>215136999.99999997</v>
      </c>
      <c r="JP56" s="40">
        <v>270</v>
      </c>
      <c r="JQ56" s="39">
        <f t="shared" si="221"/>
        <v>186787000.00000003</v>
      </c>
      <c r="JR56" s="39"/>
      <c r="JS56" s="39"/>
      <c r="JT56" s="39"/>
      <c r="JU56" s="39"/>
      <c r="JW56" s="106"/>
      <c r="JX56" s="106"/>
      <c r="NA56" s="16" t="s">
        <v>34</v>
      </c>
      <c r="NB56" s="16">
        <v>43195</v>
      </c>
      <c r="NC56" s="103">
        <v>18316540</v>
      </c>
      <c r="ND56" s="104">
        <v>6000000</v>
      </c>
      <c r="NI56" s="12" t="str">
        <f t="shared" si="198"/>
        <v>FY17</v>
      </c>
      <c r="NJ56" s="12">
        <f t="shared" si="194"/>
        <v>42901</v>
      </c>
      <c r="NK56" s="109">
        <f t="shared" si="199"/>
        <v>43.455060000000003</v>
      </c>
      <c r="NL56" s="109">
        <f t="shared" si="195"/>
        <v>30</v>
      </c>
      <c r="NN56" s="106"/>
      <c r="NP56" s="16" t="s">
        <v>33</v>
      </c>
      <c r="NQ56" s="16">
        <v>43566</v>
      </c>
      <c r="NR56" s="103">
        <v>18163464</v>
      </c>
      <c r="NS56" s="104">
        <v>8000000</v>
      </c>
      <c r="NX56" s="12" t="str">
        <f t="shared" si="200"/>
        <v>FY18</v>
      </c>
      <c r="NY56" s="12">
        <f t="shared" si="196"/>
        <v>43272</v>
      </c>
      <c r="NZ56" s="109">
        <f t="shared" si="201"/>
        <v>11.01375</v>
      </c>
      <c r="OA56" s="109">
        <f t="shared" si="197"/>
        <v>3</v>
      </c>
      <c r="OC56" s="106"/>
    </row>
    <row r="57" spans="2:393" x14ac:dyDescent="0.25">
      <c r="B57" s="5"/>
      <c r="C57" s="5"/>
      <c r="D57" s="5"/>
      <c r="F57" s="5"/>
      <c r="G57" s="51"/>
      <c r="H57" s="51"/>
      <c r="I57" s="50"/>
      <c r="K57" s="7">
        <v>53</v>
      </c>
      <c r="M57" s="5" t="str" cm="1">
        <f t="array" ref="M57">LOOKUP(2,1/($G$19:$G$35&lt;=$V57)/($H$19:$H$35&gt;=$V57),$F$19:$F$35)</f>
        <v>2H18</v>
      </c>
      <c r="N57" s="5" t="str" cm="1">
        <f t="array" ref="N57">LOOKUP(2,1/($G$8:$G$16&lt;=$V57)/($H$8:$H$16&gt;=$V57),$F$8:$F$16)</f>
        <v>FY18</v>
      </c>
      <c r="O57" s="5" t="str">
        <f>IFERROR(N57&amp;"-"&amp;COUNTIF($N$19:N57,N57),NA())</f>
        <v>FY18-27</v>
      </c>
      <c r="P57" s="5">
        <f>COUNTIF(V$19:V57,"&gt;="&amp;MAX($V:$V)-183)</f>
        <v>0</v>
      </c>
      <c r="Q57" s="5">
        <f>COUNTIF(V$19:V57,"&gt;="&amp;MAX($V:$V)-365)</f>
        <v>0</v>
      </c>
      <c r="R57" s="5" cm="1">
        <f t="array" ref="R57">LOOKUP(2,1/($G$46:$G$50&lt;=$V57)/($H$46:$H$50&gt;=$V57),$F$46:$F$50)</f>
        <v>0</v>
      </c>
      <c r="S57" s="5" cm="1">
        <f t="array" ref="S57">LOOKUP(2,1/($G$53:$G$56&lt;=$V57)/($H$53:$H$56&gt;=$V57),$F$53:$F$56)</f>
        <v>0</v>
      </c>
      <c r="T57" s="5" t="e">
        <f>IFERROR(IF($R57&gt;0,$R57&amp;"-"&amp;COUNTIF($R$19:$R57,$R57),NA()),NA())</f>
        <v>#N/A</v>
      </c>
      <c r="U57" s="5" t="e">
        <f>IFERROR(IF($S57&gt;0,$S57&amp;"-"&amp;COUNTIF($S$19:$S57,$S57),NA()),NA())</f>
        <v>#N/A</v>
      </c>
      <c r="V57" s="10">
        <v>43104</v>
      </c>
      <c r="W57" s="101">
        <v>46986662.149387613</v>
      </c>
      <c r="X57" s="101">
        <v>43652958.46988856</v>
      </c>
      <c r="Y57" s="102">
        <v>35000000</v>
      </c>
      <c r="AI57" s="18">
        <f t="shared" si="172"/>
        <v>11</v>
      </c>
      <c r="AJ57" s="12">
        <f t="shared" si="172"/>
        <v>45092</v>
      </c>
      <c r="AK57" s="109">
        <f t="shared" si="173"/>
        <v>87.731429334205075</v>
      </c>
      <c r="AL57" s="109">
        <f t="shared" si="173"/>
        <v>60</v>
      </c>
      <c r="AN57" s="106"/>
      <c r="AO57" s="106"/>
      <c r="AP57" s="18">
        <f t="shared" si="202"/>
        <v>9</v>
      </c>
      <c r="AQ57" s="12">
        <f t="shared" si="202"/>
        <v>45078</v>
      </c>
      <c r="AR57" s="109">
        <f t="shared" si="203"/>
        <v>40.719506810504527</v>
      </c>
      <c r="AS57" s="109">
        <f t="shared" si="203"/>
        <v>20</v>
      </c>
      <c r="AU57" s="106"/>
      <c r="AW57" s="48">
        <f t="shared" si="171"/>
        <v>53</v>
      </c>
      <c r="AX57" s="12">
        <f t="shared" si="154"/>
        <v>45204</v>
      </c>
      <c r="AY57" s="103">
        <f t="shared" si="155"/>
        <v>85385106.4618067</v>
      </c>
      <c r="AZ57" s="104">
        <f t="shared" si="156"/>
        <v>60000000</v>
      </c>
      <c r="BF57" s="18">
        <f t="shared" si="174"/>
        <v>11</v>
      </c>
      <c r="BG57" s="12">
        <f t="shared" si="174"/>
        <v>44910</v>
      </c>
      <c r="BH57" s="109">
        <f t="shared" si="175"/>
        <v>50.094358163575549</v>
      </c>
      <c r="BI57" s="109">
        <f t="shared" si="175"/>
        <v>30</v>
      </c>
      <c r="BK57" s="106"/>
      <c r="BL57" s="106"/>
      <c r="BM57" s="18">
        <f t="shared" si="204"/>
        <v>9</v>
      </c>
      <c r="BN57" s="12">
        <f t="shared" si="204"/>
        <v>44896</v>
      </c>
      <c r="BO57" s="109">
        <f t="shared" si="205"/>
        <v>25.213057950744904</v>
      </c>
      <c r="BP57" s="109">
        <f t="shared" si="205"/>
        <v>8</v>
      </c>
      <c r="BR57" s="106"/>
      <c r="BT57" s="48" t="e">
        <f t="shared" si="8"/>
        <v>#N/A</v>
      </c>
      <c r="BU57" s="12" t="e">
        <f t="shared" si="157"/>
        <v>#N/A</v>
      </c>
      <c r="BV57" s="103" t="e">
        <f t="shared" si="158"/>
        <v>#N/A</v>
      </c>
      <c r="BW57" s="104" t="e">
        <f t="shared" si="159"/>
        <v>#N/A</v>
      </c>
      <c r="CB57" s="18" t="str">
        <f t="shared" si="176"/>
        <v>N1-11</v>
      </c>
      <c r="CC57" s="12">
        <f t="shared" si="176"/>
        <v>44182</v>
      </c>
      <c r="CD57" s="109">
        <f t="shared" si="177"/>
        <v>40.397165825478872</v>
      </c>
      <c r="CE57" s="109">
        <f t="shared" si="177"/>
        <v>20</v>
      </c>
      <c r="CH57" s="106"/>
      <c r="CI57" s="48" t="e">
        <f t="shared" si="12"/>
        <v>#N/A</v>
      </c>
      <c r="CJ57" s="12" t="e">
        <f t="shared" si="160"/>
        <v>#N/A</v>
      </c>
      <c r="CK57" s="105" t="e">
        <f t="shared" si="161"/>
        <v>#N/A</v>
      </c>
      <c r="CL57" s="105" t="e">
        <f t="shared" si="162"/>
        <v>#N/A</v>
      </c>
      <c r="CQ57" s="18" t="str">
        <f t="shared" si="178"/>
        <v>A1-11</v>
      </c>
      <c r="CR57" s="12">
        <f t="shared" si="178"/>
        <v>44294</v>
      </c>
      <c r="CS57" s="109">
        <f t="shared" si="179"/>
        <v>41.866552508361195</v>
      </c>
      <c r="CT57" s="109">
        <f t="shared" si="179"/>
        <v>30</v>
      </c>
      <c r="CV57" s="106"/>
      <c r="CX57" s="48" t="e">
        <f t="shared" si="16"/>
        <v>#N/A</v>
      </c>
      <c r="CY57" s="12" t="e">
        <f t="shared" si="163"/>
        <v>#N/A</v>
      </c>
      <c r="CZ57" s="103" t="e">
        <f t="shared" si="164"/>
        <v>#N/A</v>
      </c>
      <c r="DA57" s="104" t="e">
        <f t="shared" si="165"/>
        <v>#N/A</v>
      </c>
      <c r="DF57" s="18" t="str">
        <f t="shared" si="180"/>
        <v>N2-11</v>
      </c>
      <c r="DG57" s="12">
        <f t="shared" si="180"/>
        <v>44777</v>
      </c>
      <c r="DH57" s="109">
        <f t="shared" si="181"/>
        <v>24.328928428093644</v>
      </c>
      <c r="DI57" s="109">
        <f t="shared" si="181"/>
        <v>8</v>
      </c>
      <c r="DK57" s="106" t="s">
        <v>36</v>
      </c>
      <c r="DL57" s="106"/>
      <c r="DM57" s="48" t="e">
        <f t="shared" si="20"/>
        <v>#N/A</v>
      </c>
      <c r="DN57" s="12" t="e">
        <f t="shared" si="166"/>
        <v>#N/A</v>
      </c>
      <c r="DO57" s="103" t="e">
        <f t="shared" si="167"/>
        <v>#N/A</v>
      </c>
      <c r="DP57" s="104" t="e">
        <f t="shared" si="168"/>
        <v>#N/A</v>
      </c>
      <c r="DU57" s="18" t="str">
        <f t="shared" si="182"/>
        <v>A2-11</v>
      </c>
      <c r="DV57" s="12">
        <f t="shared" si="182"/>
        <v>44889</v>
      </c>
      <c r="DW57" s="109">
        <f t="shared" si="183"/>
        <v>71.266594101550623</v>
      </c>
      <c r="DX57" s="109">
        <f t="shared" si="183"/>
        <v>50</v>
      </c>
      <c r="DZ57" s="106"/>
      <c r="EA57" s="106"/>
      <c r="EB57" s="12" t="str">
        <f t="shared" si="206"/>
        <v>A2-9</v>
      </c>
      <c r="EC57" s="12">
        <f t="shared" si="206"/>
        <v>44875</v>
      </c>
      <c r="ED57" s="109">
        <f t="shared" si="207"/>
        <v>44.321005290361803</v>
      </c>
      <c r="EE57" s="109">
        <f t="shared" si="207"/>
        <v>20</v>
      </c>
      <c r="EG57" s="106"/>
      <c r="EH57" s="106"/>
      <c r="EI57" s="47" t="e">
        <f t="shared" si="25"/>
        <v>#N/A</v>
      </c>
      <c r="EJ57" s="46" t="e">
        <f>IF(ISNA($EI57),NA(),INDEX($V:$V,MATCH(EI57,$O:$O,0)))</f>
        <v>#N/A</v>
      </c>
      <c r="EK57" s="107" t="e">
        <f>IF(ISNA($EI57),NA(),INDEX($W:$W,MATCH($EI57,$O:$O,0)))</f>
        <v>#N/A</v>
      </c>
      <c r="EL57" s="108" t="e">
        <f t="shared" si="169"/>
        <v>#N/A</v>
      </c>
      <c r="EN57" s="1">
        <v>2</v>
      </c>
      <c r="EO57" s="1">
        <v>8</v>
      </c>
      <c r="EQ57" s="12" t="str">
        <f t="shared" si="184"/>
        <v>FY18-11</v>
      </c>
      <c r="ER57" s="12">
        <f t="shared" si="184"/>
        <v>42992</v>
      </c>
      <c r="ES57" s="109">
        <f t="shared" si="185"/>
        <v>42.95593276349836</v>
      </c>
      <c r="ET57" s="109">
        <f t="shared" si="185"/>
        <v>30</v>
      </c>
      <c r="EU57" s="106"/>
      <c r="EV57" s="106"/>
      <c r="EW57" s="106"/>
      <c r="FF57" s="12" t="str">
        <f t="shared" si="186"/>
        <v>FY19</v>
      </c>
      <c r="FG57" s="12">
        <f t="shared" si="186"/>
        <v>43356</v>
      </c>
      <c r="FH57" s="109">
        <f t="shared" si="187"/>
        <v>27.308763127781301</v>
      </c>
      <c r="FI57" s="109">
        <f t="shared" si="187"/>
        <v>20</v>
      </c>
      <c r="FK57" s="106"/>
      <c r="FL57" s="106"/>
      <c r="FM57" s="12" t="str">
        <f t="shared" si="208"/>
        <v>FY19</v>
      </c>
      <c r="FN57" s="12">
        <f t="shared" si="208"/>
        <v>43342</v>
      </c>
      <c r="FO57" s="109">
        <f t="shared" si="209"/>
        <v>16.733295359186265</v>
      </c>
      <c r="FP57" s="109">
        <f t="shared" si="209"/>
        <v>8</v>
      </c>
      <c r="FR57" s="106"/>
      <c r="FS57" s="106"/>
      <c r="GB57" s="12" t="str">
        <f t="shared" si="188"/>
        <v>FY20</v>
      </c>
      <c r="GC57" s="12">
        <f t="shared" si="188"/>
        <v>43720</v>
      </c>
      <c r="GD57" s="109">
        <f t="shared" si="189"/>
        <v>124.36185927346989</v>
      </c>
      <c r="GE57" s="109">
        <f t="shared" si="189"/>
        <v>100</v>
      </c>
      <c r="GG57" s="106"/>
      <c r="GH57" s="106"/>
      <c r="GI57" s="12" t="str">
        <f t="shared" si="210"/>
        <v>FY20</v>
      </c>
      <c r="GJ57" s="12">
        <f t="shared" si="210"/>
        <v>43706</v>
      </c>
      <c r="GK57" s="109">
        <f t="shared" si="211"/>
        <v>55.027958165728073</v>
      </c>
      <c r="GL57" s="109">
        <f t="shared" si="211"/>
        <v>60</v>
      </c>
      <c r="GN57" s="106"/>
      <c r="GO57" s="106"/>
      <c r="GX57" s="12" t="str">
        <f t="shared" si="190"/>
        <v>FY21</v>
      </c>
      <c r="GY57" s="12">
        <f t="shared" si="190"/>
        <v>44084</v>
      </c>
      <c r="GZ57" s="109">
        <f t="shared" si="191"/>
        <v>59.511774764366059</v>
      </c>
      <c r="HA57" s="109">
        <f t="shared" si="191"/>
        <v>40</v>
      </c>
      <c r="HC57" s="106"/>
      <c r="HD57" s="106"/>
      <c r="HE57" s="16" t="s">
        <v>35</v>
      </c>
      <c r="HF57" s="16">
        <v>44742</v>
      </c>
      <c r="HG57" s="103">
        <v>77836461.903314069</v>
      </c>
      <c r="HH57" s="104">
        <v>60000000</v>
      </c>
      <c r="HM57" s="12" t="str">
        <f t="shared" si="192"/>
        <v>FY22</v>
      </c>
      <c r="HN57" s="12">
        <f t="shared" si="192"/>
        <v>44448</v>
      </c>
      <c r="HO57" s="109">
        <f t="shared" si="193"/>
        <v>19.506276923076921</v>
      </c>
      <c r="HP57" s="109">
        <f t="shared" si="193"/>
        <v>3</v>
      </c>
      <c r="HR57" s="106"/>
      <c r="HS57" s="106"/>
      <c r="HT57" s="12" t="str">
        <f t="shared" si="212"/>
        <v>FY22</v>
      </c>
      <c r="HU57" s="12">
        <f t="shared" si="212"/>
        <v>44434</v>
      </c>
      <c r="HV57" s="109">
        <f t="shared" si="213"/>
        <v>29.212562359379749</v>
      </c>
      <c r="HW57" s="109">
        <f t="shared" si="213"/>
        <v>8</v>
      </c>
      <c r="HY57" s="106"/>
      <c r="HZ57" s="106"/>
      <c r="IA57" s="16"/>
      <c r="IB57" s="16"/>
      <c r="IC57" s="103"/>
      <c r="ID57" s="104"/>
      <c r="II57" s="40">
        <v>130</v>
      </c>
      <c r="IJ57" s="39">
        <f t="shared" si="214"/>
        <v>233547000.00000003</v>
      </c>
      <c r="IK57" s="40">
        <v>280</v>
      </c>
      <c r="IL57" s="39">
        <f t="shared" si="215"/>
        <v>147296999.99999985</v>
      </c>
      <c r="IN57" s="106"/>
      <c r="IO57" s="106"/>
      <c r="IP57" s="40">
        <v>130</v>
      </c>
      <c r="IQ57" s="39">
        <f t="shared" si="216"/>
        <v>233547000.00000003</v>
      </c>
      <c r="IR57" s="40">
        <v>280</v>
      </c>
      <c r="IS57" s="39">
        <f t="shared" si="217"/>
        <v>147296999.99999985</v>
      </c>
      <c r="IU57" s="106"/>
      <c r="IV57" s="106"/>
      <c r="IW57" s="16" t="s">
        <v>169</v>
      </c>
      <c r="IX57" s="12">
        <v>44378</v>
      </c>
      <c r="IY57" s="103">
        <v>77623219.458802059</v>
      </c>
      <c r="IZ57" s="104">
        <v>60000000</v>
      </c>
      <c r="JE57" s="40">
        <v>130</v>
      </c>
      <c r="JF57" s="39">
        <f t="shared" si="218"/>
        <v>233547000.00000003</v>
      </c>
      <c r="JG57" s="40">
        <v>280</v>
      </c>
      <c r="JH57" s="39">
        <f t="shared" si="219"/>
        <v>147296999.99999985</v>
      </c>
      <c r="JI57" s="39"/>
      <c r="JJ57" s="39"/>
      <c r="JL57" s="106"/>
      <c r="JM57" s="106"/>
      <c r="JN57" s="40">
        <v>130</v>
      </c>
      <c r="JO57" s="39">
        <f t="shared" si="220"/>
        <v>233547000.00000003</v>
      </c>
      <c r="JP57" s="40">
        <v>280</v>
      </c>
      <c r="JQ57" s="39">
        <f t="shared" si="221"/>
        <v>147296999.99999985</v>
      </c>
      <c r="JR57" s="39"/>
      <c r="JS57" s="39"/>
      <c r="JT57" s="39"/>
      <c r="JU57" s="39"/>
      <c r="JW57" s="106"/>
      <c r="JX57" s="106"/>
      <c r="NA57" s="16" t="s">
        <v>34</v>
      </c>
      <c r="NB57" s="16">
        <v>43202</v>
      </c>
      <c r="NC57" s="103">
        <v>12798500</v>
      </c>
      <c r="ND57" s="104">
        <v>3000000</v>
      </c>
      <c r="NI57" s="12" t="str">
        <f t="shared" si="198"/>
        <v>FY17</v>
      </c>
      <c r="NJ57" s="12">
        <f t="shared" si="194"/>
        <v>42908</v>
      </c>
      <c r="NK57" s="109">
        <f t="shared" si="199"/>
        <v>12.797510000000001</v>
      </c>
      <c r="NL57" s="109">
        <f t="shared" si="195"/>
        <v>3</v>
      </c>
      <c r="NN57" s="106"/>
      <c r="NP57" s="16" t="s">
        <v>33</v>
      </c>
      <c r="NQ57" s="16">
        <v>43573</v>
      </c>
      <c r="NR57" s="103">
        <v>21462540</v>
      </c>
      <c r="NS57" s="104">
        <v>12000000</v>
      </c>
      <c r="NX57" s="12" t="str">
        <f t="shared" si="200"/>
        <v>FY18</v>
      </c>
      <c r="NY57" s="12">
        <f t="shared" si="196"/>
        <v>43279</v>
      </c>
      <c r="NZ57" s="109">
        <f t="shared" si="201"/>
        <v>16.538214</v>
      </c>
      <c r="OA57" s="109">
        <f t="shared" si="197"/>
        <v>8</v>
      </c>
      <c r="OC57" s="106"/>
    </row>
    <row r="58" spans="2:393" x14ac:dyDescent="0.25">
      <c r="B58" s="5"/>
      <c r="C58" s="5"/>
      <c r="D58" s="5"/>
      <c r="F58" s="5"/>
      <c r="G58" s="5"/>
      <c r="H58" s="5"/>
      <c r="I58" s="5"/>
      <c r="M58" s="5" t="str" cm="1">
        <f t="array" ref="M58">LOOKUP(2,1/($G$19:$G$35&lt;=$V58)/($H$19:$H$35&gt;=$V58),$F$19:$F$35)</f>
        <v>2H18</v>
      </c>
      <c r="N58" s="5" t="str" cm="1">
        <f t="array" ref="N58">LOOKUP(2,1/($G$8:$G$16&lt;=$V58)/($H$8:$H$16&gt;=$V58),$F$8:$F$16)</f>
        <v>FY18</v>
      </c>
      <c r="O58" s="5" t="str">
        <f>IFERROR(N58&amp;"-"&amp;COUNTIF($N$19:N58,N58),NA())</f>
        <v>FY18-28</v>
      </c>
      <c r="P58" s="5">
        <f>COUNTIF(V$19:V58,"&gt;="&amp;MAX($V:$V)-183)</f>
        <v>0</v>
      </c>
      <c r="Q58" s="5">
        <f>COUNTIF(V$19:V58,"&gt;="&amp;MAX($V:$V)-365)</f>
        <v>0</v>
      </c>
      <c r="R58" s="5" cm="1">
        <f t="array" ref="R58">LOOKUP(2,1/($G$46:$G$50&lt;=$V58)/($H$46:$H$50&gt;=$V58),$F$46:$F$50)</f>
        <v>0</v>
      </c>
      <c r="S58" s="5" cm="1">
        <f t="array" ref="S58">LOOKUP(2,1/($G$53:$G$56&lt;=$V58)/($H$53:$H$56&gt;=$V58),$F$53:$F$56)</f>
        <v>0</v>
      </c>
      <c r="T58" s="5" t="e">
        <f>IFERROR(IF($R58&gt;0,$R58&amp;"-"&amp;COUNTIF($R$19:$R58,$R58),NA()),NA())</f>
        <v>#N/A</v>
      </c>
      <c r="U58" s="5" t="e">
        <f>IFERROR(IF($S58&gt;0,$S58&amp;"-"&amp;COUNTIF($S$19:$S58,$S58),NA()),NA())</f>
        <v>#N/A</v>
      </c>
      <c r="V58" s="10">
        <v>43111</v>
      </c>
      <c r="W58" s="101">
        <v>80521889.218561321</v>
      </c>
      <c r="X58" s="101">
        <v>74808861.178504393</v>
      </c>
      <c r="Y58" s="102">
        <v>55000000</v>
      </c>
      <c r="AI58" s="18">
        <f t="shared" si="172"/>
        <v>12</v>
      </c>
      <c r="AJ58" s="12">
        <f t="shared" si="172"/>
        <v>45099</v>
      </c>
      <c r="AK58" s="109">
        <f t="shared" si="173"/>
        <v>169.14758330609132</v>
      </c>
      <c r="AL58" s="109">
        <f t="shared" si="173"/>
        <v>100</v>
      </c>
      <c r="AN58" s="106"/>
      <c r="AO58" s="106"/>
      <c r="AP58" s="18">
        <f t="shared" si="202"/>
        <v>10</v>
      </c>
      <c r="AQ58" s="12">
        <f t="shared" si="202"/>
        <v>45085</v>
      </c>
      <c r="AR58" s="109">
        <f t="shared" si="203"/>
        <v>56.400732701318518</v>
      </c>
      <c r="AS58" s="109">
        <f t="shared" si="203"/>
        <v>40</v>
      </c>
      <c r="AU58" s="106"/>
      <c r="BF58" s="18">
        <f t="shared" si="174"/>
        <v>12</v>
      </c>
      <c r="BG58" s="12">
        <f t="shared" si="174"/>
        <v>44917</v>
      </c>
      <c r="BH58" s="109">
        <f t="shared" si="175"/>
        <v>75.733957798723026</v>
      </c>
      <c r="BI58" s="109">
        <f t="shared" si="175"/>
        <v>50</v>
      </c>
      <c r="BK58" s="106"/>
      <c r="BL58" s="106"/>
      <c r="BM58" s="18">
        <f t="shared" si="204"/>
        <v>10</v>
      </c>
      <c r="BN58" s="12">
        <f t="shared" si="204"/>
        <v>44903</v>
      </c>
      <c r="BO58" s="109">
        <f t="shared" si="205"/>
        <v>38.341626147765275</v>
      </c>
      <c r="BP58" s="109">
        <f t="shared" si="205"/>
        <v>20</v>
      </c>
      <c r="BR58" s="106"/>
      <c r="CB58" s="18" t="str">
        <f t="shared" si="176"/>
        <v>N1-12</v>
      </c>
      <c r="CC58" s="12">
        <f t="shared" si="176"/>
        <v>44189</v>
      </c>
      <c r="CD58" s="109">
        <f t="shared" si="177"/>
        <v>19.022130495591366</v>
      </c>
      <c r="CE58" s="109">
        <f t="shared" si="177"/>
        <v>3</v>
      </c>
      <c r="CH58" s="106"/>
      <c r="CQ58" s="18" t="str">
        <f t="shared" si="178"/>
        <v>A1-12</v>
      </c>
      <c r="CR58" s="12">
        <f t="shared" si="178"/>
        <v>44301</v>
      </c>
      <c r="CS58" s="109">
        <f t="shared" si="179"/>
        <v>63.615309698996647</v>
      </c>
      <c r="CT58" s="109">
        <f t="shared" si="179"/>
        <v>50</v>
      </c>
      <c r="CV58" s="106"/>
      <c r="DF58" s="18" t="str">
        <f t="shared" si="180"/>
        <v>N2-12</v>
      </c>
      <c r="DG58" s="12">
        <f t="shared" si="180"/>
        <v>44784</v>
      </c>
      <c r="DH58" s="109">
        <f t="shared" si="181"/>
        <v>39.456376284584977</v>
      </c>
      <c r="DI58" s="109">
        <f t="shared" si="181"/>
        <v>20</v>
      </c>
      <c r="DK58" s="104">
        <v>234</v>
      </c>
      <c r="DL58" s="106"/>
      <c r="DU58" s="18" t="str">
        <f t="shared" si="182"/>
        <v>A2-12</v>
      </c>
      <c r="DV58" s="12">
        <f t="shared" si="182"/>
        <v>44896</v>
      </c>
      <c r="DW58" s="109">
        <f t="shared" si="183"/>
        <v>25.213057950744904</v>
      </c>
      <c r="DX58" s="109">
        <f t="shared" si="183"/>
        <v>8</v>
      </c>
      <c r="DZ58" s="106"/>
      <c r="EA58" s="106"/>
      <c r="EB58" s="12" t="str">
        <f t="shared" si="206"/>
        <v>A2-10</v>
      </c>
      <c r="EC58" s="12">
        <f t="shared" si="206"/>
        <v>44882</v>
      </c>
      <c r="ED58" s="109">
        <f t="shared" si="207"/>
        <v>51.026175372453629</v>
      </c>
      <c r="EE58" s="109">
        <f t="shared" si="207"/>
        <v>30</v>
      </c>
      <c r="EG58" s="106"/>
      <c r="EH58" s="106"/>
      <c r="EN58" s="1">
        <v>3</v>
      </c>
      <c r="EO58" s="1">
        <v>12</v>
      </c>
      <c r="EQ58" s="12" t="str">
        <f t="shared" si="184"/>
        <v>FY18-12</v>
      </c>
      <c r="ER58" s="12">
        <f t="shared" si="184"/>
        <v>42999</v>
      </c>
      <c r="ES58" s="109">
        <f t="shared" si="185"/>
        <v>69.849422718647574</v>
      </c>
      <c r="ET58" s="109">
        <f t="shared" si="185"/>
        <v>50</v>
      </c>
      <c r="EU58" s="106"/>
      <c r="EV58" s="106"/>
      <c r="EW58" s="106"/>
      <c r="FF58" s="12" t="str">
        <f t="shared" si="186"/>
        <v>FY19</v>
      </c>
      <c r="FG58" s="12">
        <f t="shared" si="186"/>
        <v>43363</v>
      </c>
      <c r="FH58" s="109">
        <f t="shared" si="187"/>
        <v>36.523512523839784</v>
      </c>
      <c r="FI58" s="109">
        <f t="shared" si="187"/>
        <v>30</v>
      </c>
      <c r="FK58" s="106"/>
      <c r="FL58" s="106"/>
      <c r="FM58" s="12" t="str">
        <f t="shared" si="208"/>
        <v>FY19</v>
      </c>
      <c r="FN58" s="12">
        <f t="shared" si="208"/>
        <v>43349</v>
      </c>
      <c r="FO58" s="109">
        <f t="shared" si="209"/>
        <v>21.606582835346465</v>
      </c>
      <c r="FP58" s="109">
        <f t="shared" si="209"/>
        <v>12</v>
      </c>
      <c r="FR58" s="106"/>
      <c r="FS58" s="106"/>
      <c r="GB58" s="12" t="str">
        <f t="shared" si="188"/>
        <v>FY20</v>
      </c>
      <c r="GC58" s="12">
        <f t="shared" si="188"/>
        <v>43727</v>
      </c>
      <c r="GD58" s="109">
        <f t="shared" si="189"/>
        <v>202.66496689151555</v>
      </c>
      <c r="GE58" s="109">
        <f t="shared" si="189"/>
        <v>150</v>
      </c>
      <c r="GG58" s="106"/>
      <c r="GH58" s="106"/>
      <c r="GI58" s="12" t="str">
        <f t="shared" si="210"/>
        <v>FY20</v>
      </c>
      <c r="GJ58" s="12">
        <f t="shared" si="210"/>
        <v>43713</v>
      </c>
      <c r="GK58" s="109">
        <f t="shared" si="211"/>
        <v>82.565532768116853</v>
      </c>
      <c r="GL58" s="109">
        <f t="shared" si="211"/>
        <v>80</v>
      </c>
      <c r="GN58" s="106"/>
      <c r="GO58" s="106"/>
      <c r="GX58" s="12" t="str">
        <f t="shared" si="190"/>
        <v>FY21</v>
      </c>
      <c r="GY58" s="12">
        <f t="shared" si="190"/>
        <v>44091</v>
      </c>
      <c r="GZ58" s="109">
        <f t="shared" si="191"/>
        <v>82.205458680449993</v>
      </c>
      <c r="HA58" s="109">
        <f t="shared" si="191"/>
        <v>60</v>
      </c>
      <c r="HC58" s="106"/>
      <c r="HD58" s="106"/>
      <c r="HM58" s="12" t="str">
        <f t="shared" si="192"/>
        <v>FY22</v>
      </c>
      <c r="HN58" s="12">
        <f t="shared" si="192"/>
        <v>44455</v>
      </c>
      <c r="HO58" s="109">
        <f t="shared" si="193"/>
        <v>25.355454910307085</v>
      </c>
      <c r="HP58" s="109">
        <f t="shared" si="193"/>
        <v>8</v>
      </c>
      <c r="HR58" s="106"/>
      <c r="HS58" s="106"/>
      <c r="HT58" s="12" t="str">
        <f t="shared" si="212"/>
        <v>FY22</v>
      </c>
      <c r="HU58" s="12">
        <f t="shared" si="212"/>
        <v>44441</v>
      </c>
      <c r="HV58" s="109">
        <f t="shared" si="213"/>
        <v>43.186218060200659</v>
      </c>
      <c r="HW58" s="109">
        <f t="shared" si="213"/>
        <v>20</v>
      </c>
      <c r="HY58" s="106"/>
      <c r="HZ58" s="106"/>
      <c r="II58" s="40">
        <v>140</v>
      </c>
      <c r="IJ58" s="39">
        <f t="shared" si="214"/>
        <v>250617000</v>
      </c>
      <c r="IK58" s="40">
        <v>290</v>
      </c>
      <c r="IL58" s="39">
        <f t="shared" si="215"/>
        <v>101066999.99999987</v>
      </c>
      <c r="IN58" s="106"/>
      <c r="IO58" s="106"/>
      <c r="IP58" s="40">
        <v>140</v>
      </c>
      <c r="IQ58" s="39">
        <f t="shared" si="216"/>
        <v>250617000</v>
      </c>
      <c r="IR58" s="40">
        <v>290</v>
      </c>
      <c r="IS58" s="39">
        <f t="shared" si="217"/>
        <v>101066999.99999987</v>
      </c>
      <c r="IU58" s="106"/>
      <c r="IV58" s="106"/>
      <c r="IW58" s="16" t="s">
        <v>169</v>
      </c>
      <c r="IX58" s="12">
        <v>44385</v>
      </c>
      <c r="IY58" s="103">
        <v>18162558.102766801</v>
      </c>
      <c r="IZ58" s="104">
        <v>3000000</v>
      </c>
      <c r="JE58" s="40">
        <v>140</v>
      </c>
      <c r="JF58" s="39">
        <f t="shared" si="218"/>
        <v>250617000</v>
      </c>
      <c r="JG58" s="40">
        <v>290</v>
      </c>
      <c r="JH58" s="39">
        <f t="shared" si="219"/>
        <v>101066999.99999987</v>
      </c>
      <c r="JI58" s="39"/>
      <c r="JJ58" s="39"/>
      <c r="JL58" s="106"/>
      <c r="JM58" s="106"/>
      <c r="JN58" s="40">
        <v>140</v>
      </c>
      <c r="JO58" s="39">
        <f t="shared" si="220"/>
        <v>250617000</v>
      </c>
      <c r="JP58" s="40">
        <v>290</v>
      </c>
      <c r="JQ58" s="39">
        <f t="shared" si="221"/>
        <v>101066999.99999987</v>
      </c>
      <c r="JR58" s="39"/>
      <c r="JS58" s="39"/>
      <c r="JT58" s="39"/>
      <c r="JU58" s="39"/>
      <c r="JW58" s="106"/>
      <c r="JX58" s="106"/>
      <c r="NI58" s="12" t="str">
        <f t="shared" si="198"/>
        <v>FY17</v>
      </c>
      <c r="NJ58" s="12">
        <f t="shared" si="194"/>
        <v>42915</v>
      </c>
      <c r="NK58" s="109">
        <f t="shared" si="199"/>
        <v>17.675350000000002</v>
      </c>
      <c r="NL58" s="109">
        <f t="shared" si="195"/>
        <v>6</v>
      </c>
      <c r="NN58" s="106"/>
      <c r="NX58" s="12" t="str">
        <f t="shared" si="200"/>
        <v>FY19</v>
      </c>
      <c r="NY58" s="12">
        <f t="shared" si="196"/>
        <v>43286</v>
      </c>
      <c r="NZ58" s="109">
        <f t="shared" si="201"/>
        <v>20.156862</v>
      </c>
      <c r="OA58" s="109">
        <f t="shared" si="197"/>
        <v>12</v>
      </c>
      <c r="OC58" s="106"/>
    </row>
    <row r="59" spans="2:393" x14ac:dyDescent="0.25">
      <c r="B59" s="5"/>
      <c r="C59" s="5"/>
      <c r="D59" s="5"/>
      <c r="F59" s="5"/>
      <c r="G59" s="5"/>
      <c r="H59" s="5"/>
      <c r="I59" s="5"/>
      <c r="M59" s="5" t="str" cm="1">
        <f t="array" ref="M59">LOOKUP(2,1/($G$19:$G$35&lt;=$V59)/($H$19:$H$35&gt;=$V59),$F$19:$F$35)</f>
        <v>2H18</v>
      </c>
      <c r="N59" s="5" t="str" cm="1">
        <f t="array" ref="N59">LOOKUP(2,1/($G$8:$G$16&lt;=$V59)/($H$8:$H$16&gt;=$V59),$F$8:$F$16)</f>
        <v>FY18</v>
      </c>
      <c r="O59" s="5" t="str">
        <f>IFERROR(N59&amp;"-"&amp;COUNTIF($N$19:N59,N59),NA())</f>
        <v>FY18-29</v>
      </c>
      <c r="P59" s="5">
        <f>COUNTIF(V$19:V59,"&gt;="&amp;MAX($V:$V)-183)</f>
        <v>0</v>
      </c>
      <c r="Q59" s="5">
        <f>COUNTIF(V$19:V59,"&gt;="&amp;MAX($V:$V)-365)</f>
        <v>0</v>
      </c>
      <c r="R59" s="5" cm="1">
        <f t="array" ref="R59">LOOKUP(2,1/($G$46:$G$50&lt;=$V59)/($H$46:$H$50&gt;=$V59),$F$46:$F$50)</f>
        <v>0</v>
      </c>
      <c r="S59" s="5" cm="1">
        <f t="array" ref="S59">LOOKUP(2,1/($G$53:$G$56&lt;=$V59)/($H$53:$H$56&gt;=$V59),$F$53:$F$56)</f>
        <v>0</v>
      </c>
      <c r="T59" s="5" t="e">
        <f>IFERROR(IF($R59&gt;0,$R59&amp;"-"&amp;COUNTIF($R$19:$R59,$R59),NA()),NA())</f>
        <v>#N/A</v>
      </c>
      <c r="U59" s="5" t="e">
        <f>IFERROR(IF($S59&gt;0,$S59&amp;"-"&amp;COUNTIF($S$19:$S59,$S59),NA()),NA())</f>
        <v>#N/A</v>
      </c>
      <c r="V59" s="10">
        <v>43118</v>
      </c>
      <c r="W59" s="101">
        <v>14500914.517854061</v>
      </c>
      <c r="X59" s="101">
        <v>13472074.632812314</v>
      </c>
      <c r="Y59" s="102">
        <v>3000000</v>
      </c>
      <c r="AI59" s="18">
        <f t="shared" si="172"/>
        <v>13</v>
      </c>
      <c r="AJ59" s="12">
        <f t="shared" si="172"/>
        <v>45106</v>
      </c>
      <c r="AK59" s="109">
        <f t="shared" si="173"/>
        <v>19.52442312302496</v>
      </c>
      <c r="AL59" s="109">
        <f t="shared" si="173"/>
        <v>4</v>
      </c>
      <c r="AN59" s="106"/>
      <c r="AO59" s="106"/>
      <c r="AP59" s="18">
        <f t="shared" si="202"/>
        <v>11</v>
      </c>
      <c r="AQ59" s="12">
        <f t="shared" si="202"/>
        <v>45092</v>
      </c>
      <c r="AR59" s="109">
        <f t="shared" si="203"/>
        <v>87.731429334205075</v>
      </c>
      <c r="AS59" s="109">
        <f t="shared" si="203"/>
        <v>60</v>
      </c>
      <c r="AU59" s="106"/>
      <c r="BF59" s="18">
        <f t="shared" si="174"/>
        <v>13</v>
      </c>
      <c r="BG59" s="12">
        <f t="shared" si="174"/>
        <v>44924</v>
      </c>
      <c r="BH59" s="109">
        <f t="shared" si="175"/>
        <v>137.55484439039225</v>
      </c>
      <c r="BI59" s="109">
        <f t="shared" si="175"/>
        <v>100</v>
      </c>
      <c r="BK59" s="106"/>
      <c r="BL59" s="106"/>
      <c r="BM59" s="18">
        <f t="shared" si="204"/>
        <v>11</v>
      </c>
      <c r="BN59" s="12">
        <f t="shared" si="204"/>
        <v>44910</v>
      </c>
      <c r="BO59" s="109">
        <f t="shared" si="205"/>
        <v>50.094358163575549</v>
      </c>
      <c r="BP59" s="109">
        <f t="shared" si="205"/>
        <v>30</v>
      </c>
      <c r="BR59" s="106"/>
      <c r="CB59" s="18" t="str">
        <f t="shared" si="176"/>
        <v>N1-13</v>
      </c>
      <c r="CC59" s="12">
        <f t="shared" si="176"/>
        <v>44196</v>
      </c>
      <c r="CD59" s="109">
        <f t="shared" si="177"/>
        <v>25.387217756156883</v>
      </c>
      <c r="CE59" s="109">
        <f t="shared" si="177"/>
        <v>8</v>
      </c>
      <c r="CG59" s="43" t="s">
        <v>32</v>
      </c>
      <c r="CH59" s="106"/>
      <c r="CI59" s="37" t="s">
        <v>31</v>
      </c>
      <c r="CJ59" s="36"/>
      <c r="CK59" s="36"/>
      <c r="CL59" s="35"/>
      <c r="CQ59" s="18" t="str">
        <f t="shared" si="178"/>
        <v>A1-13</v>
      </c>
      <c r="CR59" s="12">
        <f t="shared" si="178"/>
        <v>44308</v>
      </c>
      <c r="CS59" s="109">
        <f t="shared" si="179"/>
        <v>118.500310611128</v>
      </c>
      <c r="CT59" s="109">
        <f t="shared" si="179"/>
        <v>80</v>
      </c>
      <c r="CV59" s="106"/>
      <c r="DF59" s="18" t="str">
        <f t="shared" si="180"/>
        <v>N2-13</v>
      </c>
      <c r="DG59" s="12">
        <f t="shared" si="180"/>
        <v>44791</v>
      </c>
      <c r="DH59" s="109">
        <f t="shared" si="181"/>
        <v>20.023645363332321</v>
      </c>
      <c r="DI59" s="109">
        <f t="shared" si="181"/>
        <v>4</v>
      </c>
      <c r="DK59" s="106"/>
      <c r="DL59" s="106"/>
      <c r="DU59" s="18" t="str">
        <f t="shared" si="182"/>
        <v>A2-13</v>
      </c>
      <c r="DV59" s="12">
        <f t="shared" si="182"/>
        <v>44903</v>
      </c>
      <c r="DW59" s="109">
        <f t="shared" si="183"/>
        <v>38.341626147765275</v>
      </c>
      <c r="DX59" s="109">
        <f t="shared" si="183"/>
        <v>20</v>
      </c>
      <c r="DZ59" s="106"/>
      <c r="EA59" s="106"/>
      <c r="EB59" s="12" t="str">
        <f t="shared" si="206"/>
        <v>A2-11</v>
      </c>
      <c r="EC59" s="12">
        <f t="shared" si="206"/>
        <v>44889</v>
      </c>
      <c r="ED59" s="109">
        <f t="shared" si="207"/>
        <v>71.266594101550623</v>
      </c>
      <c r="EE59" s="109">
        <f t="shared" si="207"/>
        <v>50</v>
      </c>
      <c r="EG59" s="106"/>
      <c r="EH59" s="106"/>
      <c r="EN59" s="1">
        <v>4</v>
      </c>
      <c r="EO59" s="1">
        <v>20</v>
      </c>
      <c r="EQ59" s="12" t="str">
        <f t="shared" si="184"/>
        <v>FY18-13</v>
      </c>
      <c r="ER59" s="12">
        <f t="shared" si="184"/>
        <v>43006</v>
      </c>
      <c r="ES59" s="109">
        <f t="shared" si="185"/>
        <v>14.312979346213556</v>
      </c>
      <c r="ET59" s="109">
        <f t="shared" si="185"/>
        <v>3</v>
      </c>
      <c r="EU59" s="106"/>
      <c r="EV59" s="106"/>
      <c r="EW59" s="106"/>
      <c r="FF59" s="12" t="str">
        <f t="shared" si="186"/>
        <v>FY19</v>
      </c>
      <c r="FG59" s="12">
        <f t="shared" si="186"/>
        <v>43370</v>
      </c>
      <c r="FH59" s="109">
        <f t="shared" si="187"/>
        <v>12.986396185632547</v>
      </c>
      <c r="FI59" s="109">
        <f t="shared" si="187"/>
        <v>3</v>
      </c>
      <c r="FK59" s="106"/>
      <c r="FL59" s="106"/>
      <c r="FM59" s="12" t="str">
        <f t="shared" si="208"/>
        <v>FY19</v>
      </c>
      <c r="FN59" s="12">
        <f t="shared" si="208"/>
        <v>43356</v>
      </c>
      <c r="FO59" s="109">
        <f t="shared" si="209"/>
        <v>27.308763127781301</v>
      </c>
      <c r="FP59" s="109">
        <f t="shared" si="209"/>
        <v>20</v>
      </c>
      <c r="FR59" s="106"/>
      <c r="FS59" s="106"/>
      <c r="GB59" s="12" t="str">
        <f t="shared" si="188"/>
        <v>FY20</v>
      </c>
      <c r="GC59" s="12">
        <f t="shared" si="188"/>
        <v>43734</v>
      </c>
      <c r="GD59" s="109">
        <f t="shared" si="189"/>
        <v>15.306639767312332</v>
      </c>
      <c r="GE59" s="109">
        <f t="shared" si="189"/>
        <v>3</v>
      </c>
      <c r="GG59" s="106"/>
      <c r="GH59" s="106"/>
      <c r="GI59" s="12" t="e">
        <f t="shared" si="210"/>
        <v>#N/A</v>
      </c>
      <c r="GJ59" s="12" t="e">
        <f t="shared" si="210"/>
        <v>#N/A</v>
      </c>
      <c r="GK59" s="109" t="e">
        <f t="shared" si="211"/>
        <v>#N/A</v>
      </c>
      <c r="GL59" s="109" t="e">
        <f t="shared" si="211"/>
        <v>#N/A</v>
      </c>
      <c r="GN59" s="106"/>
      <c r="GO59" s="106"/>
      <c r="GX59" s="12" t="str">
        <f t="shared" si="190"/>
        <v>FY21</v>
      </c>
      <c r="GY59" s="12">
        <f t="shared" si="190"/>
        <v>44098</v>
      </c>
      <c r="GZ59" s="109">
        <f t="shared" si="191"/>
        <v>19.672046457889937</v>
      </c>
      <c r="HA59" s="109">
        <f t="shared" si="191"/>
        <v>3</v>
      </c>
      <c r="HC59" s="106"/>
      <c r="HD59" s="106"/>
      <c r="HM59" s="12" t="str">
        <f t="shared" si="192"/>
        <v>FY22</v>
      </c>
      <c r="HN59" s="12">
        <f t="shared" si="192"/>
        <v>44462</v>
      </c>
      <c r="HO59" s="109">
        <f t="shared" si="193"/>
        <v>19.222718151413801</v>
      </c>
      <c r="HP59" s="109">
        <f t="shared" si="193"/>
        <v>3</v>
      </c>
      <c r="HR59" s="106"/>
      <c r="HS59" s="106"/>
      <c r="HT59" s="12" t="str">
        <f t="shared" si="212"/>
        <v>FY22</v>
      </c>
      <c r="HU59" s="12">
        <f t="shared" si="212"/>
        <v>44448</v>
      </c>
      <c r="HV59" s="109">
        <f t="shared" si="213"/>
        <v>19.506276923076921</v>
      </c>
      <c r="HW59" s="109">
        <f t="shared" si="213"/>
        <v>3</v>
      </c>
      <c r="HY59" s="106"/>
      <c r="HZ59" s="106"/>
      <c r="II59" s="40">
        <v>150</v>
      </c>
      <c r="IJ59" s="39">
        <f t="shared" si="214"/>
        <v>265987000.00000003</v>
      </c>
      <c r="IK59" s="40">
        <v>300</v>
      </c>
      <c r="IL59" s="39">
        <f t="shared" si="215"/>
        <v>47736999.999999993</v>
      </c>
      <c r="IN59" s="106"/>
      <c r="IO59" s="106"/>
      <c r="IP59" s="40">
        <v>150</v>
      </c>
      <c r="IQ59" s="39">
        <f t="shared" si="216"/>
        <v>265987000.00000003</v>
      </c>
      <c r="IR59" s="40">
        <v>300</v>
      </c>
      <c r="IS59" s="39">
        <f t="shared" si="217"/>
        <v>47736999.999999993</v>
      </c>
      <c r="IU59" s="106"/>
      <c r="IV59" s="106"/>
      <c r="IW59" s="16" t="s">
        <v>169</v>
      </c>
      <c r="IX59" s="12">
        <v>44392</v>
      </c>
      <c r="IY59" s="103">
        <v>25998846.336272418</v>
      </c>
      <c r="IZ59" s="104">
        <v>8000000</v>
      </c>
      <c r="JE59" s="40">
        <v>150</v>
      </c>
      <c r="JF59" s="39">
        <f t="shared" si="218"/>
        <v>265987000.00000003</v>
      </c>
      <c r="JG59" s="40">
        <v>300</v>
      </c>
      <c r="JH59" s="39">
        <f t="shared" si="219"/>
        <v>47736999.999999993</v>
      </c>
      <c r="JI59" s="39"/>
      <c r="JJ59" s="39"/>
      <c r="JL59" s="106"/>
      <c r="JM59" s="106"/>
      <c r="JN59" s="40">
        <v>150</v>
      </c>
      <c r="JO59" s="39">
        <f t="shared" si="220"/>
        <v>265987000.00000003</v>
      </c>
      <c r="JP59" s="40">
        <v>300</v>
      </c>
      <c r="JQ59" s="39">
        <f t="shared" si="221"/>
        <v>47736999.999999993</v>
      </c>
      <c r="JR59" s="39"/>
      <c r="JS59" s="39"/>
      <c r="JT59" s="39"/>
      <c r="JU59" s="39"/>
      <c r="JW59" s="106"/>
      <c r="JX59" s="106"/>
      <c r="NI59" s="12" t="str">
        <f t="shared" si="198"/>
        <v>FY18</v>
      </c>
      <c r="NJ59" s="12">
        <f t="shared" si="194"/>
        <v>42922</v>
      </c>
      <c r="NK59" s="109">
        <f t="shared" si="199"/>
        <v>14.26502</v>
      </c>
      <c r="NL59" s="109">
        <f t="shared" si="195"/>
        <v>3</v>
      </c>
      <c r="NN59" s="106"/>
      <c r="NX59" s="12" t="str">
        <f t="shared" si="200"/>
        <v>FY19</v>
      </c>
      <c r="NY59" s="12">
        <f t="shared" si="196"/>
        <v>43293</v>
      </c>
      <c r="NZ59" s="109">
        <f t="shared" si="201"/>
        <v>27.395676000000002</v>
      </c>
      <c r="OA59" s="109">
        <f t="shared" si="197"/>
        <v>20</v>
      </c>
      <c r="OC59" s="106"/>
    </row>
    <row r="60" spans="2:393" x14ac:dyDescent="0.25">
      <c r="B60" s="5"/>
      <c r="C60" s="5"/>
      <c r="D60" s="5"/>
      <c r="F60" s="5"/>
      <c r="G60" s="5"/>
      <c r="H60" s="5"/>
      <c r="I60" s="5"/>
      <c r="M60" s="5" t="str" cm="1">
        <f t="array" ref="M60">LOOKUP(2,1/($G$19:$G$35&lt;=$V60)/($H$19:$H$35&gt;=$V60),$F$19:$F$35)</f>
        <v>2H18</v>
      </c>
      <c r="N60" s="5" t="str" cm="1">
        <f t="array" ref="N60">LOOKUP(2,1/($G$8:$G$16&lt;=$V60)/($H$8:$H$16&gt;=$V60),$F$8:$F$16)</f>
        <v>FY18</v>
      </c>
      <c r="O60" s="5" t="str">
        <f>IFERROR(N60&amp;"-"&amp;COUNTIF($N$19:N60,N60),NA())</f>
        <v>FY18-30</v>
      </c>
      <c r="P60" s="5">
        <f>COUNTIF(V$19:V60,"&gt;="&amp;MAX($V:$V)-183)</f>
        <v>0</v>
      </c>
      <c r="Q60" s="5">
        <f>COUNTIF(V$19:V60,"&gt;="&amp;MAX($V:$V)-365)</f>
        <v>0</v>
      </c>
      <c r="R60" s="5" cm="1">
        <f t="array" ref="R60">LOOKUP(2,1/($G$46:$G$50&lt;=$V60)/($H$46:$H$50&gt;=$V60),$F$46:$F$50)</f>
        <v>0</v>
      </c>
      <c r="S60" s="5" cm="1">
        <f t="array" ref="S60">LOOKUP(2,1/($G$53:$G$56&lt;=$V60)/($H$53:$H$56&gt;=$V60),$F$53:$F$56)</f>
        <v>0</v>
      </c>
      <c r="T60" s="5" t="e">
        <f>IFERROR(IF($R60&gt;0,$R60&amp;"-"&amp;COUNTIF($R$19:$R60,$R60),NA()),NA())</f>
        <v>#N/A</v>
      </c>
      <c r="U60" s="5" t="e">
        <f>IFERROR(IF($S60&gt;0,$S60&amp;"-"&amp;COUNTIF($S$19:$S60,$S60),NA()),NA())</f>
        <v>#N/A</v>
      </c>
      <c r="V60" s="10">
        <v>43125</v>
      </c>
      <c r="W60" s="101">
        <v>16030550.11040193</v>
      </c>
      <c r="X60" s="101">
        <v>14893182.580068912</v>
      </c>
      <c r="Y60" s="102">
        <v>3000000</v>
      </c>
      <c r="AI60" s="18">
        <f t="shared" si="172"/>
        <v>14</v>
      </c>
      <c r="AJ60" s="12">
        <f t="shared" si="172"/>
        <v>45113</v>
      </c>
      <c r="AK60" s="109">
        <f t="shared" si="173"/>
        <v>31.154789255748071</v>
      </c>
      <c r="AL60" s="109">
        <f t="shared" si="173"/>
        <v>12</v>
      </c>
      <c r="AN60" s="106"/>
      <c r="AO60" s="106"/>
      <c r="AP60" s="18" t="e">
        <f t="shared" si="202"/>
        <v>#N/A</v>
      </c>
      <c r="AQ60" s="12" t="e">
        <f t="shared" si="202"/>
        <v>#N/A</v>
      </c>
      <c r="AR60" s="109" t="e">
        <f t="shared" si="203"/>
        <v>#N/A</v>
      </c>
      <c r="AS60" s="109" t="e">
        <f t="shared" si="203"/>
        <v>#N/A</v>
      </c>
      <c r="AU60" s="106"/>
      <c r="BF60" s="18">
        <f t="shared" si="174"/>
        <v>14</v>
      </c>
      <c r="BG60" s="12">
        <f t="shared" si="174"/>
        <v>44931</v>
      </c>
      <c r="BH60" s="109">
        <f t="shared" si="175"/>
        <v>20.659761872909698</v>
      </c>
      <c r="BI60" s="109">
        <f t="shared" si="175"/>
        <v>4</v>
      </c>
      <c r="BK60" s="106"/>
      <c r="BL60" s="106"/>
      <c r="BM60" s="18">
        <f t="shared" si="204"/>
        <v>12</v>
      </c>
      <c r="BN60" s="12">
        <f t="shared" si="204"/>
        <v>44917</v>
      </c>
      <c r="BO60" s="109">
        <f t="shared" si="205"/>
        <v>75.733957798723026</v>
      </c>
      <c r="BP60" s="109">
        <f t="shared" si="205"/>
        <v>50</v>
      </c>
      <c r="BR60" s="106"/>
      <c r="CB60" s="18" t="str">
        <f t="shared" si="176"/>
        <v>N1-14</v>
      </c>
      <c r="CC60" s="12">
        <f t="shared" si="176"/>
        <v>44203</v>
      </c>
      <c r="CD60" s="109">
        <f t="shared" si="177"/>
        <v>17.082868713894804</v>
      </c>
      <c r="CE60" s="109">
        <f t="shared" si="177"/>
        <v>3</v>
      </c>
      <c r="CH60" s="106"/>
      <c r="CI60" s="34" t="s">
        <v>21</v>
      </c>
      <c r="CJ60" s="33"/>
      <c r="CK60" s="33"/>
      <c r="CL60" s="32"/>
      <c r="CQ60" s="18" t="str">
        <f t="shared" si="178"/>
        <v>A1-14</v>
      </c>
      <c r="CR60" s="12">
        <f t="shared" si="178"/>
        <v>44315</v>
      </c>
      <c r="CS60" s="109">
        <f t="shared" si="179"/>
        <v>24.573953906962604</v>
      </c>
      <c r="CT60" s="109">
        <f t="shared" si="179"/>
        <v>8</v>
      </c>
      <c r="CV60" s="106"/>
      <c r="DF60" s="18" t="str">
        <f t="shared" si="180"/>
        <v>N2-14</v>
      </c>
      <c r="DG60" s="12">
        <f t="shared" si="180"/>
        <v>44798</v>
      </c>
      <c r="DH60" s="109">
        <f t="shared" si="181"/>
        <v>25.45458339920949</v>
      </c>
      <c r="DI60" s="109">
        <f t="shared" si="181"/>
        <v>8</v>
      </c>
      <c r="DK60" s="17" t="s">
        <v>8</v>
      </c>
      <c r="DL60" s="106"/>
      <c r="DU60" s="18" t="str">
        <f t="shared" si="182"/>
        <v>A2-14</v>
      </c>
      <c r="DV60" s="12">
        <f t="shared" si="182"/>
        <v>44910</v>
      </c>
      <c r="DW60" s="109">
        <f t="shared" si="183"/>
        <v>50.094358163575549</v>
      </c>
      <c r="DX60" s="109">
        <f t="shared" si="183"/>
        <v>30</v>
      </c>
      <c r="DZ60" s="106"/>
      <c r="EA60" s="106"/>
      <c r="EB60" s="12" t="str">
        <f t="shared" si="206"/>
        <v>A2-12</v>
      </c>
      <c r="EC60" s="12">
        <f t="shared" si="206"/>
        <v>44896</v>
      </c>
      <c r="ED60" s="109">
        <f t="shared" si="207"/>
        <v>25.213057950744904</v>
      </c>
      <c r="EE60" s="109">
        <f t="shared" si="207"/>
        <v>8</v>
      </c>
      <c r="EG60" s="106"/>
      <c r="EH60" s="106"/>
      <c r="EN60" s="1">
        <v>5</v>
      </c>
      <c r="EO60" s="1">
        <v>30</v>
      </c>
      <c r="EQ60" s="12" t="str">
        <f t="shared" si="184"/>
        <v>FY18-14</v>
      </c>
      <c r="ER60" s="12">
        <f t="shared" si="184"/>
        <v>43013</v>
      </c>
      <c r="ES60" s="109">
        <f t="shared" si="185"/>
        <v>17.552791894083146</v>
      </c>
      <c r="ET60" s="109">
        <f t="shared" si="185"/>
        <v>6</v>
      </c>
      <c r="EU60" s="106"/>
      <c r="EV60" s="106"/>
      <c r="EW60" s="106"/>
      <c r="FF60" s="12" t="str">
        <f t="shared" si="186"/>
        <v>FY19</v>
      </c>
      <c r="FG60" s="12">
        <f t="shared" si="186"/>
        <v>43377</v>
      </c>
      <c r="FH60" s="109">
        <f t="shared" si="187"/>
        <v>17.248674888747615</v>
      </c>
      <c r="FI60" s="109">
        <f t="shared" si="187"/>
        <v>8</v>
      </c>
      <c r="FK60" s="106"/>
      <c r="FL60" s="106"/>
      <c r="FM60" s="12" t="str">
        <f t="shared" si="208"/>
        <v>FY19</v>
      </c>
      <c r="FN60" s="12">
        <f t="shared" si="208"/>
        <v>43363</v>
      </c>
      <c r="FO60" s="109">
        <f t="shared" si="209"/>
        <v>36.523512523839784</v>
      </c>
      <c r="FP60" s="109">
        <f t="shared" si="209"/>
        <v>30</v>
      </c>
      <c r="FR60" s="106"/>
      <c r="FS60" s="106"/>
      <c r="GB60" s="12" t="str">
        <f t="shared" si="188"/>
        <v>FY20</v>
      </c>
      <c r="GC60" s="12">
        <f t="shared" si="188"/>
        <v>43741</v>
      </c>
      <c r="GD60" s="109">
        <f t="shared" si="189"/>
        <v>18.203091032860947</v>
      </c>
      <c r="GE60" s="109">
        <f t="shared" si="189"/>
        <v>8</v>
      </c>
      <c r="GG60" s="106"/>
      <c r="GH60" s="106"/>
      <c r="GI60" s="12" t="e">
        <f t="shared" si="210"/>
        <v>#N/A</v>
      </c>
      <c r="GJ60" s="12" t="e">
        <f t="shared" si="210"/>
        <v>#N/A</v>
      </c>
      <c r="GK60" s="109" t="e">
        <f t="shared" si="211"/>
        <v>#N/A</v>
      </c>
      <c r="GL60" s="109" t="e">
        <f t="shared" si="211"/>
        <v>#N/A</v>
      </c>
      <c r="GN60" s="106"/>
      <c r="GO60" s="106"/>
      <c r="GX60" s="12" t="str">
        <f t="shared" si="190"/>
        <v>FY21</v>
      </c>
      <c r="GY60" s="12">
        <f t="shared" si="190"/>
        <v>44105</v>
      </c>
      <c r="GZ60" s="109">
        <f t="shared" si="191"/>
        <v>27.468281909394953</v>
      </c>
      <c r="HA60" s="109">
        <f t="shared" si="191"/>
        <v>8</v>
      </c>
      <c r="HC60" s="106"/>
      <c r="HD60" s="106"/>
      <c r="HM60" s="12" t="str">
        <f t="shared" si="192"/>
        <v>FY22</v>
      </c>
      <c r="HN60" s="12">
        <f t="shared" si="192"/>
        <v>44469</v>
      </c>
      <c r="HO60" s="109">
        <f t="shared" si="193"/>
        <v>26.314208574034662</v>
      </c>
      <c r="HP60" s="109">
        <f t="shared" si="193"/>
        <v>8</v>
      </c>
      <c r="HR60" s="106"/>
      <c r="HS60" s="106"/>
      <c r="HT60" s="12" t="str">
        <f t="shared" si="212"/>
        <v>FY22</v>
      </c>
      <c r="HU60" s="12">
        <f t="shared" si="212"/>
        <v>44455</v>
      </c>
      <c r="HV60" s="109">
        <f t="shared" si="213"/>
        <v>25.355454910307085</v>
      </c>
      <c r="HW60" s="109">
        <f t="shared" si="213"/>
        <v>8</v>
      </c>
      <c r="HY60" s="106"/>
      <c r="HZ60" s="106"/>
      <c r="II60" s="40">
        <v>160</v>
      </c>
      <c r="IJ60" s="39">
        <f t="shared" si="214"/>
        <v>279296999.99999994</v>
      </c>
      <c r="IK60" s="40">
        <v>310</v>
      </c>
      <c r="IL60" s="39">
        <f t="shared" si="215"/>
        <v>-13053000.000000164</v>
      </c>
      <c r="IN60" s="106"/>
      <c r="IO60" s="106"/>
      <c r="IP60" s="40">
        <v>160</v>
      </c>
      <c r="IQ60" s="39">
        <f t="shared" si="216"/>
        <v>279296999.99999994</v>
      </c>
      <c r="IR60" s="40">
        <v>310</v>
      </c>
      <c r="IS60" s="39">
        <f t="shared" si="217"/>
        <v>-13053000.000000164</v>
      </c>
      <c r="IU60" s="106"/>
      <c r="IV60" s="106"/>
      <c r="IW60" s="16" t="s">
        <v>169</v>
      </c>
      <c r="IX60" s="12">
        <v>44399</v>
      </c>
      <c r="IY60" s="103">
        <v>41039352.751596227</v>
      </c>
      <c r="IZ60" s="104">
        <v>20000000</v>
      </c>
      <c r="JE60" s="40">
        <v>160</v>
      </c>
      <c r="JF60" s="39">
        <f t="shared" si="218"/>
        <v>279296999.99999994</v>
      </c>
      <c r="JG60" s="40">
        <v>310</v>
      </c>
      <c r="JH60" s="39">
        <f t="shared" si="219"/>
        <v>-13053000.000000164</v>
      </c>
      <c r="JI60" s="39"/>
      <c r="JJ60" s="39"/>
      <c r="JL60" s="106"/>
      <c r="JM60" s="106"/>
      <c r="JN60" s="40">
        <v>160</v>
      </c>
      <c r="JO60" s="39">
        <f t="shared" si="220"/>
        <v>279296999.99999994</v>
      </c>
      <c r="JP60" s="40">
        <v>310</v>
      </c>
      <c r="JQ60" s="39">
        <f t="shared" si="221"/>
        <v>-13053000.000000164</v>
      </c>
      <c r="JR60" s="39"/>
      <c r="JS60" s="39"/>
      <c r="JT60" s="39"/>
      <c r="JU60" s="39"/>
      <c r="JW60" s="106"/>
      <c r="JX60" s="106"/>
      <c r="NI60" s="12" t="str">
        <f t="shared" si="198"/>
        <v>FY18</v>
      </c>
      <c r="NJ60" s="12">
        <f t="shared" si="194"/>
        <v>42929</v>
      </c>
      <c r="NK60" s="109">
        <f t="shared" si="199"/>
        <v>15.74925</v>
      </c>
      <c r="NL60" s="109">
        <f t="shared" si="195"/>
        <v>6</v>
      </c>
      <c r="NN60" s="106"/>
      <c r="NX60" s="12" t="str">
        <f t="shared" si="200"/>
        <v>FY19</v>
      </c>
      <c r="NY60" s="12">
        <f t="shared" si="196"/>
        <v>43300</v>
      </c>
      <c r="NZ60" s="109">
        <f t="shared" si="201"/>
        <v>32.154144000000002</v>
      </c>
      <c r="OA60" s="109">
        <f t="shared" si="197"/>
        <v>30</v>
      </c>
      <c r="OC60" s="106"/>
    </row>
    <row r="61" spans="2:393" x14ac:dyDescent="0.25">
      <c r="B61" s="5"/>
      <c r="C61" s="5"/>
      <c r="D61" s="5"/>
      <c r="F61" s="5"/>
      <c r="G61" s="5"/>
      <c r="H61" s="5"/>
      <c r="I61" s="5"/>
      <c r="M61" s="5" t="str" cm="1">
        <f t="array" ref="M61">LOOKUP(2,1/($G$19:$G$35&lt;=$V61)/($H$19:$H$35&gt;=$V61),$F$19:$F$35)</f>
        <v>2H18</v>
      </c>
      <c r="N61" s="5" t="str" cm="1">
        <f t="array" ref="N61">LOOKUP(2,1/($G$8:$G$16&lt;=$V61)/($H$8:$H$16&gt;=$V61),$F$8:$F$16)</f>
        <v>FY18</v>
      </c>
      <c r="O61" s="5" t="str">
        <f>IFERROR(N61&amp;"-"&amp;COUNTIF($N$19:N61,N61),NA())</f>
        <v>FY18-31</v>
      </c>
      <c r="P61" s="5">
        <f>COUNTIF(V$19:V61,"&gt;="&amp;MAX($V:$V)-183)</f>
        <v>0</v>
      </c>
      <c r="Q61" s="5">
        <f>COUNTIF(V$19:V61,"&gt;="&amp;MAX($V:$V)-365)</f>
        <v>0</v>
      </c>
      <c r="R61" s="5" cm="1">
        <f t="array" ref="R61">LOOKUP(2,1/($G$46:$G$50&lt;=$V61)/($H$46:$H$50&gt;=$V61),$F$46:$F$50)</f>
        <v>0</v>
      </c>
      <c r="S61" s="5" cm="1">
        <f t="array" ref="S61">LOOKUP(2,1/($G$53:$G$56&lt;=$V61)/($H$53:$H$56&gt;=$V61),$F$53:$F$56)</f>
        <v>0</v>
      </c>
      <c r="T61" s="5" t="e">
        <f>IFERROR(IF($R61&gt;0,$R61&amp;"-"&amp;COUNTIF($R$19:$R61,$R61),NA()),NA())</f>
        <v>#N/A</v>
      </c>
      <c r="U61" s="5" t="e">
        <f>IFERROR(IF($S61&gt;0,$S61&amp;"-"&amp;COUNTIF($S$19:$S61,$S61),NA()),NA())</f>
        <v>#N/A</v>
      </c>
      <c r="V61" s="10">
        <v>43132</v>
      </c>
      <c r="W61" s="101">
        <v>12845804.885285491</v>
      </c>
      <c r="X61" s="101">
        <v>11934395.028674485</v>
      </c>
      <c r="Y61" s="102">
        <v>3000000</v>
      </c>
      <c r="AI61" s="18">
        <f t="shared" si="172"/>
        <v>15</v>
      </c>
      <c r="AJ61" s="12">
        <f t="shared" si="172"/>
        <v>45120</v>
      </c>
      <c r="AK61" s="109">
        <f t="shared" si="173"/>
        <v>40.570238531110391</v>
      </c>
      <c r="AL61" s="109">
        <f t="shared" si="173"/>
        <v>20</v>
      </c>
      <c r="AN61" s="106"/>
      <c r="AO61" s="106"/>
      <c r="AP61" s="18">
        <f t="shared" si="202"/>
        <v>13</v>
      </c>
      <c r="AQ61" s="12">
        <f t="shared" si="202"/>
        <v>45106</v>
      </c>
      <c r="AR61" s="109">
        <f t="shared" si="203"/>
        <v>19.52442312302496</v>
      </c>
      <c r="AS61" s="109">
        <f t="shared" si="203"/>
        <v>4</v>
      </c>
      <c r="AU61" s="106"/>
      <c r="BF61" s="18">
        <f t="shared" si="174"/>
        <v>15</v>
      </c>
      <c r="BG61" s="12">
        <f t="shared" si="174"/>
        <v>44938</v>
      </c>
      <c r="BH61" s="109">
        <f t="shared" si="175"/>
        <v>22.177022316813623</v>
      </c>
      <c r="BI61" s="109">
        <f t="shared" si="175"/>
        <v>4</v>
      </c>
      <c r="BK61" s="106"/>
      <c r="BL61" s="106"/>
      <c r="BM61" s="18" t="e">
        <f t="shared" si="204"/>
        <v>#N/A</v>
      </c>
      <c r="BN61" s="12" t="e">
        <f t="shared" si="204"/>
        <v>#N/A</v>
      </c>
      <c r="BO61" s="109" t="e">
        <f t="shared" si="205"/>
        <v>#N/A</v>
      </c>
      <c r="BP61" s="109" t="e">
        <f t="shared" si="205"/>
        <v>#N/A</v>
      </c>
      <c r="BR61" s="106"/>
      <c r="CB61" s="18" t="str">
        <f t="shared" si="176"/>
        <v>N1-15</v>
      </c>
      <c r="CC61" s="12">
        <f t="shared" si="176"/>
        <v>44210</v>
      </c>
      <c r="CD61" s="109">
        <f t="shared" si="177"/>
        <v>24.054723502584363</v>
      </c>
      <c r="CE61" s="109">
        <f t="shared" si="177"/>
        <v>8</v>
      </c>
      <c r="CH61" s="106"/>
      <c r="CI61" s="26"/>
      <c r="CJ61" s="25" t="s">
        <v>16</v>
      </c>
      <c r="CK61" s="25" t="s">
        <v>15</v>
      </c>
      <c r="CL61" s="24"/>
      <c r="CQ61" s="18" t="str">
        <f t="shared" si="178"/>
        <v>A1-15</v>
      </c>
      <c r="CR61" s="12">
        <f t="shared" si="178"/>
        <v>44322</v>
      </c>
      <c r="CS61" s="109">
        <f t="shared" si="179"/>
        <v>37.110605290361804</v>
      </c>
      <c r="CT61" s="109">
        <f t="shared" si="179"/>
        <v>20</v>
      </c>
      <c r="CV61" s="106"/>
      <c r="DF61" s="18" t="str">
        <f t="shared" si="180"/>
        <v>N2-15</v>
      </c>
      <c r="DG61" s="12">
        <f t="shared" si="180"/>
        <v>44805</v>
      </c>
      <c r="DH61" s="109">
        <f t="shared" si="181"/>
        <v>39.743730009121315</v>
      </c>
      <c r="DI61" s="109">
        <f t="shared" si="181"/>
        <v>20</v>
      </c>
      <c r="DK61" s="106" t="s">
        <v>30</v>
      </c>
      <c r="DL61" s="106"/>
      <c r="DU61" s="18" t="str">
        <f t="shared" si="182"/>
        <v>A2-15</v>
      </c>
      <c r="DV61" s="12">
        <f t="shared" si="182"/>
        <v>44917</v>
      </c>
      <c r="DW61" s="109">
        <f t="shared" si="183"/>
        <v>75.733957798723026</v>
      </c>
      <c r="DX61" s="109">
        <f t="shared" si="183"/>
        <v>50</v>
      </c>
      <c r="DZ61" s="106"/>
      <c r="EA61" s="106"/>
      <c r="EB61" s="12" t="str">
        <f t="shared" si="206"/>
        <v>A2-13</v>
      </c>
      <c r="EC61" s="12">
        <f t="shared" si="206"/>
        <v>44903</v>
      </c>
      <c r="ED61" s="109">
        <f t="shared" si="207"/>
        <v>38.341626147765275</v>
      </c>
      <c r="EE61" s="109">
        <f t="shared" si="207"/>
        <v>20</v>
      </c>
      <c r="EG61" s="106"/>
      <c r="EH61" s="106"/>
      <c r="EN61" s="1">
        <v>6</v>
      </c>
      <c r="EO61" s="1">
        <v>40</v>
      </c>
      <c r="EQ61" s="12" t="str">
        <f t="shared" si="184"/>
        <v>FY18-15</v>
      </c>
      <c r="ER61" s="12">
        <f t="shared" si="184"/>
        <v>43020</v>
      </c>
      <c r="ES61" s="109">
        <f t="shared" si="185"/>
        <v>25.33979689494566</v>
      </c>
      <c r="ET61" s="109">
        <f t="shared" si="185"/>
        <v>10</v>
      </c>
      <c r="EU61" s="106"/>
      <c r="EV61" s="106"/>
      <c r="EW61" s="106"/>
      <c r="FF61" s="12" t="str">
        <f t="shared" si="186"/>
        <v>FY19</v>
      </c>
      <c r="FG61" s="12">
        <f t="shared" si="186"/>
        <v>43384</v>
      </c>
      <c r="FH61" s="109">
        <f t="shared" si="187"/>
        <v>22.858246916719636</v>
      </c>
      <c r="FI61" s="109">
        <f t="shared" si="187"/>
        <v>12</v>
      </c>
      <c r="FK61" s="106"/>
      <c r="FL61" s="106"/>
      <c r="FM61" s="12" t="str">
        <f t="shared" si="208"/>
        <v>FY19</v>
      </c>
      <c r="FN61" s="12">
        <f t="shared" si="208"/>
        <v>43370</v>
      </c>
      <c r="FO61" s="109">
        <f t="shared" si="209"/>
        <v>12.986396185632547</v>
      </c>
      <c r="FP61" s="109">
        <f t="shared" si="209"/>
        <v>3</v>
      </c>
      <c r="FR61" s="106"/>
      <c r="FS61" s="106"/>
      <c r="GB61" s="12" t="str">
        <f t="shared" si="188"/>
        <v>FY20</v>
      </c>
      <c r="GC61" s="12">
        <f t="shared" si="188"/>
        <v>43748</v>
      </c>
      <c r="GD61" s="109">
        <f t="shared" si="189"/>
        <v>21.62795791818801</v>
      </c>
      <c r="GE61" s="109">
        <f t="shared" si="189"/>
        <v>12</v>
      </c>
      <c r="GG61" s="106"/>
      <c r="GH61" s="106"/>
      <c r="GI61" s="12" t="str">
        <f t="shared" si="210"/>
        <v>FY20</v>
      </c>
      <c r="GJ61" s="12">
        <f t="shared" si="210"/>
        <v>43734</v>
      </c>
      <c r="GK61" s="109">
        <f t="shared" si="211"/>
        <v>15.306639767312332</v>
      </c>
      <c r="GL61" s="109">
        <f t="shared" si="211"/>
        <v>3</v>
      </c>
      <c r="GN61" s="106"/>
      <c r="GO61" s="106"/>
      <c r="GX61" s="12" t="str">
        <f t="shared" si="190"/>
        <v>FY21</v>
      </c>
      <c r="GY61" s="12">
        <f t="shared" si="190"/>
        <v>44112</v>
      </c>
      <c r="GZ61" s="109">
        <f t="shared" si="191"/>
        <v>42.908867619337187</v>
      </c>
      <c r="HA61" s="109">
        <f t="shared" si="191"/>
        <v>20</v>
      </c>
      <c r="HC61" s="106"/>
      <c r="HD61" s="106"/>
      <c r="HM61" s="12" t="str">
        <f t="shared" si="192"/>
        <v>FY22</v>
      </c>
      <c r="HN61" s="12">
        <f t="shared" si="192"/>
        <v>44476</v>
      </c>
      <c r="HO61" s="109">
        <f t="shared" si="193"/>
        <v>42.338397567649736</v>
      </c>
      <c r="HP61" s="109">
        <f t="shared" si="193"/>
        <v>20</v>
      </c>
      <c r="HR61" s="106"/>
      <c r="HS61" s="106"/>
      <c r="HT61" s="12" t="str">
        <f t="shared" si="212"/>
        <v>FY22</v>
      </c>
      <c r="HU61" s="12">
        <f t="shared" si="212"/>
        <v>44462</v>
      </c>
      <c r="HV61" s="109">
        <f t="shared" si="213"/>
        <v>19.222718151413801</v>
      </c>
      <c r="HW61" s="109">
        <f t="shared" si="213"/>
        <v>3</v>
      </c>
      <c r="HY61" s="106"/>
      <c r="HZ61" s="106"/>
      <c r="II61" s="40">
        <v>170</v>
      </c>
      <c r="IJ61" s="39">
        <f t="shared" si="214"/>
        <v>290186999.99999994</v>
      </c>
      <c r="IK61" s="40">
        <v>320</v>
      </c>
      <c r="IL61" s="39">
        <f t="shared" si="215"/>
        <v>-81663000.000000238</v>
      </c>
      <c r="IN61" s="106"/>
      <c r="IO61" s="106"/>
      <c r="IP61" s="40">
        <v>170</v>
      </c>
      <c r="IQ61" s="39">
        <f t="shared" si="216"/>
        <v>290186999.99999994</v>
      </c>
      <c r="IR61" s="40">
        <v>320</v>
      </c>
      <c r="IS61" s="39">
        <f t="shared" si="217"/>
        <v>-81663000.000000238</v>
      </c>
      <c r="IU61" s="106"/>
      <c r="IV61" s="106"/>
      <c r="IW61" s="16" t="s">
        <v>169</v>
      </c>
      <c r="IX61" s="12">
        <v>44406</v>
      </c>
      <c r="IY61" s="103">
        <v>57263651.200972937</v>
      </c>
      <c r="IZ61" s="104">
        <v>40000000</v>
      </c>
      <c r="JE61" s="40">
        <v>170</v>
      </c>
      <c r="JF61" s="39">
        <f t="shared" si="218"/>
        <v>290186999.99999994</v>
      </c>
      <c r="JG61" s="40">
        <v>320</v>
      </c>
      <c r="JH61" s="39">
        <f t="shared" si="219"/>
        <v>-81663000.000000238</v>
      </c>
      <c r="JI61" s="39"/>
      <c r="JJ61" s="39"/>
      <c r="JL61" s="106"/>
      <c r="JM61" s="106"/>
      <c r="JN61" s="40">
        <v>170</v>
      </c>
      <c r="JO61" s="39">
        <f t="shared" si="220"/>
        <v>290186999.99999994</v>
      </c>
      <c r="JP61" s="40">
        <v>320</v>
      </c>
      <c r="JQ61" s="39">
        <f t="shared" si="221"/>
        <v>-81663000.000000238</v>
      </c>
      <c r="JR61" s="39"/>
      <c r="JS61" s="39"/>
      <c r="JT61" s="39"/>
      <c r="JU61" s="39"/>
      <c r="JW61" s="106"/>
      <c r="JX61" s="106"/>
      <c r="NI61" s="12" t="str">
        <f t="shared" si="198"/>
        <v>FY18</v>
      </c>
      <c r="NJ61" s="12">
        <f t="shared" si="194"/>
        <v>42936</v>
      </c>
      <c r="NK61" s="109">
        <f t="shared" si="199"/>
        <v>13.65188</v>
      </c>
      <c r="NL61" s="109">
        <f t="shared" si="195"/>
        <v>3</v>
      </c>
      <c r="NN61" s="106"/>
      <c r="NX61" s="12" t="str">
        <f t="shared" si="200"/>
        <v>FY19</v>
      </c>
      <c r="NY61" s="12">
        <f t="shared" si="196"/>
        <v>43307</v>
      </c>
      <c r="NZ61" s="109">
        <f t="shared" si="201"/>
        <v>38.903700000000001</v>
      </c>
      <c r="OA61" s="109">
        <f t="shared" si="197"/>
        <v>40</v>
      </c>
      <c r="OC61" s="106"/>
    </row>
    <row r="62" spans="2:393" x14ac:dyDescent="0.25">
      <c r="B62" s="5"/>
      <c r="C62" s="5"/>
      <c r="D62" s="5"/>
      <c r="F62" s="5"/>
      <c r="G62" s="5"/>
      <c r="H62" s="5"/>
      <c r="I62" s="5"/>
      <c r="M62" s="5" t="str" cm="1">
        <f t="array" ref="M62">LOOKUP(2,1/($G$19:$G$35&lt;=$V62)/($H$19:$H$35&gt;=$V62),$F$19:$F$35)</f>
        <v>2H18</v>
      </c>
      <c r="N62" s="5" t="str" cm="1">
        <f t="array" ref="N62">LOOKUP(2,1/($G$8:$G$16&lt;=$V62)/($H$8:$H$16&gt;=$V62),$F$8:$F$16)</f>
        <v>FY18</v>
      </c>
      <c r="O62" s="5" t="str">
        <f>IFERROR(N62&amp;"-"&amp;COUNTIF($N$19:N62,N62),NA())</f>
        <v>FY18-32</v>
      </c>
      <c r="P62" s="5">
        <f>COUNTIF(V$19:V62,"&gt;="&amp;MAX($V:$V)-183)</f>
        <v>0</v>
      </c>
      <c r="Q62" s="5">
        <f>COUNTIF(V$19:V62,"&gt;="&amp;MAX($V:$V)-365)</f>
        <v>0</v>
      </c>
      <c r="R62" s="5" cm="1">
        <f t="array" ref="R62">LOOKUP(2,1/($G$46:$G$50&lt;=$V62)/($H$46:$H$50&gt;=$V62),$F$46:$F$50)</f>
        <v>0</v>
      </c>
      <c r="S62" s="5" cm="1">
        <f t="array" ref="S62">LOOKUP(2,1/($G$53:$G$56&lt;=$V62)/($H$53:$H$56&gt;=$V62),$F$53:$F$56)</f>
        <v>0</v>
      </c>
      <c r="T62" s="5" t="e">
        <f>IFERROR(IF($R62&gt;0,$R62&amp;"-"&amp;COUNTIF($R$19:$R62,$R62),NA()),NA())</f>
        <v>#N/A</v>
      </c>
      <c r="U62" s="5" t="e">
        <f>IFERROR(IF($S62&gt;0,$S62&amp;"-"&amp;COUNTIF($S$19:$S62,$S62),NA()),NA())</f>
        <v>#N/A</v>
      </c>
      <c r="V62" s="10">
        <v>43139</v>
      </c>
      <c r="W62" s="101">
        <v>16219147.414179746</v>
      </c>
      <c r="X62" s="101">
        <v>15068398.905143691</v>
      </c>
      <c r="Y62" s="102">
        <v>6000000</v>
      </c>
      <c r="AI62" s="18">
        <f t="shared" si="172"/>
        <v>16</v>
      </c>
      <c r="AJ62" s="12">
        <f t="shared" si="172"/>
        <v>45127</v>
      </c>
      <c r="AK62" s="109">
        <f t="shared" si="173"/>
        <v>60.8369621880789</v>
      </c>
      <c r="AL62" s="109">
        <f t="shared" si="173"/>
        <v>40</v>
      </c>
      <c r="AN62" s="106"/>
      <c r="AO62" s="106"/>
      <c r="AP62" s="18">
        <f t="shared" si="202"/>
        <v>14</v>
      </c>
      <c r="AQ62" s="12">
        <f t="shared" si="202"/>
        <v>45113</v>
      </c>
      <c r="AR62" s="109">
        <f t="shared" si="203"/>
        <v>31.154789255748071</v>
      </c>
      <c r="AS62" s="109">
        <f t="shared" si="203"/>
        <v>12</v>
      </c>
      <c r="AU62" s="106"/>
      <c r="BF62" s="18">
        <f t="shared" si="174"/>
        <v>16</v>
      </c>
      <c r="BG62" s="12">
        <f t="shared" si="174"/>
        <v>44945</v>
      </c>
      <c r="BH62" s="109">
        <f t="shared" si="175"/>
        <v>28.696273517786555</v>
      </c>
      <c r="BI62" s="109">
        <f t="shared" si="175"/>
        <v>8</v>
      </c>
      <c r="BK62" s="106"/>
      <c r="BL62" s="106"/>
      <c r="BM62" s="18">
        <f t="shared" si="204"/>
        <v>14</v>
      </c>
      <c r="BN62" s="12">
        <f t="shared" si="204"/>
        <v>44931</v>
      </c>
      <c r="BO62" s="109">
        <f t="shared" si="205"/>
        <v>20.659761872909698</v>
      </c>
      <c r="BP62" s="109">
        <f t="shared" si="205"/>
        <v>4</v>
      </c>
      <c r="BR62" s="106"/>
      <c r="CB62" s="18" t="str">
        <f t="shared" si="176"/>
        <v>N1-16</v>
      </c>
      <c r="CC62" s="12">
        <f t="shared" si="176"/>
        <v>44217</v>
      </c>
      <c r="CD62" s="109">
        <f t="shared" si="177"/>
        <v>39.055239160839157</v>
      </c>
      <c r="CE62" s="109">
        <f t="shared" si="177"/>
        <v>20</v>
      </c>
      <c r="CH62" s="106"/>
      <c r="CI62" s="23" t="s">
        <v>20</v>
      </c>
      <c r="CJ62" s="31">
        <v>44112</v>
      </c>
      <c r="CK62" s="31">
        <v>44224</v>
      </c>
      <c r="CL62" s="30"/>
      <c r="CQ62" s="18" t="str">
        <f t="shared" si="178"/>
        <v>A1-16</v>
      </c>
      <c r="CR62" s="12">
        <f t="shared" si="178"/>
        <v>44329</v>
      </c>
      <c r="CS62" s="109">
        <f t="shared" si="179"/>
        <v>47.890415810276679</v>
      </c>
      <c r="CT62" s="109">
        <f t="shared" si="179"/>
        <v>30</v>
      </c>
      <c r="CV62" s="106"/>
      <c r="DF62" s="18" t="str">
        <f t="shared" si="180"/>
        <v>N2-16</v>
      </c>
      <c r="DG62" s="12">
        <f t="shared" si="180"/>
        <v>44812</v>
      </c>
      <c r="DH62" s="109">
        <f t="shared" si="181"/>
        <v>61.420572818485859</v>
      </c>
      <c r="DI62" s="109">
        <f t="shared" si="181"/>
        <v>40</v>
      </c>
      <c r="DK62" s="104">
        <v>154</v>
      </c>
      <c r="DL62" s="106"/>
      <c r="DU62" s="18" t="str">
        <f t="shared" si="182"/>
        <v>A2-16</v>
      </c>
      <c r="DV62" s="12">
        <f t="shared" si="182"/>
        <v>44924</v>
      </c>
      <c r="DW62" s="109">
        <f t="shared" si="183"/>
        <v>137.55484439039225</v>
      </c>
      <c r="DX62" s="109">
        <f t="shared" si="183"/>
        <v>100</v>
      </c>
      <c r="DZ62" s="106"/>
      <c r="EA62" s="106"/>
      <c r="EB62" s="12" t="str">
        <f t="shared" si="206"/>
        <v>A2-14</v>
      </c>
      <c r="EC62" s="12">
        <f t="shared" si="206"/>
        <v>44910</v>
      </c>
      <c r="ED62" s="109">
        <f t="shared" si="207"/>
        <v>50.094358163575549</v>
      </c>
      <c r="EE62" s="109">
        <f t="shared" si="207"/>
        <v>30</v>
      </c>
      <c r="EG62" s="106"/>
      <c r="EH62" s="106"/>
      <c r="EN62" s="1">
        <v>7</v>
      </c>
      <c r="EO62" s="1">
        <v>50</v>
      </c>
      <c r="EQ62" s="12" t="str">
        <f t="shared" si="184"/>
        <v>FY18-16</v>
      </c>
      <c r="ER62" s="12">
        <f t="shared" si="184"/>
        <v>43027</v>
      </c>
      <c r="ES62" s="109">
        <f t="shared" si="185"/>
        <v>28.458439261687076</v>
      </c>
      <c r="ET62" s="109">
        <f t="shared" si="185"/>
        <v>15</v>
      </c>
      <c r="EU62" s="106"/>
      <c r="EV62" s="106"/>
      <c r="EW62" s="106"/>
      <c r="FF62" s="12" t="str">
        <f t="shared" si="186"/>
        <v>FY19</v>
      </c>
      <c r="FG62" s="12">
        <f t="shared" si="186"/>
        <v>43391</v>
      </c>
      <c r="FH62" s="109">
        <f t="shared" si="187"/>
        <v>29.451650349650347</v>
      </c>
      <c r="FI62" s="109">
        <f t="shared" si="187"/>
        <v>20</v>
      </c>
      <c r="FK62" s="106"/>
      <c r="FL62" s="106"/>
      <c r="FM62" s="12" t="str">
        <f t="shared" si="208"/>
        <v>FY19</v>
      </c>
      <c r="FN62" s="12">
        <f t="shared" si="208"/>
        <v>43377</v>
      </c>
      <c r="FO62" s="109">
        <f t="shared" si="209"/>
        <v>17.248674888747615</v>
      </c>
      <c r="FP62" s="109">
        <f t="shared" si="209"/>
        <v>8</v>
      </c>
      <c r="FR62" s="106"/>
      <c r="FS62" s="106"/>
      <c r="GB62" s="12" t="str">
        <f t="shared" si="188"/>
        <v>FY20</v>
      </c>
      <c r="GC62" s="12">
        <f t="shared" si="188"/>
        <v>43755</v>
      </c>
      <c r="GD62" s="109">
        <f t="shared" si="189"/>
        <v>14.675381397363697</v>
      </c>
      <c r="GE62" s="109">
        <f t="shared" si="189"/>
        <v>3</v>
      </c>
      <c r="GG62" s="106"/>
      <c r="GH62" s="106"/>
      <c r="GI62" s="12" t="str">
        <f t="shared" si="210"/>
        <v>FY20</v>
      </c>
      <c r="GJ62" s="12">
        <f t="shared" si="210"/>
        <v>43741</v>
      </c>
      <c r="GK62" s="109">
        <f t="shared" si="211"/>
        <v>18.203091032860947</v>
      </c>
      <c r="GL62" s="109">
        <f t="shared" si="211"/>
        <v>8</v>
      </c>
      <c r="GN62" s="106"/>
      <c r="GO62" s="106"/>
      <c r="GX62" s="12" t="str">
        <f t="shared" si="190"/>
        <v>FY21</v>
      </c>
      <c r="GY62" s="12">
        <f t="shared" si="190"/>
        <v>44119</v>
      </c>
      <c r="GZ62" s="109">
        <f t="shared" si="191"/>
        <v>61.499423776223779</v>
      </c>
      <c r="HA62" s="109">
        <f t="shared" si="191"/>
        <v>40</v>
      </c>
      <c r="HC62" s="106"/>
      <c r="HD62" s="106"/>
      <c r="HM62" s="12" t="str">
        <f t="shared" si="192"/>
        <v>FY22</v>
      </c>
      <c r="HN62" s="12">
        <f t="shared" si="192"/>
        <v>44483</v>
      </c>
      <c r="HO62" s="109">
        <f t="shared" si="193"/>
        <v>59.016362663423536</v>
      </c>
      <c r="HP62" s="109">
        <f t="shared" si="193"/>
        <v>40</v>
      </c>
      <c r="HR62" s="106"/>
      <c r="HS62" s="106"/>
      <c r="HT62" s="12" t="str">
        <f t="shared" si="212"/>
        <v>FY22</v>
      </c>
      <c r="HU62" s="12">
        <f t="shared" si="212"/>
        <v>44469</v>
      </c>
      <c r="HV62" s="109">
        <f t="shared" si="213"/>
        <v>26.314208574034662</v>
      </c>
      <c r="HW62" s="109">
        <f t="shared" si="213"/>
        <v>8</v>
      </c>
      <c r="HY62" s="106"/>
      <c r="HZ62" s="106"/>
      <c r="II62" s="40">
        <v>180</v>
      </c>
      <c r="IJ62" s="39">
        <f t="shared" si="214"/>
        <v>298297000</v>
      </c>
      <c r="IK62" s="40">
        <v>330</v>
      </c>
      <c r="IL62" s="39">
        <f t="shared" si="215"/>
        <v>-158453000.00000036</v>
      </c>
      <c r="IN62" s="106"/>
      <c r="IO62" s="106"/>
      <c r="IP62" s="40">
        <v>180</v>
      </c>
      <c r="IQ62" s="39">
        <f t="shared" si="216"/>
        <v>298297000</v>
      </c>
      <c r="IR62" s="40">
        <v>330</v>
      </c>
      <c r="IS62" s="39">
        <f t="shared" si="217"/>
        <v>-158453000.00000036</v>
      </c>
      <c r="IU62" s="106"/>
      <c r="IV62" s="106"/>
      <c r="IW62" s="16" t="s">
        <v>169</v>
      </c>
      <c r="IX62" s="12">
        <v>44413</v>
      </c>
      <c r="IY62" s="103">
        <v>80092385.770750985</v>
      </c>
      <c r="IZ62" s="104">
        <v>60000000</v>
      </c>
      <c r="JE62" s="40">
        <v>180</v>
      </c>
      <c r="JF62" s="39">
        <f t="shared" si="218"/>
        <v>298297000</v>
      </c>
      <c r="JG62" s="40">
        <v>330</v>
      </c>
      <c r="JH62" s="39">
        <f t="shared" si="219"/>
        <v>-158453000.00000036</v>
      </c>
      <c r="JI62" s="39"/>
      <c r="JJ62" s="39"/>
      <c r="JL62" s="106"/>
      <c r="JM62" s="106"/>
      <c r="JN62" s="40">
        <v>180</v>
      </c>
      <c r="JO62" s="39">
        <f t="shared" si="220"/>
        <v>298297000</v>
      </c>
      <c r="JP62" s="40">
        <v>330</v>
      </c>
      <c r="JQ62" s="39">
        <f t="shared" si="221"/>
        <v>-158453000.00000036</v>
      </c>
      <c r="JR62" s="39"/>
      <c r="JS62" s="39"/>
      <c r="JT62" s="39"/>
      <c r="JU62" s="39"/>
      <c r="JW62" s="106"/>
      <c r="JX62" s="106"/>
      <c r="NI62" s="12" t="str">
        <f t="shared" si="198"/>
        <v>FY18</v>
      </c>
      <c r="NJ62" s="12">
        <f t="shared" si="194"/>
        <v>42943</v>
      </c>
      <c r="NK62" s="109">
        <f t="shared" si="199"/>
        <v>12.28942</v>
      </c>
      <c r="NL62" s="109">
        <f t="shared" si="195"/>
        <v>3</v>
      </c>
      <c r="NN62" s="106"/>
      <c r="NX62" s="12" t="str">
        <f t="shared" si="200"/>
        <v>FY19</v>
      </c>
      <c r="NY62" s="12">
        <f t="shared" si="196"/>
        <v>43314</v>
      </c>
      <c r="NZ62" s="109">
        <f t="shared" si="201"/>
        <v>47.926296000000001</v>
      </c>
      <c r="OA62" s="109">
        <f t="shared" si="197"/>
        <v>50</v>
      </c>
      <c r="OC62" s="106"/>
    </row>
    <row r="63" spans="2:393" x14ac:dyDescent="0.25">
      <c r="F63" s="5"/>
      <c r="G63" s="5"/>
      <c r="H63" s="5"/>
      <c r="I63" s="5"/>
      <c r="M63" s="5" t="str" cm="1">
        <f t="array" ref="M63">LOOKUP(2,1/($G$19:$G$35&lt;=$V63)/($H$19:$H$35&gt;=$V63),$F$19:$F$35)</f>
        <v>2H18</v>
      </c>
      <c r="N63" s="5" t="str" cm="1">
        <f t="array" ref="N63">LOOKUP(2,1/($G$8:$G$16&lt;=$V63)/($H$8:$H$16&gt;=$V63),$F$8:$F$16)</f>
        <v>FY18</v>
      </c>
      <c r="O63" s="5" t="str">
        <f>IFERROR(N63&amp;"-"&amp;COUNTIF($N$19:N63,N63),NA())</f>
        <v>FY18-33</v>
      </c>
      <c r="P63" s="5">
        <f>COUNTIF(V$19:V63,"&gt;="&amp;MAX($V:$V)-183)</f>
        <v>0</v>
      </c>
      <c r="Q63" s="5">
        <f>COUNTIF(V$19:V63,"&gt;="&amp;MAX($V:$V)-365)</f>
        <v>0</v>
      </c>
      <c r="R63" s="5" cm="1">
        <f t="array" ref="R63">LOOKUP(2,1/($G$46:$G$50&lt;=$V63)/($H$46:$H$50&gt;=$V63),$F$46:$F$50)</f>
        <v>0</v>
      </c>
      <c r="S63" s="5" cm="1">
        <f t="array" ref="S63">LOOKUP(2,1/($G$53:$G$56&lt;=$V63)/($H$53:$H$56&gt;=$V63),$F$53:$F$56)</f>
        <v>0</v>
      </c>
      <c r="T63" s="5" t="e">
        <f>IFERROR(IF($R63&gt;0,$R63&amp;"-"&amp;COUNTIF($R$19:$R63,$R63),NA()),NA())</f>
        <v>#N/A</v>
      </c>
      <c r="U63" s="5" t="e">
        <f>IFERROR(IF($S63&gt;0,$S63&amp;"-"&amp;COUNTIF($S$19:$S63,$S63),NA()),NA())</f>
        <v>#N/A</v>
      </c>
      <c r="V63" s="10">
        <v>43146</v>
      </c>
      <c r="W63" s="101">
        <v>14328098.030015524</v>
      </c>
      <c r="X63" s="101">
        <v>13311519.474785922</v>
      </c>
      <c r="Y63" s="102">
        <v>3000000</v>
      </c>
      <c r="AI63" s="18">
        <f t="shared" si="172"/>
        <v>17</v>
      </c>
      <c r="AJ63" s="12">
        <f t="shared" si="172"/>
        <v>45134</v>
      </c>
      <c r="AK63" s="109">
        <f t="shared" si="173"/>
        <v>84.639629072681714</v>
      </c>
      <c r="AL63" s="109">
        <f t="shared" si="173"/>
        <v>60</v>
      </c>
      <c r="AN63" s="106"/>
      <c r="AO63" s="106"/>
      <c r="AP63" s="18">
        <f t="shared" si="202"/>
        <v>15</v>
      </c>
      <c r="AQ63" s="12">
        <f t="shared" si="202"/>
        <v>45120</v>
      </c>
      <c r="AR63" s="109">
        <f t="shared" si="203"/>
        <v>40.570238531110391</v>
      </c>
      <c r="AS63" s="109">
        <f t="shared" si="203"/>
        <v>20</v>
      </c>
      <c r="AU63" s="106"/>
      <c r="BF63" s="18">
        <f t="shared" si="174"/>
        <v>17</v>
      </c>
      <c r="BG63" s="12">
        <f t="shared" si="174"/>
        <v>44952</v>
      </c>
      <c r="BH63" s="109">
        <f t="shared" si="175"/>
        <v>41.97672252964427</v>
      </c>
      <c r="BI63" s="109">
        <f t="shared" si="175"/>
        <v>20</v>
      </c>
      <c r="BK63" s="106"/>
      <c r="BL63" s="106"/>
      <c r="BM63" s="18">
        <f t="shared" si="204"/>
        <v>15</v>
      </c>
      <c r="BN63" s="12">
        <f t="shared" si="204"/>
        <v>44938</v>
      </c>
      <c r="BO63" s="109">
        <f t="shared" si="205"/>
        <v>22.177022316813623</v>
      </c>
      <c r="BP63" s="109">
        <f t="shared" si="205"/>
        <v>4</v>
      </c>
      <c r="BR63" s="106"/>
      <c r="CB63" s="18" t="e">
        <f t="shared" si="176"/>
        <v>#N/A</v>
      </c>
      <c r="CC63" s="12" t="e">
        <f t="shared" si="176"/>
        <v>#N/A</v>
      </c>
      <c r="CD63" s="109" t="e">
        <f t="shared" si="177"/>
        <v>#N/A</v>
      </c>
      <c r="CE63" s="109" t="e">
        <f t="shared" si="177"/>
        <v>#N/A</v>
      </c>
      <c r="CH63" s="106"/>
      <c r="CI63" s="23" t="s">
        <v>19</v>
      </c>
      <c r="CJ63" s="31">
        <v>44217</v>
      </c>
      <c r="CK63" s="31">
        <v>44329</v>
      </c>
      <c r="CL63" s="30"/>
      <c r="CQ63" s="18" t="e">
        <f t="shared" si="178"/>
        <v>#N/A</v>
      </c>
      <c r="CR63" s="12" t="e">
        <f t="shared" si="178"/>
        <v>#N/A</v>
      </c>
      <c r="CS63" s="109" t="e">
        <f t="shared" si="179"/>
        <v>#N/A</v>
      </c>
      <c r="CT63" s="109" t="e">
        <f t="shared" si="179"/>
        <v>#N/A</v>
      </c>
      <c r="CV63" s="106"/>
      <c r="DF63" s="18" t="e">
        <f t="shared" si="180"/>
        <v>#N/A</v>
      </c>
      <c r="DG63" s="12" t="e">
        <f t="shared" si="180"/>
        <v>#N/A</v>
      </c>
      <c r="DH63" s="109" t="e">
        <f t="shared" si="181"/>
        <v>#N/A</v>
      </c>
      <c r="DI63" s="109" t="e">
        <f t="shared" si="181"/>
        <v>#N/A</v>
      </c>
      <c r="DK63" s="106"/>
      <c r="DL63" s="106"/>
      <c r="DU63" s="18" t="e">
        <f t="shared" si="182"/>
        <v>#N/A</v>
      </c>
      <c r="DV63" s="12" t="e">
        <f t="shared" si="182"/>
        <v>#N/A</v>
      </c>
      <c r="DW63" s="109" t="e">
        <f t="shared" si="183"/>
        <v>#N/A</v>
      </c>
      <c r="DX63" s="109" t="e">
        <f t="shared" si="183"/>
        <v>#N/A</v>
      </c>
      <c r="DZ63" s="106"/>
      <c r="EA63" s="106"/>
      <c r="EB63" s="12" t="str">
        <f t="shared" si="206"/>
        <v>A2-15</v>
      </c>
      <c r="EC63" s="12">
        <f t="shared" si="206"/>
        <v>44917</v>
      </c>
      <c r="ED63" s="109">
        <f t="shared" si="207"/>
        <v>75.733957798723026</v>
      </c>
      <c r="EE63" s="109">
        <f t="shared" si="207"/>
        <v>50</v>
      </c>
      <c r="EG63" s="106"/>
      <c r="EH63" s="106"/>
      <c r="EO63" s="1">
        <v>80</v>
      </c>
      <c r="EQ63" s="12" t="str">
        <f t="shared" si="184"/>
        <v>FY18-17</v>
      </c>
      <c r="ER63" s="12">
        <f t="shared" si="184"/>
        <v>43034</v>
      </c>
      <c r="ES63" s="109">
        <f t="shared" ref="ES63:ET98" si="222">EK21/1000000</f>
        <v>12.752664964636878</v>
      </c>
      <c r="ET63" s="109">
        <f t="shared" si="222"/>
        <v>3</v>
      </c>
      <c r="EU63" s="106"/>
      <c r="EV63" s="106"/>
      <c r="EW63" s="106"/>
      <c r="FF63" s="12" t="str">
        <f t="shared" si="186"/>
        <v>FY19</v>
      </c>
      <c r="FG63" s="12">
        <f t="shared" si="186"/>
        <v>43398</v>
      </c>
      <c r="FH63" s="109">
        <f t="shared" ref="FH63:FI98" si="223">EZ21/1000000</f>
        <v>34.304900190718364</v>
      </c>
      <c r="FI63" s="109">
        <f t="shared" si="223"/>
        <v>30</v>
      </c>
      <c r="FK63" s="106"/>
      <c r="FL63" s="106"/>
      <c r="FM63" s="12" t="str">
        <f t="shared" si="208"/>
        <v>FY19</v>
      </c>
      <c r="FN63" s="12">
        <f t="shared" si="208"/>
        <v>43384</v>
      </c>
      <c r="FO63" s="109">
        <f t="shared" si="209"/>
        <v>22.858246916719636</v>
      </c>
      <c r="FP63" s="109">
        <f t="shared" si="209"/>
        <v>12</v>
      </c>
      <c r="FR63" s="106"/>
      <c r="FS63" s="106"/>
      <c r="GB63" s="12" t="str">
        <f t="shared" si="188"/>
        <v>FY20</v>
      </c>
      <c r="GC63" s="12">
        <f t="shared" si="188"/>
        <v>43762</v>
      </c>
      <c r="GD63" s="109">
        <f t="shared" ref="GD63:GE98" si="224">FV21/1000000</f>
        <v>19.900891144253976</v>
      </c>
      <c r="GE63" s="109">
        <f t="shared" si="224"/>
        <v>8</v>
      </c>
      <c r="GG63" s="106"/>
      <c r="GH63" s="106"/>
      <c r="GI63" s="12" t="str">
        <f t="shared" si="210"/>
        <v>FY20</v>
      </c>
      <c r="GJ63" s="12">
        <f t="shared" si="210"/>
        <v>43748</v>
      </c>
      <c r="GK63" s="109">
        <f t="shared" si="211"/>
        <v>21.62795791818801</v>
      </c>
      <c r="GL63" s="109">
        <f t="shared" si="211"/>
        <v>12</v>
      </c>
      <c r="GN63" s="106"/>
      <c r="GO63" s="106"/>
      <c r="GX63" s="12" t="str">
        <f t="shared" si="190"/>
        <v>FY21</v>
      </c>
      <c r="GY63" s="12">
        <f t="shared" si="190"/>
        <v>44126</v>
      </c>
      <c r="GZ63" s="109">
        <f t="shared" ref="GZ63:HA98" si="225">GR21/1000000</f>
        <v>19.054887686226817</v>
      </c>
      <c r="HA63" s="109">
        <f t="shared" si="225"/>
        <v>3</v>
      </c>
      <c r="HC63" s="106"/>
      <c r="HD63" s="106"/>
      <c r="HM63" s="12" t="str">
        <f t="shared" si="192"/>
        <v>FY22</v>
      </c>
      <c r="HN63" s="12">
        <f t="shared" si="192"/>
        <v>44490</v>
      </c>
      <c r="HO63" s="109">
        <f t="shared" ref="HO63:HP98" si="226">HG21/1000000</f>
        <v>83.423387290969913</v>
      </c>
      <c r="HP63" s="109">
        <f t="shared" si="226"/>
        <v>60</v>
      </c>
      <c r="HR63" s="106"/>
      <c r="HS63" s="106"/>
      <c r="HT63" s="12" t="str">
        <f t="shared" si="212"/>
        <v>FY22</v>
      </c>
      <c r="HU63" s="12">
        <f t="shared" si="212"/>
        <v>44476</v>
      </c>
      <c r="HV63" s="109">
        <f t="shared" si="213"/>
        <v>42.338397567649736</v>
      </c>
      <c r="HW63" s="109">
        <f t="shared" si="213"/>
        <v>20</v>
      </c>
      <c r="HY63" s="106"/>
      <c r="HZ63" s="106"/>
      <c r="II63" s="40">
        <v>190</v>
      </c>
      <c r="IJ63" s="39">
        <f t="shared" si="214"/>
        <v>303267000</v>
      </c>
      <c r="IK63" s="40">
        <v>340</v>
      </c>
      <c r="IL63" s="39">
        <f t="shared" si="215"/>
        <v>-243783000.00000027</v>
      </c>
      <c r="IN63" s="106"/>
      <c r="IO63" s="106"/>
      <c r="IP63" s="40">
        <v>190</v>
      </c>
      <c r="IQ63" s="39">
        <f t="shared" si="216"/>
        <v>303267000</v>
      </c>
      <c r="IR63" s="40">
        <v>340</v>
      </c>
      <c r="IS63" s="39">
        <f t="shared" si="217"/>
        <v>-243783000.00000027</v>
      </c>
      <c r="IU63" s="106"/>
      <c r="IV63" s="106"/>
      <c r="IW63" s="16" t="s">
        <v>169</v>
      </c>
      <c r="IX63" s="12">
        <v>44420</v>
      </c>
      <c r="IY63" s="103">
        <v>125405739.86013986</v>
      </c>
      <c r="IZ63" s="104">
        <v>80000000</v>
      </c>
      <c r="JE63" s="40">
        <v>190</v>
      </c>
      <c r="JF63" s="39">
        <f t="shared" si="218"/>
        <v>303267000</v>
      </c>
      <c r="JG63" s="40">
        <v>340</v>
      </c>
      <c r="JH63" s="39">
        <f t="shared" si="219"/>
        <v>-243783000.00000027</v>
      </c>
      <c r="JI63" s="39"/>
      <c r="JJ63" s="39"/>
      <c r="JL63" s="106"/>
      <c r="JM63" s="106"/>
      <c r="JN63" s="40">
        <v>190</v>
      </c>
      <c r="JO63" s="39">
        <f t="shared" si="220"/>
        <v>303267000</v>
      </c>
      <c r="JP63" s="40">
        <v>340</v>
      </c>
      <c r="JQ63" s="39">
        <f t="shared" si="221"/>
        <v>-243783000.00000027</v>
      </c>
      <c r="JR63" s="39"/>
      <c r="JS63" s="39"/>
      <c r="JT63" s="39"/>
      <c r="JU63" s="39"/>
      <c r="JW63" s="106"/>
      <c r="JX63" s="106"/>
      <c r="NI63" s="12" t="str">
        <f t="shared" si="198"/>
        <v>FY18</v>
      </c>
      <c r="NJ63" s="12">
        <f t="shared" si="194"/>
        <v>42950</v>
      </c>
      <c r="NK63" s="109">
        <f t="shared" si="199"/>
        <v>17.31664</v>
      </c>
      <c r="NL63" s="109">
        <f t="shared" si="195"/>
        <v>6</v>
      </c>
      <c r="NN63" s="106"/>
      <c r="NX63" s="12" t="str">
        <f t="shared" si="200"/>
        <v>FY19</v>
      </c>
      <c r="NY63" s="12">
        <f t="shared" si="196"/>
        <v>43321</v>
      </c>
      <c r="NZ63" s="109">
        <f t="shared" si="201"/>
        <v>90.542231999999998</v>
      </c>
      <c r="OA63" s="109">
        <f t="shared" si="197"/>
        <v>80</v>
      </c>
      <c r="OC63" s="106"/>
    </row>
    <row r="64" spans="2:393" x14ac:dyDescent="0.25">
      <c r="F64" s="5"/>
      <c r="G64" s="5"/>
      <c r="H64" s="5"/>
      <c r="I64" s="5"/>
      <c r="M64" s="5" t="str" cm="1">
        <f t="array" ref="M64">LOOKUP(2,1/($G$19:$G$35&lt;=$V64)/($H$19:$H$35&gt;=$V64),$F$19:$F$35)</f>
        <v>2H18</v>
      </c>
      <c r="N64" s="5" t="str" cm="1">
        <f t="array" ref="N64">LOOKUP(2,1/($G$8:$G$16&lt;=$V64)/($H$8:$H$16&gt;=$V64),$F$8:$F$16)</f>
        <v>FY18</v>
      </c>
      <c r="O64" s="5" t="str">
        <f>IFERROR(N64&amp;"-"&amp;COUNTIF($N$19:N64,N64),NA())</f>
        <v>FY18-34</v>
      </c>
      <c r="P64" s="5">
        <f>COUNTIF(V$19:V64,"&gt;="&amp;MAX($V:$V)-183)</f>
        <v>0</v>
      </c>
      <c r="Q64" s="5">
        <f>COUNTIF(V$19:V64,"&gt;="&amp;MAX($V:$V)-365)</f>
        <v>0</v>
      </c>
      <c r="R64" s="5" cm="1">
        <f t="array" ref="R64">LOOKUP(2,1/($G$46:$G$50&lt;=$V64)/($H$46:$H$50&gt;=$V64),$F$46:$F$50)</f>
        <v>0</v>
      </c>
      <c r="S64" s="5" cm="1">
        <f t="array" ref="S64">LOOKUP(2,1/($G$53:$G$56&lt;=$V64)/($H$53:$H$56&gt;=$V64),$F$53:$F$56)</f>
        <v>0</v>
      </c>
      <c r="T64" s="5" t="e">
        <f>IFERROR(IF($R64&gt;0,$R64&amp;"-"&amp;COUNTIF($R$19:$R64,$R64),NA()),NA())</f>
        <v>#N/A</v>
      </c>
      <c r="U64" s="5" t="e">
        <f>IFERROR(IF($S64&gt;0,$S64&amp;"-"&amp;COUNTIF($S$19:$S64,$S64),NA()),NA())</f>
        <v>#N/A</v>
      </c>
      <c r="V64" s="10">
        <v>43153</v>
      </c>
      <c r="W64" s="101">
        <v>17186081.045368291</v>
      </c>
      <c r="X64" s="101">
        <v>15966728.59519941</v>
      </c>
      <c r="Y64" s="102">
        <v>6000000</v>
      </c>
      <c r="AI64" s="18">
        <f t="shared" si="172"/>
        <v>18</v>
      </c>
      <c r="AJ64" s="12">
        <f t="shared" si="172"/>
        <v>45141</v>
      </c>
      <c r="AK64" s="109">
        <f t="shared" si="173"/>
        <v>156.82348817696416</v>
      </c>
      <c r="AL64" s="109">
        <f t="shared" si="173"/>
        <v>100</v>
      </c>
      <c r="AN64" s="106"/>
      <c r="AO64" s="106"/>
      <c r="AP64" s="18">
        <f t="shared" si="202"/>
        <v>16</v>
      </c>
      <c r="AQ64" s="12">
        <f t="shared" si="202"/>
        <v>45127</v>
      </c>
      <c r="AR64" s="109">
        <f t="shared" si="203"/>
        <v>60.8369621880789</v>
      </c>
      <c r="AS64" s="109">
        <f t="shared" si="203"/>
        <v>40</v>
      </c>
      <c r="AU64" s="106"/>
      <c r="BF64" s="18">
        <f t="shared" si="174"/>
        <v>18</v>
      </c>
      <c r="BG64" s="12">
        <f t="shared" si="174"/>
        <v>44959</v>
      </c>
      <c r="BH64" s="109">
        <f t="shared" si="175"/>
        <v>59.808873700212828</v>
      </c>
      <c r="BI64" s="109">
        <f t="shared" si="175"/>
        <v>40</v>
      </c>
      <c r="BK64" s="106"/>
      <c r="BL64" s="106"/>
      <c r="BM64" s="18">
        <f t="shared" si="204"/>
        <v>16</v>
      </c>
      <c r="BN64" s="12">
        <f t="shared" si="204"/>
        <v>44945</v>
      </c>
      <c r="BO64" s="109">
        <f t="shared" si="205"/>
        <v>28.696273517786555</v>
      </c>
      <c r="BP64" s="109">
        <f t="shared" si="205"/>
        <v>8</v>
      </c>
      <c r="BR64" s="106"/>
      <c r="CB64" s="18" t="e">
        <f t="shared" si="176"/>
        <v>#N/A</v>
      </c>
      <c r="CC64" s="12" t="e">
        <f t="shared" si="176"/>
        <v>#N/A</v>
      </c>
      <c r="CD64" s="109" t="e">
        <f t="shared" si="177"/>
        <v>#N/A</v>
      </c>
      <c r="CE64" s="109" t="e">
        <f t="shared" si="177"/>
        <v>#N/A</v>
      </c>
      <c r="CH64" s="106"/>
      <c r="CI64" s="23" t="s">
        <v>18</v>
      </c>
      <c r="CJ64" s="2">
        <v>16</v>
      </c>
      <c r="CK64" s="2">
        <v>16</v>
      </c>
      <c r="CL64" s="30"/>
      <c r="CQ64" s="18" t="e">
        <f t="shared" si="178"/>
        <v>#N/A</v>
      </c>
      <c r="CR64" s="12" t="e">
        <f t="shared" si="178"/>
        <v>#N/A</v>
      </c>
      <c r="CS64" s="109" t="e">
        <f t="shared" si="179"/>
        <v>#N/A</v>
      </c>
      <c r="CT64" s="109" t="e">
        <f t="shared" si="179"/>
        <v>#N/A</v>
      </c>
      <c r="CV64" s="106"/>
      <c r="DF64" s="18" t="e">
        <f t="shared" si="180"/>
        <v>#N/A</v>
      </c>
      <c r="DG64" s="12" t="e">
        <f t="shared" si="180"/>
        <v>#N/A</v>
      </c>
      <c r="DH64" s="109" t="e">
        <f t="shared" si="181"/>
        <v>#N/A</v>
      </c>
      <c r="DI64" s="109" t="e">
        <f t="shared" si="181"/>
        <v>#N/A</v>
      </c>
      <c r="DK64" s="106" t="s">
        <v>5</v>
      </c>
      <c r="DL64" s="106"/>
      <c r="DU64" s="18" t="e">
        <f t="shared" si="182"/>
        <v>#N/A</v>
      </c>
      <c r="DV64" s="12" t="e">
        <f t="shared" si="182"/>
        <v>#N/A</v>
      </c>
      <c r="DW64" s="109" t="e">
        <f t="shared" si="183"/>
        <v>#N/A</v>
      </c>
      <c r="DX64" s="109" t="e">
        <f t="shared" si="183"/>
        <v>#N/A</v>
      </c>
      <c r="DZ64" s="106"/>
      <c r="EA64" s="106"/>
      <c r="EB64" s="12" t="e">
        <f t="shared" si="206"/>
        <v>#N/A</v>
      </c>
      <c r="EC64" s="12" t="e">
        <f t="shared" si="206"/>
        <v>#N/A</v>
      </c>
      <c r="ED64" s="109" t="e">
        <f t="shared" si="207"/>
        <v>#N/A</v>
      </c>
      <c r="EE64" s="109" t="e">
        <f t="shared" si="207"/>
        <v>#N/A</v>
      </c>
      <c r="EG64" s="106"/>
      <c r="EH64" s="106"/>
      <c r="EO64" s="1">
        <v>100</v>
      </c>
      <c r="EQ64" s="12" t="str">
        <f t="shared" si="184"/>
        <v>FY18-18</v>
      </c>
      <c r="ER64" s="12">
        <f t="shared" si="184"/>
        <v>43041</v>
      </c>
      <c r="ES64" s="109">
        <f t="shared" si="222"/>
        <v>16.170259991374849</v>
      </c>
      <c r="ET64" s="109">
        <f t="shared" si="222"/>
        <v>6</v>
      </c>
      <c r="EU64" s="106"/>
      <c r="EV64" s="106"/>
      <c r="EW64" s="106"/>
      <c r="FF64" s="12" t="str">
        <f t="shared" si="186"/>
        <v>FY19</v>
      </c>
      <c r="FG64" s="12">
        <f t="shared" si="186"/>
        <v>43405</v>
      </c>
      <c r="FH64" s="109">
        <f t="shared" si="223"/>
        <v>42.745877177368079</v>
      </c>
      <c r="FI64" s="109">
        <f t="shared" si="223"/>
        <v>40</v>
      </c>
      <c r="FK64" s="106"/>
      <c r="FL64" s="106"/>
      <c r="FM64" s="12" t="str">
        <f t="shared" si="208"/>
        <v>FY19</v>
      </c>
      <c r="FN64" s="12">
        <f t="shared" si="208"/>
        <v>43391</v>
      </c>
      <c r="FO64" s="109">
        <f t="shared" si="209"/>
        <v>29.451650349650347</v>
      </c>
      <c r="FP64" s="109">
        <f t="shared" si="209"/>
        <v>20</v>
      </c>
      <c r="FR64" s="106"/>
      <c r="FS64" s="106"/>
      <c r="GB64" s="12" t="str">
        <f t="shared" si="188"/>
        <v>FY20</v>
      </c>
      <c r="GC64" s="12">
        <f t="shared" si="188"/>
        <v>43769</v>
      </c>
      <c r="GD64" s="109">
        <f t="shared" si="224"/>
        <v>22.777251067516556</v>
      </c>
      <c r="GE64" s="109">
        <f t="shared" si="224"/>
        <v>12</v>
      </c>
      <c r="GG64" s="106"/>
      <c r="GH64" s="106"/>
      <c r="GI64" s="12" t="str">
        <f t="shared" si="210"/>
        <v>FY20</v>
      </c>
      <c r="GJ64" s="12">
        <f t="shared" si="210"/>
        <v>43755</v>
      </c>
      <c r="GK64" s="109">
        <f t="shared" si="211"/>
        <v>14.675381397363697</v>
      </c>
      <c r="GL64" s="109">
        <f t="shared" si="211"/>
        <v>3</v>
      </c>
      <c r="GN64" s="106"/>
      <c r="GO64" s="106"/>
      <c r="GX64" s="12" t="str">
        <f t="shared" si="190"/>
        <v>FY21</v>
      </c>
      <c r="GY64" s="12">
        <f t="shared" si="190"/>
        <v>44133</v>
      </c>
      <c r="GZ64" s="109">
        <f t="shared" si="225"/>
        <v>24.929902341137119</v>
      </c>
      <c r="HA64" s="109">
        <f t="shared" si="225"/>
        <v>8</v>
      </c>
      <c r="HC64" s="106"/>
      <c r="HD64" s="106"/>
      <c r="HM64" s="12" t="str">
        <f t="shared" si="192"/>
        <v>FY22</v>
      </c>
      <c r="HN64" s="12">
        <f t="shared" si="192"/>
        <v>44497</v>
      </c>
      <c r="HO64" s="109">
        <f t="shared" si="226"/>
        <v>18.862208574034657</v>
      </c>
      <c r="HP64" s="109">
        <f t="shared" si="226"/>
        <v>3</v>
      </c>
      <c r="HR64" s="106"/>
      <c r="HS64" s="106"/>
      <c r="HT64" s="12" t="str">
        <f t="shared" si="212"/>
        <v>FY22</v>
      </c>
      <c r="HU64" s="12">
        <f t="shared" si="212"/>
        <v>44483</v>
      </c>
      <c r="HV64" s="109">
        <f t="shared" si="213"/>
        <v>59.016362663423536</v>
      </c>
      <c r="HW64" s="109">
        <f t="shared" si="213"/>
        <v>40</v>
      </c>
      <c r="HY64" s="106"/>
      <c r="HZ64" s="106"/>
      <c r="II64" s="40">
        <v>200</v>
      </c>
      <c r="IJ64" s="39">
        <f t="shared" si="214"/>
        <v>304737000</v>
      </c>
      <c r="IK64" s="40">
        <v>350</v>
      </c>
      <c r="IL64" s="39">
        <f t="shared" si="215"/>
        <v>-338013000</v>
      </c>
      <c r="IN64" s="106"/>
      <c r="IO64" s="106"/>
      <c r="IP64" s="40">
        <v>200</v>
      </c>
      <c r="IQ64" s="39">
        <f t="shared" si="216"/>
        <v>304737000</v>
      </c>
      <c r="IR64" s="40">
        <v>350</v>
      </c>
      <c r="IS64" s="39">
        <f t="shared" si="217"/>
        <v>-338013000</v>
      </c>
      <c r="IU64" s="106"/>
      <c r="IV64" s="106"/>
      <c r="IW64" s="16" t="s">
        <v>169</v>
      </c>
      <c r="IX64" s="12">
        <v>44427</v>
      </c>
      <c r="IY64" s="103">
        <v>20220383.581635755</v>
      </c>
      <c r="IZ64" s="104">
        <v>3000000</v>
      </c>
      <c r="JE64" s="40">
        <v>200</v>
      </c>
      <c r="JF64" s="39">
        <f t="shared" si="218"/>
        <v>304737000</v>
      </c>
      <c r="JG64" s="40">
        <v>350</v>
      </c>
      <c r="JH64" s="39">
        <f t="shared" si="219"/>
        <v>-338013000</v>
      </c>
      <c r="JI64" s="39"/>
      <c r="JJ64" s="39"/>
      <c r="JL64" s="106"/>
      <c r="JM64" s="106"/>
      <c r="JN64" s="40">
        <v>200</v>
      </c>
      <c r="JO64" s="39">
        <f t="shared" si="220"/>
        <v>304737000</v>
      </c>
      <c r="JP64" s="40">
        <v>350</v>
      </c>
      <c r="JQ64" s="39">
        <f t="shared" si="221"/>
        <v>-338013000</v>
      </c>
      <c r="JR64" s="39"/>
      <c r="JS64" s="39"/>
      <c r="JT64" s="39"/>
      <c r="JU64" s="39"/>
      <c r="JW64" s="106"/>
      <c r="JX64" s="106"/>
      <c r="NI64" s="12" t="str">
        <f t="shared" si="198"/>
        <v>FY18</v>
      </c>
      <c r="NJ64" s="12">
        <f t="shared" si="194"/>
        <v>42957</v>
      </c>
      <c r="NK64" s="109">
        <f t="shared" si="199"/>
        <v>13.75286</v>
      </c>
      <c r="NL64" s="109">
        <f t="shared" si="195"/>
        <v>3</v>
      </c>
      <c r="NN64" s="106"/>
      <c r="NX64" s="12" t="str">
        <f t="shared" si="200"/>
        <v>FY19</v>
      </c>
      <c r="NY64" s="12">
        <f t="shared" si="196"/>
        <v>43328</v>
      </c>
      <c r="NZ64" s="109">
        <f t="shared" si="201"/>
        <v>168.61891199999999</v>
      </c>
      <c r="OA64" s="109">
        <f t="shared" si="197"/>
        <v>100</v>
      </c>
      <c r="OC64" s="106"/>
    </row>
    <row r="65" spans="6:393" x14ac:dyDescent="0.25">
      <c r="F65" s="5"/>
      <c r="G65" s="5"/>
      <c r="H65" s="5"/>
      <c r="I65" s="5"/>
      <c r="M65" s="5" t="str" cm="1">
        <f t="array" ref="M65">LOOKUP(2,1/($G$19:$G$35&lt;=$V65)/($H$19:$H$35&gt;=$V65),$F$19:$F$35)</f>
        <v>2H18</v>
      </c>
      <c r="N65" s="5" t="str" cm="1">
        <f t="array" ref="N65">LOOKUP(2,1/($G$8:$G$16&lt;=$V65)/($H$8:$H$16&gt;=$V65),$F$8:$F$16)</f>
        <v>FY18</v>
      </c>
      <c r="O65" s="5" t="str">
        <f>IFERROR(N65&amp;"-"&amp;COUNTIF($N$19:N65,N65),NA())</f>
        <v>FY18-35</v>
      </c>
      <c r="P65" s="5">
        <f>COUNTIF(V$19:V65,"&gt;="&amp;MAX($V:$V)-183)</f>
        <v>0</v>
      </c>
      <c r="Q65" s="5">
        <f>COUNTIF(V$19:V65,"&gt;="&amp;MAX($V:$V)-365)</f>
        <v>0</v>
      </c>
      <c r="R65" s="5" cm="1">
        <f t="array" ref="R65">LOOKUP(2,1/($G$46:$G$50&lt;=$V65)/($H$46:$H$50&gt;=$V65),$F$46:$F$50)</f>
        <v>0</v>
      </c>
      <c r="S65" s="5" cm="1">
        <f t="array" ref="S65">LOOKUP(2,1/($G$53:$G$56&lt;=$V65)/($H$53:$H$56&gt;=$V65),$F$53:$F$56)</f>
        <v>0</v>
      </c>
      <c r="T65" s="5" t="e">
        <f>IFERROR(IF($R65&gt;0,$R65&amp;"-"&amp;COUNTIF($R$19:$R65,$R65),NA()),NA())</f>
        <v>#N/A</v>
      </c>
      <c r="U65" s="5" t="e">
        <f>IFERROR(IF($S65&gt;0,$S65&amp;"-"&amp;COUNTIF($S$19:$S65,$S65),NA()),NA())</f>
        <v>#N/A</v>
      </c>
      <c r="V65" s="10">
        <v>43160</v>
      </c>
      <c r="W65" s="101">
        <v>21685931.050543383</v>
      </c>
      <c r="X65" s="101">
        <v>20147314.242507327</v>
      </c>
      <c r="Y65" s="102">
        <v>10000000</v>
      </c>
      <c r="AI65" s="18">
        <f t="shared" si="172"/>
        <v>19</v>
      </c>
      <c r="AJ65" s="12">
        <f t="shared" si="172"/>
        <v>45148</v>
      </c>
      <c r="AK65" s="109">
        <f t="shared" si="173"/>
        <v>20.677774436090228</v>
      </c>
      <c r="AL65" s="109">
        <f t="shared" si="173"/>
        <v>4</v>
      </c>
      <c r="AN65" s="106"/>
      <c r="AO65" s="106"/>
      <c r="AP65" s="18">
        <f t="shared" ref="AP65:AQ80" si="227">IF(OR(ISBLANK(AA21),$AD21&gt;=$AQ$46),NA(),AA21)</f>
        <v>17</v>
      </c>
      <c r="AQ65" s="12">
        <f t="shared" si="227"/>
        <v>45134</v>
      </c>
      <c r="AR65" s="109">
        <f t="shared" ref="AR65:AS80" si="228">IF(OR(ISBLANK(AC21),$AD21&gt;=$AQ$46),NA(),AC21/1000000)</f>
        <v>84.639629072681714</v>
      </c>
      <c r="AS65" s="109">
        <f t="shared" si="228"/>
        <v>60</v>
      </c>
      <c r="AU65" s="106"/>
      <c r="BF65" s="18">
        <f t="shared" si="174"/>
        <v>19</v>
      </c>
      <c r="BG65" s="12">
        <f t="shared" si="174"/>
        <v>44966</v>
      </c>
      <c r="BH65" s="109">
        <f t="shared" si="175"/>
        <v>20.069480449984798</v>
      </c>
      <c r="BI65" s="109">
        <f t="shared" si="175"/>
        <v>4</v>
      </c>
      <c r="BK65" s="106"/>
      <c r="BL65" s="106"/>
      <c r="BM65" s="18">
        <f t="shared" ref="BM65:BN80" si="229">IF(OR(ISBLANK(AW21),$AZ21&gt;=$BN$46),NA(),AW21)</f>
        <v>17</v>
      </c>
      <c r="BN65" s="12">
        <f t="shared" si="229"/>
        <v>44952</v>
      </c>
      <c r="BO65" s="109">
        <f t="shared" ref="BO65:BP80" si="230">IF(OR(ISBLANK(AY21),$AZ21&gt;=$BN$46),NA(),AY21/1000000)</f>
        <v>41.97672252964427</v>
      </c>
      <c r="BP65" s="109">
        <f t="shared" si="230"/>
        <v>20</v>
      </c>
      <c r="BR65" s="106"/>
      <c r="CB65" s="18" t="e">
        <f t="shared" si="176"/>
        <v>#N/A</v>
      </c>
      <c r="CC65" s="12" t="e">
        <f t="shared" si="176"/>
        <v>#N/A</v>
      </c>
      <c r="CD65" s="109" t="e">
        <f t="shared" si="177"/>
        <v>#N/A</v>
      </c>
      <c r="CE65" s="109" t="e">
        <f t="shared" si="177"/>
        <v>#N/A</v>
      </c>
      <c r="CH65" s="106"/>
      <c r="CI65" s="29" t="s">
        <v>17</v>
      </c>
      <c r="CJ65" s="28"/>
      <c r="CK65" s="28"/>
      <c r="CL65" s="27"/>
      <c r="CQ65" s="18" t="e">
        <f t="shared" si="178"/>
        <v>#N/A</v>
      </c>
      <c r="CR65" s="12" t="e">
        <f t="shared" si="178"/>
        <v>#N/A</v>
      </c>
      <c r="CS65" s="109" t="e">
        <f t="shared" si="179"/>
        <v>#N/A</v>
      </c>
      <c r="CT65" s="109" t="e">
        <f t="shared" si="179"/>
        <v>#N/A</v>
      </c>
      <c r="CV65" s="106"/>
      <c r="DF65" s="18" t="e">
        <f t="shared" si="180"/>
        <v>#N/A</v>
      </c>
      <c r="DG65" s="12" t="e">
        <f t="shared" si="180"/>
        <v>#N/A</v>
      </c>
      <c r="DH65" s="109" t="e">
        <f t="shared" si="181"/>
        <v>#N/A</v>
      </c>
      <c r="DI65" s="109" t="e">
        <f t="shared" si="181"/>
        <v>#N/A</v>
      </c>
      <c r="DK65" s="106" t="s">
        <v>29</v>
      </c>
      <c r="DL65" s="106"/>
      <c r="DU65" s="18" t="e">
        <f t="shared" si="182"/>
        <v>#N/A</v>
      </c>
      <c r="DV65" s="12" t="e">
        <f t="shared" si="182"/>
        <v>#N/A</v>
      </c>
      <c r="DW65" s="109" t="e">
        <f t="shared" si="183"/>
        <v>#N/A</v>
      </c>
      <c r="DX65" s="109" t="e">
        <f t="shared" si="183"/>
        <v>#N/A</v>
      </c>
      <c r="DZ65" s="106"/>
      <c r="EA65" s="106"/>
      <c r="EB65" s="12" t="e">
        <f t="shared" ref="EB65:EC80" si="231">IF(OR(ISBLANK(DM21),$DP21&gt;=$EC$46),NA(),DM21)</f>
        <v>#N/A</v>
      </c>
      <c r="EC65" s="12" t="e">
        <f t="shared" si="231"/>
        <v>#N/A</v>
      </c>
      <c r="ED65" s="109" t="e">
        <f t="shared" ref="ED65:EE80" si="232">IF(OR(ISBLANK(DO21),$DP21&gt;=$EC$46),NA(),DO21/1000000)</f>
        <v>#N/A</v>
      </c>
      <c r="EE65" s="109" t="e">
        <f t="shared" si="232"/>
        <v>#N/A</v>
      </c>
      <c r="EG65" s="106"/>
      <c r="EH65" s="106"/>
      <c r="EO65" s="1">
        <v>150</v>
      </c>
      <c r="EQ65" s="12" t="str">
        <f t="shared" si="184"/>
        <v>FY18-19</v>
      </c>
      <c r="ER65" s="12">
        <f t="shared" si="184"/>
        <v>43048</v>
      </c>
      <c r="ES65" s="109">
        <f t="shared" si="222"/>
        <v>13.07953752975677</v>
      </c>
      <c r="ET65" s="109">
        <f t="shared" si="222"/>
        <v>3</v>
      </c>
      <c r="EU65" s="106"/>
      <c r="EV65" s="106"/>
      <c r="EW65" s="106"/>
      <c r="FF65" s="12" t="str">
        <f t="shared" si="186"/>
        <v>FY19</v>
      </c>
      <c r="FG65" s="12">
        <f t="shared" si="186"/>
        <v>43412</v>
      </c>
      <c r="FH65" s="109">
        <f t="shared" si="223"/>
        <v>70.047528035600749</v>
      </c>
      <c r="FI65" s="109">
        <f t="shared" si="223"/>
        <v>60</v>
      </c>
      <c r="FK65" s="106"/>
      <c r="FL65" s="106"/>
      <c r="FM65" s="12" t="str">
        <f t="shared" ref="FM65:FN80" si="233">IF(OR(ISBLANK(EX21),$FA21&gt;=$FN$46),NA(),EX21)</f>
        <v>FY19</v>
      </c>
      <c r="FN65" s="12">
        <f t="shared" si="233"/>
        <v>43398</v>
      </c>
      <c r="FO65" s="109">
        <f t="shared" ref="FO65:FP80" si="234">IF(OR(ISBLANK(EZ21),$FA21&gt;=$FN$46),NA(),EZ21/1000000)</f>
        <v>34.304900190718364</v>
      </c>
      <c r="FP65" s="109">
        <f t="shared" si="234"/>
        <v>30</v>
      </c>
      <c r="FR65" s="106"/>
      <c r="FS65" s="106"/>
      <c r="GB65" s="12" t="str">
        <f t="shared" si="188"/>
        <v>FY20</v>
      </c>
      <c r="GC65" s="12">
        <f t="shared" si="188"/>
        <v>43776</v>
      </c>
      <c r="GD65" s="109">
        <f t="shared" si="224"/>
        <v>30.483818305588219</v>
      </c>
      <c r="GE65" s="109">
        <f t="shared" si="224"/>
        <v>20</v>
      </c>
      <c r="GG65" s="106"/>
      <c r="GH65" s="106"/>
      <c r="GI65" s="12" t="str">
        <f t="shared" ref="GI65:GJ80" si="235">IF(OR(ISBLANK(FT21),$FW21&gt;=$GJ$46),NA(),FT21)</f>
        <v>FY20</v>
      </c>
      <c r="GJ65" s="12">
        <f t="shared" si="235"/>
        <v>43762</v>
      </c>
      <c r="GK65" s="109">
        <f t="shared" ref="GK65:GL80" si="236">IF(OR(ISBLANK(FV21),$FW21&gt;=$GJ$46),NA(),FV21/1000000)</f>
        <v>19.900891144253976</v>
      </c>
      <c r="GL65" s="109">
        <f t="shared" si="236"/>
        <v>8</v>
      </c>
      <c r="GN65" s="106"/>
      <c r="GO65" s="106"/>
      <c r="GX65" s="12" t="str">
        <f t="shared" si="190"/>
        <v>FY21</v>
      </c>
      <c r="GY65" s="12">
        <f t="shared" si="190"/>
        <v>44140</v>
      </c>
      <c r="GZ65" s="109">
        <f t="shared" si="225"/>
        <v>39.323627363940403</v>
      </c>
      <c r="HA65" s="109">
        <f t="shared" si="225"/>
        <v>20</v>
      </c>
      <c r="HC65" s="106"/>
      <c r="HD65" s="106"/>
      <c r="HM65" s="12" t="str">
        <f t="shared" si="192"/>
        <v>FY22</v>
      </c>
      <c r="HN65" s="12">
        <f t="shared" si="192"/>
        <v>44504</v>
      </c>
      <c r="HO65" s="109">
        <f t="shared" si="226"/>
        <v>25.128435147461236</v>
      </c>
      <c r="HP65" s="109">
        <f t="shared" si="226"/>
        <v>8</v>
      </c>
      <c r="HR65" s="106"/>
      <c r="HS65" s="106"/>
      <c r="HT65" s="12" t="str">
        <f t="shared" ref="HT65:HU80" si="237">IF(OR(ISBLANK(HE21),$HH21&gt;=$HU$46),NA(),HE21)</f>
        <v>FY22</v>
      </c>
      <c r="HU65" s="12">
        <f t="shared" si="237"/>
        <v>44490</v>
      </c>
      <c r="HV65" s="109">
        <f t="shared" ref="HV65:HW80" si="238">IF(OR(ISBLANK(HG21),$HH21&gt;=$HU$46),NA(),HG21/1000000)</f>
        <v>83.423387290969913</v>
      </c>
      <c r="HW65" s="109">
        <f t="shared" si="238"/>
        <v>60</v>
      </c>
      <c r="HY65" s="106"/>
      <c r="HZ65" s="106"/>
      <c r="II65" s="40"/>
      <c r="IJ65" s="39"/>
      <c r="IK65" s="40"/>
      <c r="IL65" s="39"/>
      <c r="IN65" s="106"/>
      <c r="IO65" s="106"/>
      <c r="IP65" s="40"/>
      <c r="IQ65" s="39"/>
      <c r="IR65" s="40"/>
      <c r="IS65" s="39"/>
      <c r="IU65" s="106"/>
      <c r="IV65" s="106"/>
      <c r="IW65" s="16" t="s">
        <v>169</v>
      </c>
      <c r="IX65" s="12">
        <v>44434</v>
      </c>
      <c r="IY65" s="103">
        <v>29212562.35937975</v>
      </c>
      <c r="IZ65" s="104">
        <v>8000000</v>
      </c>
      <c r="JE65" s="40"/>
      <c r="JF65" s="39"/>
      <c r="JG65" s="40"/>
      <c r="JH65" s="39"/>
      <c r="JI65" s="39"/>
      <c r="JJ65" s="39"/>
      <c r="JL65" s="106"/>
      <c r="JM65" s="106"/>
      <c r="JN65" s="40"/>
      <c r="JO65" s="39"/>
      <c r="JP65" s="40"/>
      <c r="JQ65" s="39"/>
      <c r="JR65" s="39"/>
      <c r="JS65" s="39"/>
      <c r="JT65" s="40">
        <v>1.0839000000000001</v>
      </c>
      <c r="JU65" s="39"/>
      <c r="JW65" s="106"/>
      <c r="JX65" s="106"/>
      <c r="NI65" s="12" t="str">
        <f t="shared" si="198"/>
        <v>FY18</v>
      </c>
      <c r="NJ65" s="12">
        <f t="shared" si="194"/>
        <v>42964</v>
      </c>
      <c r="NK65" s="109">
        <f t="shared" si="199"/>
        <v>13.145</v>
      </c>
      <c r="NL65" s="109">
        <f t="shared" si="195"/>
        <v>3</v>
      </c>
      <c r="NN65" s="106"/>
      <c r="NX65" s="12" t="str">
        <f t="shared" si="200"/>
        <v>FY19</v>
      </c>
      <c r="NY65" s="12">
        <f t="shared" si="196"/>
        <v>43335</v>
      </c>
      <c r="NZ65" s="109">
        <f t="shared" si="201"/>
        <v>14.740043999999999</v>
      </c>
      <c r="OA65" s="109">
        <f t="shared" si="197"/>
        <v>3</v>
      </c>
      <c r="OC65" s="106"/>
    </row>
    <row r="66" spans="6:393" x14ac:dyDescent="0.25">
      <c r="F66" s="5"/>
      <c r="G66" s="5"/>
      <c r="H66" s="5"/>
      <c r="I66" s="5"/>
      <c r="M66" s="5" t="str" cm="1">
        <f t="array" ref="M66">LOOKUP(2,1/($G$19:$G$35&lt;=$V66)/($H$19:$H$35&gt;=$V66),$F$19:$F$35)</f>
        <v>2H18</v>
      </c>
      <c r="N66" s="5" t="str" cm="1">
        <f t="array" ref="N66">LOOKUP(2,1/($G$8:$G$16&lt;=$V66)/($H$8:$H$16&gt;=$V66),$F$8:$F$16)</f>
        <v>FY18</v>
      </c>
      <c r="O66" s="5" t="str">
        <f>IFERROR(N66&amp;"-"&amp;COUNTIF($N$19:N66,N66),NA())</f>
        <v>FY18-36</v>
      </c>
      <c r="P66" s="5">
        <f>COUNTIF(V$19:V66,"&gt;="&amp;MAX($V:$V)-183)</f>
        <v>0</v>
      </c>
      <c r="Q66" s="5">
        <f>COUNTIF(V$19:V66,"&gt;="&amp;MAX($V:$V)-365)</f>
        <v>0</v>
      </c>
      <c r="R66" s="5" cm="1">
        <f t="array" ref="R66">LOOKUP(2,1/($G$46:$G$50&lt;=$V66)/($H$46:$H$50&gt;=$V66),$F$46:$F$50)</f>
        <v>0</v>
      </c>
      <c r="S66" s="5" cm="1">
        <f t="array" ref="S66">LOOKUP(2,1/($G$53:$G$56&lt;=$V66)/($H$53:$H$56&gt;=$V66),$F$53:$F$56)</f>
        <v>0</v>
      </c>
      <c r="T66" s="5" t="e">
        <f>IFERROR(IF($R66&gt;0,$R66&amp;"-"&amp;COUNTIF($R$19:$R66,$R66),NA()),NA())</f>
        <v>#N/A</v>
      </c>
      <c r="U66" s="5" t="e">
        <f>IFERROR(IF($S66&gt;0,$S66&amp;"-"&amp;COUNTIF($S$19:$S66,$S66),NA()),NA())</f>
        <v>#N/A</v>
      </c>
      <c r="V66" s="10">
        <v>43167</v>
      </c>
      <c r="W66" s="101">
        <v>27412380.840089697</v>
      </c>
      <c r="X66" s="101">
        <v>25467472.419485331</v>
      </c>
      <c r="Y66" s="102">
        <v>15000000</v>
      </c>
      <c r="AI66" s="18">
        <f t="shared" si="172"/>
        <v>20</v>
      </c>
      <c r="AJ66" s="12">
        <f t="shared" si="172"/>
        <v>45155</v>
      </c>
      <c r="AK66" s="109">
        <f t="shared" si="173"/>
        <v>30.840203334423013</v>
      </c>
      <c r="AL66" s="109">
        <f t="shared" si="173"/>
        <v>12</v>
      </c>
      <c r="AN66" s="106"/>
      <c r="AO66" s="106"/>
      <c r="AP66" s="18" t="e">
        <f t="shared" si="227"/>
        <v>#N/A</v>
      </c>
      <c r="AQ66" s="12" t="e">
        <f t="shared" si="227"/>
        <v>#N/A</v>
      </c>
      <c r="AR66" s="109" t="e">
        <f t="shared" si="228"/>
        <v>#N/A</v>
      </c>
      <c r="AS66" s="109" t="e">
        <f t="shared" si="228"/>
        <v>#N/A</v>
      </c>
      <c r="AU66" s="106"/>
      <c r="BF66" s="18">
        <f t="shared" si="174"/>
        <v>20</v>
      </c>
      <c r="BG66" s="12">
        <f t="shared" si="174"/>
        <v>44973</v>
      </c>
      <c r="BH66" s="109">
        <f t="shared" si="175"/>
        <v>27.295176771055036</v>
      </c>
      <c r="BI66" s="109">
        <f t="shared" si="175"/>
        <v>8</v>
      </c>
      <c r="BK66" s="106"/>
      <c r="BL66" s="106"/>
      <c r="BM66" s="18">
        <f t="shared" si="229"/>
        <v>18</v>
      </c>
      <c r="BN66" s="12">
        <f t="shared" si="229"/>
        <v>44959</v>
      </c>
      <c r="BO66" s="109">
        <f t="shared" si="230"/>
        <v>59.808873700212828</v>
      </c>
      <c r="BP66" s="109">
        <f t="shared" si="230"/>
        <v>40</v>
      </c>
      <c r="BR66" s="106"/>
      <c r="CB66" s="18" t="e">
        <f t="shared" si="176"/>
        <v>#N/A</v>
      </c>
      <c r="CC66" s="12" t="e">
        <f t="shared" si="176"/>
        <v>#N/A</v>
      </c>
      <c r="CD66" s="109" t="e">
        <f t="shared" si="177"/>
        <v>#N/A</v>
      </c>
      <c r="CE66" s="109" t="e">
        <f t="shared" si="177"/>
        <v>#N/A</v>
      </c>
      <c r="CH66" s="106"/>
      <c r="CI66" s="26"/>
      <c r="CJ66" s="25" t="s">
        <v>16</v>
      </c>
      <c r="CK66" s="25" t="s">
        <v>15</v>
      </c>
      <c r="CL66" s="24" t="s">
        <v>14</v>
      </c>
      <c r="CQ66" s="18" t="e">
        <f t="shared" si="178"/>
        <v>#N/A</v>
      </c>
      <c r="CR66" s="12" t="e">
        <f t="shared" si="178"/>
        <v>#N/A</v>
      </c>
      <c r="CS66" s="109" t="e">
        <f t="shared" si="179"/>
        <v>#N/A</v>
      </c>
      <c r="CT66" s="109" t="e">
        <f t="shared" si="179"/>
        <v>#N/A</v>
      </c>
      <c r="CV66" s="106"/>
      <c r="DF66" s="18" t="e">
        <f t="shared" si="180"/>
        <v>#N/A</v>
      </c>
      <c r="DG66" s="12" t="e">
        <f t="shared" si="180"/>
        <v>#N/A</v>
      </c>
      <c r="DH66" s="109" t="e">
        <f t="shared" si="181"/>
        <v>#N/A</v>
      </c>
      <c r="DI66" s="109" t="e">
        <f t="shared" si="181"/>
        <v>#N/A</v>
      </c>
      <c r="DK66" s="104">
        <v>140</v>
      </c>
      <c r="DL66" s="106"/>
      <c r="DU66" s="18" t="e">
        <f t="shared" si="182"/>
        <v>#N/A</v>
      </c>
      <c r="DV66" s="12" t="e">
        <f t="shared" si="182"/>
        <v>#N/A</v>
      </c>
      <c r="DW66" s="109" t="e">
        <f t="shared" si="183"/>
        <v>#N/A</v>
      </c>
      <c r="DX66" s="109" t="e">
        <f t="shared" si="183"/>
        <v>#N/A</v>
      </c>
      <c r="DZ66" s="106"/>
      <c r="EA66" s="106"/>
      <c r="EB66" s="12" t="e">
        <f t="shared" si="231"/>
        <v>#N/A</v>
      </c>
      <c r="EC66" s="12" t="e">
        <f t="shared" si="231"/>
        <v>#N/A</v>
      </c>
      <c r="ED66" s="109" t="e">
        <f t="shared" si="232"/>
        <v>#N/A</v>
      </c>
      <c r="EE66" s="109" t="e">
        <f t="shared" si="232"/>
        <v>#N/A</v>
      </c>
      <c r="EG66" s="106"/>
      <c r="EH66" s="106"/>
      <c r="EQ66" s="12" t="str">
        <f t="shared" si="184"/>
        <v>FY18-20</v>
      </c>
      <c r="ER66" s="12">
        <f t="shared" si="184"/>
        <v>43055</v>
      </c>
      <c r="ES66" s="109">
        <f t="shared" si="222"/>
        <v>17.451375321718132</v>
      </c>
      <c r="ET66" s="109">
        <f t="shared" si="222"/>
        <v>6</v>
      </c>
      <c r="EU66" s="106"/>
      <c r="EV66" s="106"/>
      <c r="EW66" s="106"/>
      <c r="FF66" s="12" t="str">
        <f t="shared" si="186"/>
        <v>FY19</v>
      </c>
      <c r="FG66" s="12">
        <f t="shared" si="186"/>
        <v>43419</v>
      </c>
      <c r="FH66" s="109">
        <f t="shared" si="223"/>
        <v>13.689841958041953</v>
      </c>
      <c r="FI66" s="109">
        <f t="shared" si="223"/>
        <v>3</v>
      </c>
      <c r="FK66" s="106"/>
      <c r="FL66" s="106"/>
      <c r="FM66" s="12" t="str">
        <f t="shared" si="233"/>
        <v>FY19</v>
      </c>
      <c r="FN66" s="12">
        <f t="shared" si="233"/>
        <v>43405</v>
      </c>
      <c r="FO66" s="109">
        <f t="shared" si="234"/>
        <v>42.745877177368079</v>
      </c>
      <c r="FP66" s="109">
        <f t="shared" si="234"/>
        <v>40</v>
      </c>
      <c r="FR66" s="106"/>
      <c r="FS66" s="106"/>
      <c r="GB66" s="12" t="str">
        <f t="shared" si="188"/>
        <v>FY20</v>
      </c>
      <c r="GC66" s="12">
        <f t="shared" si="188"/>
        <v>43783</v>
      </c>
      <c r="GD66" s="109">
        <f t="shared" si="224"/>
        <v>40.529243888854509</v>
      </c>
      <c r="GE66" s="109">
        <f t="shared" si="224"/>
        <v>30</v>
      </c>
      <c r="GG66" s="106"/>
      <c r="GH66" s="106"/>
      <c r="GI66" s="12" t="str">
        <f t="shared" si="235"/>
        <v>FY20</v>
      </c>
      <c r="GJ66" s="12">
        <f t="shared" si="235"/>
        <v>43769</v>
      </c>
      <c r="GK66" s="109">
        <f t="shared" si="236"/>
        <v>22.777251067516556</v>
      </c>
      <c r="GL66" s="109">
        <f t="shared" si="236"/>
        <v>12</v>
      </c>
      <c r="GN66" s="106"/>
      <c r="GO66" s="106"/>
      <c r="GX66" s="12" t="str">
        <f t="shared" si="190"/>
        <v>FY21</v>
      </c>
      <c r="GY66" s="12">
        <f t="shared" si="190"/>
        <v>44147</v>
      </c>
      <c r="GZ66" s="109">
        <f t="shared" si="225"/>
        <v>17.49003441775616</v>
      </c>
      <c r="HA66" s="109">
        <f t="shared" si="225"/>
        <v>3</v>
      </c>
      <c r="HC66" s="106"/>
      <c r="HD66" s="106"/>
      <c r="HM66" s="12" t="str">
        <f t="shared" si="192"/>
        <v>FY22</v>
      </c>
      <c r="HN66" s="12">
        <f t="shared" si="192"/>
        <v>44511</v>
      </c>
      <c r="HO66" s="109">
        <f t="shared" si="226"/>
        <v>41.533547217999399</v>
      </c>
      <c r="HP66" s="109">
        <f t="shared" si="226"/>
        <v>20</v>
      </c>
      <c r="HR66" s="106"/>
      <c r="HS66" s="106"/>
      <c r="HT66" s="12" t="str">
        <f t="shared" si="237"/>
        <v>FY22</v>
      </c>
      <c r="HU66" s="12">
        <f t="shared" si="237"/>
        <v>44497</v>
      </c>
      <c r="HV66" s="109">
        <f t="shared" si="238"/>
        <v>18.862208574034657</v>
      </c>
      <c r="HW66" s="109">
        <f t="shared" si="238"/>
        <v>3</v>
      </c>
      <c r="HY66" s="106"/>
      <c r="HZ66" s="106"/>
      <c r="II66" s="38" t="s">
        <v>27</v>
      </c>
      <c r="IJ66" s="38" t="s">
        <v>26</v>
      </c>
      <c r="IK66" s="38" t="s">
        <v>25</v>
      </c>
      <c r="IL66" s="38" t="s">
        <v>24</v>
      </c>
      <c r="IN66" s="106"/>
      <c r="IO66" s="106"/>
      <c r="IP66" s="2" t="s">
        <v>28</v>
      </c>
      <c r="IQ66" s="42">
        <v>100000000</v>
      </c>
      <c r="IR66" s="40"/>
      <c r="IS66" s="39"/>
      <c r="IU66" s="106"/>
      <c r="IV66" s="106"/>
      <c r="IW66" s="16" t="s">
        <v>169</v>
      </c>
      <c r="IX66" s="12">
        <v>44441</v>
      </c>
      <c r="IY66" s="103">
        <v>43186218.060200661</v>
      </c>
      <c r="IZ66" s="104">
        <v>20000000</v>
      </c>
      <c r="JE66" s="38" t="s">
        <v>27</v>
      </c>
      <c r="JF66" s="38" t="s">
        <v>26</v>
      </c>
      <c r="JG66" s="38" t="s">
        <v>25</v>
      </c>
      <c r="JH66" s="38" t="s">
        <v>24</v>
      </c>
      <c r="JI66" s="38"/>
      <c r="JJ66" s="38"/>
      <c r="JL66" s="106"/>
      <c r="JM66" s="106"/>
      <c r="JN66" s="2" t="s">
        <v>28</v>
      </c>
      <c r="JO66" s="42">
        <v>100000000</v>
      </c>
      <c r="JP66" s="40"/>
      <c r="JQ66" s="39"/>
      <c r="JR66" s="42">
        <v>100000000</v>
      </c>
      <c r="JT66" s="40">
        <v>16.832999999999998</v>
      </c>
      <c r="JU66" s="39"/>
      <c r="JW66" s="106"/>
      <c r="JX66" s="106"/>
      <c r="NI66" s="12" t="str">
        <f t="shared" si="198"/>
        <v>FY18</v>
      </c>
      <c r="NJ66" s="12">
        <f t="shared" si="194"/>
        <v>42971</v>
      </c>
      <c r="NK66" s="109">
        <f t="shared" si="199"/>
        <v>16.1205</v>
      </c>
      <c r="NL66" s="109">
        <f t="shared" si="195"/>
        <v>6</v>
      </c>
      <c r="NN66" s="106"/>
      <c r="NX66" s="12" t="str">
        <f t="shared" si="200"/>
        <v>FY19</v>
      </c>
      <c r="NY66" s="12">
        <f t="shared" si="196"/>
        <v>43342</v>
      </c>
      <c r="NZ66" s="109">
        <f t="shared" si="201"/>
        <v>17.328102000000001</v>
      </c>
      <c r="OA66" s="109">
        <f t="shared" si="197"/>
        <v>8</v>
      </c>
      <c r="OC66" s="106"/>
    </row>
    <row r="67" spans="6:393" x14ac:dyDescent="0.25">
      <c r="F67" s="5"/>
      <c r="G67" s="5"/>
      <c r="H67" s="5"/>
      <c r="I67" s="5"/>
      <c r="M67" s="5" t="str" cm="1">
        <f t="array" ref="M67">LOOKUP(2,1/($G$19:$G$35&lt;=$V67)/($H$19:$H$35&gt;=$V67),$F$19:$F$35)</f>
        <v>2H18</v>
      </c>
      <c r="N67" s="5" t="str" cm="1">
        <f t="array" ref="N67">LOOKUP(2,1/($G$8:$G$16&lt;=$V67)/($H$8:$H$16&gt;=$V67),$F$8:$F$16)</f>
        <v>FY18</v>
      </c>
      <c r="O67" s="5" t="str">
        <f>IFERROR(N67&amp;"-"&amp;COUNTIF($N$19:N67,N67),NA())</f>
        <v>FY18-37</v>
      </c>
      <c r="P67" s="5">
        <f>COUNTIF(V$19:V67,"&gt;="&amp;MAX($V:$V)-183)</f>
        <v>0</v>
      </c>
      <c r="Q67" s="5">
        <f>COUNTIF(V$19:V67,"&gt;="&amp;MAX($V:$V)-365)</f>
        <v>0</v>
      </c>
      <c r="R67" s="5" cm="1">
        <f t="array" ref="R67">LOOKUP(2,1/($G$46:$G$50&lt;=$V67)/($H$46:$H$50&gt;=$V67),$F$46:$F$50)</f>
        <v>0</v>
      </c>
      <c r="S67" s="5" cm="1">
        <f t="array" ref="S67">LOOKUP(2,1/($G$53:$G$56&lt;=$V67)/($H$53:$H$56&gt;=$V67),$F$53:$F$56)</f>
        <v>0</v>
      </c>
      <c r="T67" s="5" t="e">
        <f>IFERROR(IF($R67&gt;0,$R67&amp;"-"&amp;COUNTIF($R$19:$R67,$R67),NA()),NA())</f>
        <v>#N/A</v>
      </c>
      <c r="U67" s="5" t="e">
        <f>IFERROR(IF($S67&gt;0,$S67&amp;"-"&amp;COUNTIF($S$19:$S67,$S67),NA()),NA())</f>
        <v>#N/A</v>
      </c>
      <c r="V67" s="10">
        <v>43174</v>
      </c>
      <c r="W67" s="101">
        <v>42040755.794376396</v>
      </c>
      <c r="X67" s="101">
        <v>39057964.170765385</v>
      </c>
      <c r="Y67" s="102">
        <v>30000000</v>
      </c>
      <c r="AI67" s="18">
        <f t="shared" si="172"/>
        <v>21</v>
      </c>
      <c r="AJ67" s="12">
        <f t="shared" si="172"/>
        <v>45162</v>
      </c>
      <c r="AK67" s="109">
        <f t="shared" si="173"/>
        <v>42.995307072027899</v>
      </c>
      <c r="AL67" s="109">
        <f t="shared" si="173"/>
        <v>20</v>
      </c>
      <c r="AN67" s="106"/>
      <c r="AO67" s="106"/>
      <c r="AP67" s="18">
        <f t="shared" si="227"/>
        <v>19</v>
      </c>
      <c r="AQ67" s="12">
        <f t="shared" si="227"/>
        <v>45148</v>
      </c>
      <c r="AR67" s="109">
        <f t="shared" si="228"/>
        <v>20.677774436090228</v>
      </c>
      <c r="AS67" s="109">
        <f t="shared" si="228"/>
        <v>4</v>
      </c>
      <c r="AU67" s="106"/>
      <c r="BF67" s="18">
        <f t="shared" si="174"/>
        <v>21</v>
      </c>
      <c r="BG67" s="12">
        <f t="shared" si="174"/>
        <v>44980</v>
      </c>
      <c r="BH67" s="109">
        <f t="shared" si="175"/>
        <v>43.788940346609913</v>
      </c>
      <c r="BI67" s="109">
        <f t="shared" si="175"/>
        <v>20</v>
      </c>
      <c r="BK67" s="106"/>
      <c r="BL67" s="106"/>
      <c r="BM67" s="18">
        <f t="shared" si="229"/>
        <v>19</v>
      </c>
      <c r="BN67" s="12">
        <f t="shared" si="229"/>
        <v>44966</v>
      </c>
      <c r="BO67" s="109">
        <f t="shared" si="230"/>
        <v>20.069480449984798</v>
      </c>
      <c r="BP67" s="109">
        <f t="shared" si="230"/>
        <v>4</v>
      </c>
      <c r="BR67" s="106"/>
      <c r="CB67" s="18" t="e">
        <f t="shared" si="176"/>
        <v>#N/A</v>
      </c>
      <c r="CC67" s="12" t="e">
        <f t="shared" si="176"/>
        <v>#N/A</v>
      </c>
      <c r="CD67" s="109" t="e">
        <f t="shared" si="177"/>
        <v>#N/A</v>
      </c>
      <c r="CE67" s="109" t="e">
        <f t="shared" si="177"/>
        <v>#N/A</v>
      </c>
      <c r="CH67" s="106"/>
      <c r="CI67" s="23" t="s">
        <v>13</v>
      </c>
      <c r="CJ67" s="2">
        <v>122</v>
      </c>
      <c r="CK67" s="2">
        <v>223</v>
      </c>
      <c r="CL67" s="41">
        <f>CK67/CJ67-1</f>
        <v>0.82786885245901631</v>
      </c>
      <c r="CQ67" s="18" t="e">
        <f t="shared" si="178"/>
        <v>#N/A</v>
      </c>
      <c r="CR67" s="12" t="e">
        <f t="shared" si="178"/>
        <v>#N/A</v>
      </c>
      <c r="CS67" s="109" t="e">
        <f t="shared" si="179"/>
        <v>#N/A</v>
      </c>
      <c r="CT67" s="109" t="e">
        <f t="shared" si="179"/>
        <v>#N/A</v>
      </c>
      <c r="CV67" s="106"/>
      <c r="DF67" s="18" t="e">
        <f t="shared" si="180"/>
        <v>#N/A</v>
      </c>
      <c r="DG67" s="12" t="e">
        <f t="shared" si="180"/>
        <v>#N/A</v>
      </c>
      <c r="DH67" s="109" t="e">
        <f t="shared" si="181"/>
        <v>#N/A</v>
      </c>
      <c r="DI67" s="109" t="e">
        <f t="shared" si="181"/>
        <v>#N/A</v>
      </c>
      <c r="DK67" s="106"/>
      <c r="DL67" s="106"/>
      <c r="DU67" s="18" t="e">
        <f t="shared" si="182"/>
        <v>#N/A</v>
      </c>
      <c r="DV67" s="12" t="e">
        <f t="shared" si="182"/>
        <v>#N/A</v>
      </c>
      <c r="DW67" s="109" t="e">
        <f t="shared" si="183"/>
        <v>#N/A</v>
      </c>
      <c r="DX67" s="109" t="e">
        <f t="shared" si="183"/>
        <v>#N/A</v>
      </c>
      <c r="DZ67" s="106"/>
      <c r="EA67" s="106"/>
      <c r="EB67" s="12" t="e">
        <f t="shared" si="231"/>
        <v>#N/A</v>
      </c>
      <c r="EC67" s="12" t="e">
        <f t="shared" si="231"/>
        <v>#N/A</v>
      </c>
      <c r="ED67" s="109" t="e">
        <f t="shared" si="232"/>
        <v>#N/A</v>
      </c>
      <c r="EE67" s="109" t="e">
        <f t="shared" si="232"/>
        <v>#N/A</v>
      </c>
      <c r="EG67" s="106"/>
      <c r="EH67" s="106"/>
      <c r="EQ67" s="12" t="str">
        <f t="shared" si="184"/>
        <v>FY18-21</v>
      </c>
      <c r="ER67" s="12">
        <f t="shared" si="184"/>
        <v>43062</v>
      </c>
      <c r="ES67" s="109">
        <f t="shared" si="222"/>
        <v>25.218185292392615</v>
      </c>
      <c r="ET67" s="109">
        <f t="shared" si="222"/>
        <v>10</v>
      </c>
      <c r="EU67" s="106"/>
      <c r="EV67" s="106"/>
      <c r="EW67" s="106"/>
      <c r="FF67" s="12" t="str">
        <f t="shared" si="186"/>
        <v>FY19</v>
      </c>
      <c r="FG67" s="12">
        <f t="shared" si="186"/>
        <v>43426</v>
      </c>
      <c r="FH67" s="109">
        <f t="shared" si="223"/>
        <v>13.612641449459627</v>
      </c>
      <c r="FI67" s="109">
        <f t="shared" si="223"/>
        <v>3</v>
      </c>
      <c r="FK67" s="106"/>
      <c r="FL67" s="106"/>
      <c r="FM67" s="12" t="str">
        <f t="shared" si="233"/>
        <v>FY19</v>
      </c>
      <c r="FN67" s="12">
        <f t="shared" si="233"/>
        <v>43412</v>
      </c>
      <c r="FO67" s="109">
        <f t="shared" si="234"/>
        <v>70.047528035600749</v>
      </c>
      <c r="FP67" s="109">
        <f t="shared" si="234"/>
        <v>60</v>
      </c>
      <c r="FR67" s="106"/>
      <c r="FS67" s="106"/>
      <c r="GB67" s="12" t="str">
        <f t="shared" si="188"/>
        <v>FY20</v>
      </c>
      <c r="GC67" s="12">
        <f t="shared" si="188"/>
        <v>43790</v>
      </c>
      <c r="GD67" s="109">
        <f t="shared" si="224"/>
        <v>48.609266415000924</v>
      </c>
      <c r="GE67" s="109">
        <f t="shared" si="224"/>
        <v>40</v>
      </c>
      <c r="GG67" s="106"/>
      <c r="GH67" s="106"/>
      <c r="GI67" s="12" t="str">
        <f t="shared" si="235"/>
        <v>FY20</v>
      </c>
      <c r="GJ67" s="12">
        <f t="shared" si="235"/>
        <v>43776</v>
      </c>
      <c r="GK67" s="109">
        <f t="shared" si="236"/>
        <v>30.483818305588219</v>
      </c>
      <c r="GL67" s="109">
        <f t="shared" si="236"/>
        <v>20</v>
      </c>
      <c r="GN67" s="106"/>
      <c r="GO67" s="106"/>
      <c r="GX67" s="12" t="str">
        <f t="shared" si="190"/>
        <v>FY21</v>
      </c>
      <c r="GY67" s="12">
        <f t="shared" si="190"/>
        <v>44154</v>
      </c>
      <c r="GZ67" s="109">
        <f t="shared" si="225"/>
        <v>23.485624323502588</v>
      </c>
      <c r="HA67" s="109">
        <f t="shared" si="225"/>
        <v>8</v>
      </c>
      <c r="HC67" s="106"/>
      <c r="HD67" s="106"/>
      <c r="HM67" s="12" t="str">
        <f t="shared" si="192"/>
        <v>FY22</v>
      </c>
      <c r="HN67" s="12">
        <f t="shared" si="192"/>
        <v>44518</v>
      </c>
      <c r="HO67" s="109">
        <f t="shared" si="226"/>
        <v>57.357794101550631</v>
      </c>
      <c r="HP67" s="109">
        <f t="shared" si="226"/>
        <v>40</v>
      </c>
      <c r="HR67" s="106"/>
      <c r="HS67" s="106"/>
      <c r="HT67" s="12" t="str">
        <f t="shared" si="237"/>
        <v>FY22</v>
      </c>
      <c r="HU67" s="12">
        <f t="shared" si="237"/>
        <v>44504</v>
      </c>
      <c r="HV67" s="109">
        <f t="shared" si="238"/>
        <v>25.128435147461236</v>
      </c>
      <c r="HW67" s="109">
        <f t="shared" si="238"/>
        <v>8</v>
      </c>
      <c r="HY67" s="106"/>
      <c r="HZ67" s="106"/>
      <c r="II67" s="12" t="str">
        <f t="shared" ref="II67:II88" si="239">IF(ISBLANK(IA5),NA(),IA5)</f>
        <v>FY23</v>
      </c>
      <c r="IJ67" s="12">
        <f t="shared" ref="IJ67:IJ88" si="240">IF(ISBLANK(IB5),NA(),IB5)</f>
        <v>44749</v>
      </c>
      <c r="IK67" s="109">
        <f>IF(ISBLANK(IC5),NA(),IC5/1000000)</f>
        <v>20.096787838248709</v>
      </c>
      <c r="IL67" s="109">
        <f>IF(ISBLANK(ID5),NA(),ID5/1000000)</f>
        <v>4</v>
      </c>
      <c r="IN67" s="106"/>
      <c r="IO67" s="106"/>
      <c r="IP67" s="40"/>
      <c r="IQ67" s="39"/>
      <c r="IR67" s="40"/>
      <c r="IS67" s="39"/>
      <c r="IU67" s="106"/>
      <c r="IV67" s="106"/>
      <c r="IW67" s="16" t="s">
        <v>169</v>
      </c>
      <c r="IX67" s="12">
        <v>44448</v>
      </c>
      <c r="IY67" s="103">
        <v>19506276.92307692</v>
      </c>
      <c r="IZ67" s="104">
        <v>3000000</v>
      </c>
      <c r="JE67" s="12" t="str">
        <f>IF(ISBLANK(IW5),NA(),IW5)</f>
        <v>Since FY21</v>
      </c>
      <c r="JF67" s="12">
        <f>IF(ISBLANK(IX5),NA(),IX5)</f>
        <v>44014</v>
      </c>
      <c r="JG67" s="109">
        <f>IF(ISBLANK(IY5),NA(),IY5/1000000)</f>
        <v>69.318618911523259</v>
      </c>
      <c r="JH67" s="109">
        <f>IF(ISBLANK(IZ5),NA(),IZ5/1000000)</f>
        <v>50</v>
      </c>
      <c r="JI67" s="109"/>
      <c r="JJ67" s="40"/>
      <c r="JL67" s="106"/>
      <c r="JM67" s="106"/>
      <c r="JN67" s="40"/>
      <c r="JO67" s="39"/>
      <c r="JP67" s="40"/>
      <c r="JQ67" s="39"/>
      <c r="JR67" s="39"/>
      <c r="JS67" s="39"/>
      <c r="JT67" s="39"/>
      <c r="JU67" s="39"/>
      <c r="JW67" s="106"/>
      <c r="JX67" s="106"/>
      <c r="NI67" s="12" t="str">
        <f t="shared" si="198"/>
        <v>FY18</v>
      </c>
      <c r="NJ67" s="12">
        <f t="shared" si="194"/>
        <v>42978</v>
      </c>
      <c r="NK67" s="109">
        <f t="shared" si="199"/>
        <v>18.67052</v>
      </c>
      <c r="NL67" s="109">
        <f t="shared" si="195"/>
        <v>10</v>
      </c>
      <c r="NN67" s="106"/>
      <c r="NX67" s="12" t="str">
        <f t="shared" si="200"/>
        <v>FY19</v>
      </c>
      <c r="NY67" s="12">
        <f t="shared" si="196"/>
        <v>43349</v>
      </c>
      <c r="NZ67" s="109">
        <f t="shared" si="201"/>
        <v>21.834251999999999</v>
      </c>
      <c r="OA67" s="109">
        <f t="shared" si="197"/>
        <v>12</v>
      </c>
      <c r="OC67" s="106"/>
    </row>
    <row r="68" spans="6:393" x14ac:dyDescent="0.25">
      <c r="F68" s="5"/>
      <c r="G68" s="5"/>
      <c r="H68" s="5"/>
      <c r="I68" s="5"/>
      <c r="M68" s="5" t="str" cm="1">
        <f t="array" ref="M68">LOOKUP(2,1/($G$19:$G$35&lt;=$V68)/($H$19:$H$35&gt;=$V68),$F$19:$F$35)</f>
        <v>2H18</v>
      </c>
      <c r="N68" s="5" t="str" cm="1">
        <f t="array" ref="N68">LOOKUP(2,1/($G$8:$G$16&lt;=$V68)/($H$8:$H$16&gt;=$V68),$F$8:$F$16)</f>
        <v>FY18</v>
      </c>
      <c r="O68" s="5" t="str">
        <f>IFERROR(N68&amp;"-"&amp;COUNTIF($N$19:N68,N68),NA())</f>
        <v>FY18-38</v>
      </c>
      <c r="P68" s="5">
        <f>COUNTIF(V$19:V68,"&gt;="&amp;MAX($V:$V)-183)</f>
        <v>0</v>
      </c>
      <c r="Q68" s="5">
        <f>COUNTIF(V$19:V68,"&gt;="&amp;MAX($V:$V)-365)</f>
        <v>0</v>
      </c>
      <c r="R68" s="5" cm="1">
        <f t="array" ref="R68">LOOKUP(2,1/($G$46:$G$50&lt;=$V68)/($H$46:$H$50&gt;=$V68),$F$46:$F$50)</f>
        <v>0</v>
      </c>
      <c r="S68" s="5" cm="1">
        <f t="array" ref="S68">LOOKUP(2,1/($G$53:$G$56&lt;=$V68)/($H$53:$H$56&gt;=$V68),$F$53:$F$56)</f>
        <v>0</v>
      </c>
      <c r="T68" s="5" t="e">
        <f>IFERROR(IF($R68&gt;0,$R68&amp;"-"&amp;COUNTIF($R$19:$R68,$R68),NA()),NA())</f>
        <v>#N/A</v>
      </c>
      <c r="U68" s="5" t="e">
        <f>IFERROR(IF($S68&gt;0,$S68&amp;"-"&amp;COUNTIF($S$19:$S68,$S68),NA()),NA())</f>
        <v>#N/A</v>
      </c>
      <c r="V68" s="10">
        <v>43181</v>
      </c>
      <c r="W68" s="101">
        <v>52311528.797653951</v>
      </c>
      <c r="X68" s="101">
        <v>48600025.829460397</v>
      </c>
      <c r="Y68" s="102">
        <v>40000000</v>
      </c>
      <c r="AI68" s="18">
        <f t="shared" si="172"/>
        <v>22</v>
      </c>
      <c r="AJ68" s="12">
        <f t="shared" si="172"/>
        <v>45169</v>
      </c>
      <c r="AK68" s="109">
        <f t="shared" si="173"/>
        <v>59.703342595619482</v>
      </c>
      <c r="AL68" s="109">
        <f t="shared" si="173"/>
        <v>40</v>
      </c>
      <c r="AN68" s="106"/>
      <c r="AO68" s="106"/>
      <c r="AP68" s="18">
        <f t="shared" si="227"/>
        <v>20</v>
      </c>
      <c r="AQ68" s="12">
        <f t="shared" si="227"/>
        <v>45155</v>
      </c>
      <c r="AR68" s="109">
        <f t="shared" si="228"/>
        <v>30.840203334423013</v>
      </c>
      <c r="AS68" s="109">
        <f t="shared" si="228"/>
        <v>12</v>
      </c>
      <c r="AU68" s="106"/>
      <c r="BF68" s="18">
        <f t="shared" si="174"/>
        <v>22</v>
      </c>
      <c r="BG68" s="12">
        <f t="shared" si="174"/>
        <v>44987</v>
      </c>
      <c r="BH68" s="109">
        <f t="shared" si="175"/>
        <v>60.656023107327449</v>
      </c>
      <c r="BI68" s="109">
        <f t="shared" si="175"/>
        <v>40</v>
      </c>
      <c r="BK68" s="106"/>
      <c r="BL68" s="106"/>
      <c r="BM68" s="18">
        <f t="shared" si="229"/>
        <v>20</v>
      </c>
      <c r="BN68" s="12">
        <f t="shared" si="229"/>
        <v>44973</v>
      </c>
      <c r="BO68" s="109">
        <f t="shared" si="230"/>
        <v>27.295176771055036</v>
      </c>
      <c r="BP68" s="109">
        <f t="shared" si="230"/>
        <v>8</v>
      </c>
      <c r="BR68" s="106"/>
      <c r="CB68" s="18" t="e">
        <f t="shared" si="176"/>
        <v>#N/A</v>
      </c>
      <c r="CC68" s="12" t="e">
        <f t="shared" si="176"/>
        <v>#N/A</v>
      </c>
      <c r="CD68" s="109" t="e">
        <f t="shared" si="177"/>
        <v>#N/A</v>
      </c>
      <c r="CE68" s="109" t="e">
        <f t="shared" si="177"/>
        <v>#N/A</v>
      </c>
      <c r="CH68" s="106"/>
      <c r="CI68" s="21" t="s">
        <v>12</v>
      </c>
      <c r="CJ68" s="20">
        <v>143</v>
      </c>
      <c r="CK68" s="20">
        <v>142</v>
      </c>
      <c r="CL68" s="19">
        <f>CK68/CJ68-1</f>
        <v>-6.9930069930069783E-3</v>
      </c>
      <c r="CQ68" s="18" t="e">
        <f t="shared" si="178"/>
        <v>#N/A</v>
      </c>
      <c r="CR68" s="12" t="e">
        <f t="shared" si="178"/>
        <v>#N/A</v>
      </c>
      <c r="CS68" s="109" t="e">
        <f t="shared" si="179"/>
        <v>#N/A</v>
      </c>
      <c r="CT68" s="109" t="e">
        <f t="shared" si="179"/>
        <v>#N/A</v>
      </c>
      <c r="CV68" s="106"/>
      <c r="DF68" s="18" t="e">
        <f t="shared" si="180"/>
        <v>#N/A</v>
      </c>
      <c r="DG68" s="12" t="e">
        <f t="shared" si="180"/>
        <v>#N/A</v>
      </c>
      <c r="DH68" s="109" t="e">
        <f t="shared" si="181"/>
        <v>#N/A</v>
      </c>
      <c r="DI68" s="109" t="e">
        <f t="shared" si="181"/>
        <v>#N/A</v>
      </c>
      <c r="DK68" s="106" t="s">
        <v>2</v>
      </c>
      <c r="DL68" s="106"/>
      <c r="DU68" s="18" t="e">
        <f t="shared" si="182"/>
        <v>#N/A</v>
      </c>
      <c r="DV68" s="12" t="e">
        <f t="shared" si="182"/>
        <v>#N/A</v>
      </c>
      <c r="DW68" s="109" t="e">
        <f t="shared" si="183"/>
        <v>#N/A</v>
      </c>
      <c r="DX68" s="109" t="e">
        <f t="shared" si="183"/>
        <v>#N/A</v>
      </c>
      <c r="DZ68" s="106"/>
      <c r="EA68" s="106"/>
      <c r="EB68" s="12" t="e">
        <f t="shared" si="231"/>
        <v>#N/A</v>
      </c>
      <c r="EC68" s="12" t="e">
        <f t="shared" si="231"/>
        <v>#N/A</v>
      </c>
      <c r="ED68" s="109" t="e">
        <f t="shared" si="232"/>
        <v>#N/A</v>
      </c>
      <c r="EE68" s="109" t="e">
        <f t="shared" si="232"/>
        <v>#N/A</v>
      </c>
      <c r="EG68" s="106"/>
      <c r="EH68" s="106"/>
      <c r="EQ68" s="12" t="str">
        <f t="shared" si="184"/>
        <v>FY18-22</v>
      </c>
      <c r="ER68" s="12">
        <f t="shared" si="184"/>
        <v>43069</v>
      </c>
      <c r="ES68" s="109">
        <f t="shared" si="222"/>
        <v>13.093111238571673</v>
      </c>
      <c r="ET68" s="109">
        <f t="shared" si="222"/>
        <v>3</v>
      </c>
      <c r="EU68" s="106"/>
      <c r="EV68" s="106"/>
      <c r="EW68" s="106"/>
      <c r="FF68" s="12" t="str">
        <f t="shared" si="186"/>
        <v>FY19</v>
      </c>
      <c r="FG68" s="12">
        <f t="shared" si="186"/>
        <v>43433</v>
      </c>
      <c r="FH68" s="109">
        <f t="shared" si="223"/>
        <v>19.569770120788299</v>
      </c>
      <c r="FI68" s="109">
        <f t="shared" si="223"/>
        <v>8</v>
      </c>
      <c r="FK68" s="106"/>
      <c r="FL68" s="106"/>
      <c r="FM68" s="12" t="str">
        <f t="shared" si="233"/>
        <v>FY19</v>
      </c>
      <c r="FN68" s="12">
        <f t="shared" si="233"/>
        <v>43419</v>
      </c>
      <c r="FO68" s="109">
        <f t="shared" si="234"/>
        <v>13.689841958041953</v>
      </c>
      <c r="FP68" s="109">
        <f t="shared" si="234"/>
        <v>3</v>
      </c>
      <c r="FR68" s="106"/>
      <c r="FS68" s="106"/>
      <c r="GB68" s="12" t="str">
        <f t="shared" si="188"/>
        <v>FY20</v>
      </c>
      <c r="GC68" s="12">
        <f t="shared" si="188"/>
        <v>43797</v>
      </c>
      <c r="GD68" s="109">
        <f t="shared" si="224"/>
        <v>15.126397920663408</v>
      </c>
      <c r="GE68" s="109">
        <f t="shared" si="224"/>
        <v>3</v>
      </c>
      <c r="GG68" s="106"/>
      <c r="GH68" s="106"/>
      <c r="GI68" s="12" t="str">
        <f t="shared" si="235"/>
        <v>FY20</v>
      </c>
      <c r="GJ68" s="12">
        <f t="shared" si="235"/>
        <v>43783</v>
      </c>
      <c r="GK68" s="109">
        <f t="shared" si="236"/>
        <v>40.529243888854509</v>
      </c>
      <c r="GL68" s="109">
        <f t="shared" si="236"/>
        <v>30</v>
      </c>
      <c r="GN68" s="106"/>
      <c r="GO68" s="106"/>
      <c r="GX68" s="12" t="str">
        <f t="shared" si="190"/>
        <v>FY21</v>
      </c>
      <c r="GY68" s="12">
        <f t="shared" si="190"/>
        <v>44161</v>
      </c>
      <c r="GZ68" s="109">
        <f t="shared" si="225"/>
        <v>40.190379811492861</v>
      </c>
      <c r="HA68" s="109">
        <f t="shared" si="225"/>
        <v>20</v>
      </c>
      <c r="HC68" s="106"/>
      <c r="HD68" s="106"/>
      <c r="HM68" s="12" t="str">
        <f t="shared" si="192"/>
        <v>FY22</v>
      </c>
      <c r="HN68" s="12">
        <f t="shared" si="192"/>
        <v>44525</v>
      </c>
      <c r="HO68" s="109">
        <f t="shared" si="226"/>
        <v>81.402100334448164</v>
      </c>
      <c r="HP68" s="109">
        <f t="shared" si="226"/>
        <v>60</v>
      </c>
      <c r="HR68" s="106"/>
      <c r="HS68" s="106"/>
      <c r="HT68" s="12" t="str">
        <f t="shared" si="237"/>
        <v>FY22</v>
      </c>
      <c r="HU68" s="12">
        <f t="shared" si="237"/>
        <v>44511</v>
      </c>
      <c r="HV68" s="109">
        <f t="shared" si="238"/>
        <v>41.533547217999399</v>
      </c>
      <c r="HW68" s="109">
        <f t="shared" si="238"/>
        <v>20</v>
      </c>
      <c r="HY68" s="106"/>
      <c r="HZ68" s="106"/>
      <c r="II68" s="12" t="str">
        <f t="shared" si="239"/>
        <v>FY23</v>
      </c>
      <c r="IJ68" s="12">
        <f t="shared" si="240"/>
        <v>44756</v>
      </c>
      <c r="IK68" s="109">
        <f t="shared" ref="IK68:IL112" si="241">IF(ISBLANK(IC6),NA(),IC6/1000000)</f>
        <v>27.258635451505018</v>
      </c>
      <c r="IL68" s="109">
        <f t="shared" si="241"/>
        <v>8</v>
      </c>
      <c r="IN68" s="106"/>
      <c r="IO68" s="106"/>
      <c r="IP68" s="38" t="s">
        <v>27</v>
      </c>
      <c r="IQ68" s="38" t="s">
        <v>26</v>
      </c>
      <c r="IR68" s="38" t="s">
        <v>25</v>
      </c>
      <c r="IS68" s="38" t="s">
        <v>24</v>
      </c>
      <c r="IU68" s="106"/>
      <c r="IV68" s="106"/>
      <c r="IW68" s="16" t="s">
        <v>169</v>
      </c>
      <c r="IX68" s="12">
        <v>44455</v>
      </c>
      <c r="IY68" s="103">
        <v>25355454.910307083</v>
      </c>
      <c r="IZ68" s="104">
        <v>8000000</v>
      </c>
      <c r="JE68" s="12" t="str">
        <f t="shared" ref="JE68:JF87" si="242">IF(ISBLANK(IW6),NA(),IW6)</f>
        <v>Since FY21</v>
      </c>
      <c r="JF68" s="12">
        <f t="shared" si="242"/>
        <v>44021</v>
      </c>
      <c r="JG68" s="109">
        <f t="shared" ref="JG68:JH112" si="243">IF(ISBLANK(IY6),NA(),IY6/1000000)</f>
        <v>107.88941027667983</v>
      </c>
      <c r="JH68" s="109">
        <f t="shared" si="243"/>
        <v>80</v>
      </c>
      <c r="JI68" s="109"/>
      <c r="JJ68" s="40"/>
      <c r="JL68" s="106"/>
      <c r="JM68" s="106"/>
      <c r="JN68" s="38" t="s">
        <v>27</v>
      </c>
      <c r="JO68" s="38" t="s">
        <v>26</v>
      </c>
      <c r="JP68" s="38" t="s">
        <v>25</v>
      </c>
      <c r="JQ68" s="38" t="s">
        <v>24</v>
      </c>
      <c r="JR68" s="38"/>
      <c r="JS68" s="38"/>
      <c r="JT68" s="38"/>
      <c r="JU68" s="38"/>
      <c r="JW68" s="106"/>
      <c r="JX68" s="106"/>
      <c r="NI68" s="12" t="str">
        <f t="shared" si="198"/>
        <v>FY18</v>
      </c>
      <c r="NJ68" s="12">
        <f t="shared" si="194"/>
        <v>42985</v>
      </c>
      <c r="NK68" s="109">
        <f t="shared" si="199"/>
        <v>25.652989999999999</v>
      </c>
      <c r="NL68" s="109">
        <f t="shared" si="195"/>
        <v>15</v>
      </c>
      <c r="NN68" s="106"/>
      <c r="NX68" s="12" t="str">
        <f t="shared" si="200"/>
        <v>FY19</v>
      </c>
      <c r="NY68" s="12">
        <f t="shared" si="196"/>
        <v>43356</v>
      </c>
      <c r="NZ68" s="109">
        <f t="shared" si="201"/>
        <v>28.53378</v>
      </c>
      <c r="OA68" s="109">
        <f t="shared" si="197"/>
        <v>20</v>
      </c>
      <c r="OC68" s="106"/>
    </row>
    <row r="69" spans="6:393" x14ac:dyDescent="0.25">
      <c r="F69" s="5"/>
      <c r="G69" s="5"/>
      <c r="H69" s="5"/>
      <c r="I69" s="5"/>
      <c r="M69" s="5" t="str" cm="1">
        <f t="array" ref="M69">LOOKUP(2,1/($G$19:$G$35&lt;=$V69)/($H$19:$H$35&gt;=$V69),$F$19:$F$35)</f>
        <v>2H18</v>
      </c>
      <c r="N69" s="5" t="str" cm="1">
        <f t="array" ref="N69">LOOKUP(2,1/($G$8:$G$16&lt;=$V69)/($H$8:$H$16&gt;=$V69),$F$8:$F$16)</f>
        <v>FY18</v>
      </c>
      <c r="O69" s="5" t="str">
        <f>IFERROR(N69&amp;"-"&amp;COUNTIF($N$19:N69,N69),NA())</f>
        <v>FY18-39</v>
      </c>
      <c r="P69" s="5">
        <f>COUNTIF(V$19:V69,"&gt;="&amp;MAX($V:$V)-183)</f>
        <v>0</v>
      </c>
      <c r="Q69" s="5">
        <f>COUNTIF(V$19:V69,"&gt;="&amp;MAX($V:$V)-365)</f>
        <v>0</v>
      </c>
      <c r="R69" s="5" cm="1">
        <f t="array" ref="R69">LOOKUP(2,1/($G$46:$G$50&lt;=$V69)/($H$46:$H$50&gt;=$V69),$F$46:$F$50)</f>
        <v>0</v>
      </c>
      <c r="S69" s="5" cm="1">
        <f t="array" ref="S69">LOOKUP(2,1/($G$53:$G$56&lt;=$V69)/($H$53:$H$56&gt;=$V69),$F$53:$F$56)</f>
        <v>0</v>
      </c>
      <c r="T69" s="5" t="e">
        <f>IFERROR(IF($R69&gt;0,$R69&amp;"-"&amp;COUNTIF($R$19:$R69,$R69),NA()),NA())</f>
        <v>#N/A</v>
      </c>
      <c r="U69" s="5" t="e">
        <f>IFERROR(IF($S69&gt;0,$S69&amp;"-"&amp;COUNTIF($S$19:$S69,$S69),NA()),NA())</f>
        <v>#N/A</v>
      </c>
      <c r="V69" s="10">
        <v>43188</v>
      </c>
      <c r="W69" s="101">
        <v>15128946.850094875</v>
      </c>
      <c r="X69" s="101">
        <v>14055548.071080644</v>
      </c>
      <c r="Y69" s="102">
        <v>3000000</v>
      </c>
      <c r="AI69" s="18">
        <f t="shared" si="172"/>
        <v>23</v>
      </c>
      <c r="AJ69" s="12">
        <f t="shared" si="172"/>
        <v>45176</v>
      </c>
      <c r="AK69" s="109">
        <f t="shared" si="173"/>
        <v>20.222166067342272</v>
      </c>
      <c r="AL69" s="109">
        <f t="shared" si="173"/>
        <v>4</v>
      </c>
      <c r="AN69" s="106"/>
      <c r="AO69" s="106"/>
      <c r="AP69" s="18">
        <f t="shared" si="227"/>
        <v>21</v>
      </c>
      <c r="AQ69" s="12">
        <f t="shared" si="227"/>
        <v>45162</v>
      </c>
      <c r="AR69" s="109">
        <f t="shared" si="228"/>
        <v>42.995307072027899</v>
      </c>
      <c r="AS69" s="109">
        <f t="shared" si="228"/>
        <v>20</v>
      </c>
      <c r="AU69" s="106"/>
      <c r="BF69" s="18">
        <f t="shared" si="174"/>
        <v>23</v>
      </c>
      <c r="BG69" s="12">
        <f t="shared" si="174"/>
        <v>44994</v>
      </c>
      <c r="BH69" s="109">
        <f t="shared" si="175"/>
        <v>20.922155062328976</v>
      </c>
      <c r="BI69" s="109">
        <f t="shared" si="175"/>
        <v>4</v>
      </c>
      <c r="BK69" s="106"/>
      <c r="BL69" s="106"/>
      <c r="BM69" s="18">
        <f t="shared" si="229"/>
        <v>21</v>
      </c>
      <c r="BN69" s="12">
        <f t="shared" si="229"/>
        <v>44980</v>
      </c>
      <c r="BO69" s="109">
        <f t="shared" si="230"/>
        <v>43.788940346609913</v>
      </c>
      <c r="BP69" s="109">
        <f t="shared" si="230"/>
        <v>20</v>
      </c>
      <c r="BR69" s="106"/>
      <c r="CB69" s="18" t="e">
        <f t="shared" si="176"/>
        <v>#N/A</v>
      </c>
      <c r="CC69" s="12" t="e">
        <f t="shared" si="176"/>
        <v>#N/A</v>
      </c>
      <c r="CD69" s="109" t="e">
        <f t="shared" si="177"/>
        <v>#N/A</v>
      </c>
      <c r="CE69" s="109" t="e">
        <f t="shared" si="177"/>
        <v>#N/A</v>
      </c>
      <c r="CH69" s="106"/>
      <c r="CQ69" s="18" t="e">
        <f t="shared" si="178"/>
        <v>#N/A</v>
      </c>
      <c r="CR69" s="12" t="e">
        <f t="shared" si="178"/>
        <v>#N/A</v>
      </c>
      <c r="CS69" s="109" t="e">
        <f t="shared" si="179"/>
        <v>#N/A</v>
      </c>
      <c r="CT69" s="109" t="e">
        <f t="shared" si="179"/>
        <v>#N/A</v>
      </c>
      <c r="CV69" s="106"/>
      <c r="DF69" s="18" t="e">
        <f t="shared" si="180"/>
        <v>#N/A</v>
      </c>
      <c r="DG69" s="12" t="e">
        <f t="shared" si="180"/>
        <v>#N/A</v>
      </c>
      <c r="DH69" s="109" t="e">
        <f t="shared" si="181"/>
        <v>#N/A</v>
      </c>
      <c r="DI69" s="109" t="e">
        <f t="shared" si="181"/>
        <v>#N/A</v>
      </c>
      <c r="DK69" s="106" t="s">
        <v>23</v>
      </c>
      <c r="DL69" s="106"/>
      <c r="DU69" s="18" t="e">
        <f t="shared" si="182"/>
        <v>#N/A</v>
      </c>
      <c r="DV69" s="12" t="e">
        <f t="shared" si="182"/>
        <v>#N/A</v>
      </c>
      <c r="DW69" s="109" t="e">
        <f t="shared" si="183"/>
        <v>#N/A</v>
      </c>
      <c r="DX69" s="109" t="e">
        <f t="shared" si="183"/>
        <v>#N/A</v>
      </c>
      <c r="DZ69" s="106"/>
      <c r="EA69" s="106"/>
      <c r="EB69" s="12" t="e">
        <f t="shared" si="231"/>
        <v>#N/A</v>
      </c>
      <c r="EC69" s="12" t="e">
        <f t="shared" si="231"/>
        <v>#N/A</v>
      </c>
      <c r="ED69" s="109" t="e">
        <f t="shared" si="232"/>
        <v>#N/A</v>
      </c>
      <c r="EE69" s="109" t="e">
        <f t="shared" si="232"/>
        <v>#N/A</v>
      </c>
      <c r="EG69" s="106"/>
      <c r="EH69" s="106"/>
      <c r="EQ69" s="12" t="str">
        <f t="shared" si="184"/>
        <v>FY18-23</v>
      </c>
      <c r="ER69" s="12">
        <f t="shared" si="184"/>
        <v>43076</v>
      </c>
      <c r="ES69" s="109">
        <f t="shared" si="222"/>
        <v>17.159375049163359</v>
      </c>
      <c r="ET69" s="109">
        <f t="shared" si="222"/>
        <v>6</v>
      </c>
      <c r="EU69" s="106"/>
      <c r="EV69" s="106"/>
      <c r="EW69" s="106"/>
      <c r="FF69" s="12" t="str">
        <f t="shared" si="186"/>
        <v>FY19</v>
      </c>
      <c r="FG69" s="12">
        <f t="shared" si="186"/>
        <v>43440</v>
      </c>
      <c r="FH69" s="109">
        <f t="shared" si="223"/>
        <v>24.628368722186906</v>
      </c>
      <c r="FI69" s="109">
        <f t="shared" si="223"/>
        <v>12</v>
      </c>
      <c r="FK69" s="106"/>
      <c r="FL69" s="106"/>
      <c r="FM69" s="12" t="str">
        <f t="shared" si="233"/>
        <v>FY19</v>
      </c>
      <c r="FN69" s="12">
        <f t="shared" si="233"/>
        <v>43426</v>
      </c>
      <c r="FO69" s="109">
        <f t="shared" si="234"/>
        <v>13.612641449459627</v>
      </c>
      <c r="FP69" s="109">
        <f t="shared" si="234"/>
        <v>3</v>
      </c>
      <c r="FR69" s="106"/>
      <c r="FS69" s="106"/>
      <c r="GB69" s="12" t="str">
        <f t="shared" si="188"/>
        <v>FY20</v>
      </c>
      <c r="GC69" s="12">
        <f t="shared" si="188"/>
        <v>43804</v>
      </c>
      <c r="GD69" s="109">
        <f t="shared" si="224"/>
        <v>20.501358252367101</v>
      </c>
      <c r="GE69" s="109">
        <f t="shared" si="224"/>
        <v>8</v>
      </c>
      <c r="GG69" s="106"/>
      <c r="GH69" s="106"/>
      <c r="GI69" s="12" t="str">
        <f t="shared" si="235"/>
        <v>FY20</v>
      </c>
      <c r="GJ69" s="12">
        <f t="shared" si="235"/>
        <v>43790</v>
      </c>
      <c r="GK69" s="109">
        <f t="shared" si="236"/>
        <v>48.609266415000924</v>
      </c>
      <c r="GL69" s="109">
        <f t="shared" si="236"/>
        <v>40</v>
      </c>
      <c r="GN69" s="106"/>
      <c r="GO69" s="106"/>
      <c r="GX69" s="12" t="str">
        <f t="shared" si="190"/>
        <v>FY21</v>
      </c>
      <c r="GY69" s="12">
        <f t="shared" si="190"/>
        <v>44168</v>
      </c>
      <c r="GZ69" s="109">
        <f t="shared" si="225"/>
        <v>17.815226512617816</v>
      </c>
      <c r="HA69" s="109">
        <f t="shared" si="225"/>
        <v>3</v>
      </c>
      <c r="HC69" s="106"/>
      <c r="HD69" s="106"/>
      <c r="HM69" s="12" t="str">
        <f t="shared" si="192"/>
        <v>FY22</v>
      </c>
      <c r="HN69" s="12">
        <f t="shared" si="192"/>
        <v>44532</v>
      </c>
      <c r="HO69" s="109">
        <f t="shared" si="226"/>
        <v>109.81424530252357</v>
      </c>
      <c r="HP69" s="109">
        <f t="shared" si="226"/>
        <v>80</v>
      </c>
      <c r="HR69" s="106"/>
      <c r="HS69" s="106"/>
      <c r="HT69" s="12" t="str">
        <f t="shared" si="237"/>
        <v>FY22</v>
      </c>
      <c r="HU69" s="12">
        <f t="shared" si="237"/>
        <v>44518</v>
      </c>
      <c r="HV69" s="109">
        <f t="shared" si="238"/>
        <v>57.357794101550631</v>
      </c>
      <c r="HW69" s="109">
        <f t="shared" si="238"/>
        <v>40</v>
      </c>
      <c r="HY69" s="106"/>
      <c r="HZ69" s="106"/>
      <c r="II69" s="12" t="str">
        <f t="shared" si="239"/>
        <v>FY23</v>
      </c>
      <c r="IJ69" s="12">
        <f t="shared" si="240"/>
        <v>44763</v>
      </c>
      <c r="IK69" s="109">
        <f t="shared" si="241"/>
        <v>20.96840571602311</v>
      </c>
      <c r="IL69" s="109">
        <f t="shared" si="241"/>
        <v>4</v>
      </c>
      <c r="IN69" s="106"/>
      <c r="IO69" s="106"/>
      <c r="IP69" s="12" t="str">
        <f t="shared" ref="IP69:IQ84" si="244">IF(OR(ISBLANK(IA5),$ID5&gt;=$IQ$66),NA(),IA5)</f>
        <v>FY23</v>
      </c>
      <c r="IQ69" s="12">
        <f t="shared" si="244"/>
        <v>44749</v>
      </c>
      <c r="IR69" s="109">
        <f t="shared" ref="IR69:IS84" si="245">IF(OR(ISBLANK(IC5),$ID5&gt;=$IQ$66),NA(),IC5/1000000)</f>
        <v>20.096787838248709</v>
      </c>
      <c r="IS69" s="109">
        <f t="shared" si="245"/>
        <v>4</v>
      </c>
      <c r="IU69" s="106"/>
      <c r="IV69" s="106"/>
      <c r="IW69" s="16" t="s">
        <v>169</v>
      </c>
      <c r="IX69" s="12">
        <v>44462</v>
      </c>
      <c r="IY69" s="103">
        <v>19222718.151413802</v>
      </c>
      <c r="IZ69" s="104">
        <v>3000000</v>
      </c>
      <c r="JE69" s="12" t="str">
        <f t="shared" si="242"/>
        <v>Since FY21</v>
      </c>
      <c r="JF69" s="12">
        <f t="shared" si="242"/>
        <v>44028</v>
      </c>
      <c r="JG69" s="109">
        <f t="shared" si="243"/>
        <v>20.009448707813924</v>
      </c>
      <c r="JH69" s="109">
        <f t="shared" si="243"/>
        <v>3</v>
      </c>
      <c r="JI69" s="109"/>
      <c r="JJ69" s="40"/>
      <c r="JL69" s="106"/>
      <c r="JM69" s="106"/>
      <c r="JN69" s="12" t="str">
        <f t="shared" ref="JN69:JO84" si="246">IF(OR(ISBLANK(IW5),$IZ5&gt;=$JO$66),NA(),IW5)</f>
        <v>Since FY21</v>
      </c>
      <c r="JO69" s="12">
        <f t="shared" si="246"/>
        <v>44014</v>
      </c>
      <c r="JP69" s="109">
        <f t="shared" ref="JP69:JQ84" si="247">IF(OR(ISBLANK(IY5),$IZ5&gt;=$JO$66),NA(),IY5)/1000000</f>
        <v>69.318618911523259</v>
      </c>
      <c r="JQ69" s="109">
        <f t="shared" si="247"/>
        <v>50</v>
      </c>
      <c r="JR69" s="109" t="e">
        <f t="shared" ref="JR69:JS84" si="248">IF(OR(ISBLANK(IY5),$IZ5&lt;$JR$66),NA(),IY5)/1000000</f>
        <v>#N/A</v>
      </c>
      <c r="JS69" s="109" t="e">
        <f t="shared" si="248"/>
        <v>#N/A</v>
      </c>
      <c r="JT69" s="109">
        <f>JT$66+JT$65*JU69</f>
        <v>16.832999999999998</v>
      </c>
      <c r="JU69" s="40">
        <v>0</v>
      </c>
      <c r="JW69" s="106"/>
      <c r="JX69" s="106"/>
      <c r="NI69" s="12" t="str">
        <f t="shared" si="198"/>
        <v>FY18</v>
      </c>
      <c r="NJ69" s="12">
        <f t="shared" si="194"/>
        <v>42992</v>
      </c>
      <c r="NK69" s="109">
        <f t="shared" si="199"/>
        <v>42.817610000000002</v>
      </c>
      <c r="NL69" s="109">
        <f t="shared" si="195"/>
        <v>30</v>
      </c>
      <c r="NN69" s="106"/>
      <c r="NX69" s="12" t="str">
        <f t="shared" si="200"/>
        <v>FY19</v>
      </c>
      <c r="NY69" s="12">
        <f t="shared" si="196"/>
        <v>43363</v>
      </c>
      <c r="NZ69" s="109">
        <f t="shared" si="201"/>
        <v>37.562184000000002</v>
      </c>
      <c r="OA69" s="109">
        <f t="shared" si="197"/>
        <v>30</v>
      </c>
      <c r="OC69" s="106"/>
    </row>
    <row r="70" spans="6:393" x14ac:dyDescent="0.25">
      <c r="F70" s="5"/>
      <c r="G70" s="5"/>
      <c r="H70" s="5"/>
      <c r="I70" s="5"/>
      <c r="M70" s="5" t="str" cm="1">
        <f t="array" ref="M70">LOOKUP(2,1/($G$19:$G$35&lt;=$V70)/($H$19:$H$35&gt;=$V70),$F$19:$F$35)</f>
        <v>2H18</v>
      </c>
      <c r="N70" s="5" t="str" cm="1">
        <f t="array" ref="N70">LOOKUP(2,1/($G$8:$G$16&lt;=$V70)/($H$8:$H$16&gt;=$V70),$F$8:$F$16)</f>
        <v>FY18</v>
      </c>
      <c r="O70" s="5" t="str">
        <f>IFERROR(N70&amp;"-"&amp;COUNTIF($N$19:N70,N70),NA())</f>
        <v>FY18-40</v>
      </c>
      <c r="P70" s="5">
        <f>COUNTIF(V$19:V70,"&gt;="&amp;MAX($V:$V)-183)</f>
        <v>0</v>
      </c>
      <c r="Q70" s="5">
        <f>COUNTIF(V$19:V70,"&gt;="&amp;MAX($V:$V)-365)</f>
        <v>0</v>
      </c>
      <c r="R70" s="5" cm="1">
        <f t="array" ref="R70">LOOKUP(2,1/($G$46:$G$50&lt;=$V70)/($H$46:$H$50&gt;=$V70),$F$46:$F$50)</f>
        <v>0</v>
      </c>
      <c r="S70" s="5" cm="1">
        <f t="array" ref="S70">LOOKUP(2,1/($G$53:$G$56&lt;=$V70)/($H$53:$H$56&gt;=$V70),$F$53:$F$56)</f>
        <v>0</v>
      </c>
      <c r="T70" s="5" t="e">
        <f>IFERROR(IF($R70&gt;0,$R70&amp;"-"&amp;COUNTIF($R$19:$R70,$R70),NA()),NA())</f>
        <v>#N/A</v>
      </c>
      <c r="U70" s="5" t="e">
        <f>IFERROR(IF($S70&gt;0,$S70&amp;"-"&amp;COUNTIF($S$19:$S70,$S70),NA()),NA())</f>
        <v>#N/A</v>
      </c>
      <c r="V70" s="10">
        <v>43195</v>
      </c>
      <c r="W70" s="101">
        <v>18375711.785406243</v>
      </c>
      <c r="X70" s="101">
        <v>17071955.03423167</v>
      </c>
      <c r="Y70" s="102">
        <v>6000000</v>
      </c>
      <c r="AI70" s="18">
        <f t="shared" si="172"/>
        <v>24</v>
      </c>
      <c r="AJ70" s="12">
        <f t="shared" si="172"/>
        <v>45183</v>
      </c>
      <c r="AK70" s="109">
        <f t="shared" si="173"/>
        <v>32.237415277323748</v>
      </c>
      <c r="AL70" s="109">
        <f t="shared" si="173"/>
        <v>12</v>
      </c>
      <c r="AN70" s="106"/>
      <c r="AO70" s="106"/>
      <c r="AP70" s="18">
        <f t="shared" si="227"/>
        <v>22</v>
      </c>
      <c r="AQ70" s="12">
        <f t="shared" si="227"/>
        <v>45169</v>
      </c>
      <c r="AR70" s="109">
        <f t="shared" si="228"/>
        <v>59.703342595619482</v>
      </c>
      <c r="AS70" s="109">
        <f t="shared" si="228"/>
        <v>40</v>
      </c>
      <c r="AU70" s="106"/>
      <c r="BF70" s="18">
        <f t="shared" si="174"/>
        <v>24</v>
      </c>
      <c r="BG70" s="12">
        <f t="shared" si="174"/>
        <v>45001</v>
      </c>
      <c r="BH70" s="109">
        <f t="shared" si="175"/>
        <v>22.050697598054121</v>
      </c>
      <c r="BI70" s="109">
        <f t="shared" si="175"/>
        <v>4</v>
      </c>
      <c r="BK70" s="106"/>
      <c r="BL70" s="106"/>
      <c r="BM70" s="18">
        <f t="shared" si="229"/>
        <v>22</v>
      </c>
      <c r="BN70" s="12">
        <f t="shared" si="229"/>
        <v>44987</v>
      </c>
      <c r="BO70" s="109">
        <f t="shared" si="230"/>
        <v>60.656023107327449</v>
      </c>
      <c r="BP70" s="109">
        <f t="shared" si="230"/>
        <v>40</v>
      </c>
      <c r="BR70" s="106"/>
      <c r="CB70" s="18" t="e">
        <f t="shared" si="176"/>
        <v>#N/A</v>
      </c>
      <c r="CC70" s="12" t="e">
        <f t="shared" si="176"/>
        <v>#N/A</v>
      </c>
      <c r="CD70" s="109" t="e">
        <f t="shared" si="177"/>
        <v>#N/A</v>
      </c>
      <c r="CE70" s="109" t="e">
        <f t="shared" si="177"/>
        <v>#N/A</v>
      </c>
      <c r="CH70" s="106"/>
      <c r="CI70" s="37" t="s">
        <v>22</v>
      </c>
      <c r="CJ70" s="36"/>
      <c r="CK70" s="36"/>
      <c r="CL70" s="35"/>
      <c r="CQ70" s="18" t="e">
        <f t="shared" si="178"/>
        <v>#N/A</v>
      </c>
      <c r="CR70" s="12" t="e">
        <f t="shared" si="178"/>
        <v>#N/A</v>
      </c>
      <c r="CS70" s="109" t="e">
        <f t="shared" si="179"/>
        <v>#N/A</v>
      </c>
      <c r="CT70" s="109" t="e">
        <f t="shared" si="179"/>
        <v>#N/A</v>
      </c>
      <c r="CV70" s="106"/>
      <c r="DF70" s="18" t="e">
        <f t="shared" si="180"/>
        <v>#N/A</v>
      </c>
      <c r="DG70" s="12" t="e">
        <f t="shared" si="180"/>
        <v>#N/A</v>
      </c>
      <c r="DH70" s="109" t="e">
        <f t="shared" si="181"/>
        <v>#N/A</v>
      </c>
      <c r="DI70" s="109" t="e">
        <f t="shared" si="181"/>
        <v>#N/A</v>
      </c>
      <c r="DK70" s="104">
        <v>139</v>
      </c>
      <c r="DL70" s="106"/>
      <c r="DU70" s="18" t="e">
        <f t="shared" si="182"/>
        <v>#N/A</v>
      </c>
      <c r="DV70" s="12" t="e">
        <f t="shared" si="182"/>
        <v>#N/A</v>
      </c>
      <c r="DW70" s="109" t="e">
        <f t="shared" si="183"/>
        <v>#N/A</v>
      </c>
      <c r="DX70" s="109" t="e">
        <f t="shared" si="183"/>
        <v>#N/A</v>
      </c>
      <c r="DZ70" s="106"/>
      <c r="EA70" s="106"/>
      <c r="EB70" s="12" t="e">
        <f t="shared" si="231"/>
        <v>#N/A</v>
      </c>
      <c r="EC70" s="12" t="e">
        <f t="shared" si="231"/>
        <v>#N/A</v>
      </c>
      <c r="ED70" s="109" t="e">
        <f t="shared" si="232"/>
        <v>#N/A</v>
      </c>
      <c r="EE70" s="109" t="e">
        <f t="shared" si="232"/>
        <v>#N/A</v>
      </c>
      <c r="EG70" s="106"/>
      <c r="EH70" s="106"/>
      <c r="EQ70" s="12" t="str">
        <f t="shared" si="184"/>
        <v>FY18-24</v>
      </c>
      <c r="ER70" s="12">
        <f t="shared" si="184"/>
        <v>43083</v>
      </c>
      <c r="ES70" s="109">
        <f t="shared" si="222"/>
        <v>19.518000077626354</v>
      </c>
      <c r="ET70" s="109">
        <f t="shared" si="222"/>
        <v>10</v>
      </c>
      <c r="EU70" s="106"/>
      <c r="EV70" s="106"/>
      <c r="EW70" s="106"/>
      <c r="FF70" s="12" t="str">
        <f t="shared" si="186"/>
        <v>FY19</v>
      </c>
      <c r="FG70" s="12">
        <f t="shared" si="186"/>
        <v>43447</v>
      </c>
      <c r="FH70" s="109">
        <f t="shared" si="223"/>
        <v>30.784708455181175</v>
      </c>
      <c r="FI70" s="109">
        <f t="shared" si="223"/>
        <v>20</v>
      </c>
      <c r="FK70" s="106"/>
      <c r="FL70" s="106"/>
      <c r="FM70" s="12" t="str">
        <f t="shared" si="233"/>
        <v>FY19</v>
      </c>
      <c r="FN70" s="12">
        <f t="shared" si="233"/>
        <v>43433</v>
      </c>
      <c r="FO70" s="109">
        <f t="shared" si="234"/>
        <v>19.569770120788299</v>
      </c>
      <c r="FP70" s="109">
        <f t="shared" si="234"/>
        <v>8</v>
      </c>
      <c r="FR70" s="106"/>
      <c r="FS70" s="106"/>
      <c r="GB70" s="12" t="str">
        <f t="shared" si="188"/>
        <v>FY20</v>
      </c>
      <c r="GC70" s="12">
        <f t="shared" si="188"/>
        <v>43811</v>
      </c>
      <c r="GD70" s="109">
        <f t="shared" si="224"/>
        <v>25.306949439940592</v>
      </c>
      <c r="GE70" s="109">
        <f t="shared" si="224"/>
        <v>12</v>
      </c>
      <c r="GG70" s="106"/>
      <c r="GH70" s="106"/>
      <c r="GI70" s="12" t="str">
        <f t="shared" si="235"/>
        <v>FY20</v>
      </c>
      <c r="GJ70" s="12">
        <f t="shared" si="235"/>
        <v>43797</v>
      </c>
      <c r="GK70" s="109">
        <f t="shared" si="236"/>
        <v>15.126397920663408</v>
      </c>
      <c r="GL70" s="109">
        <f t="shared" si="236"/>
        <v>3</v>
      </c>
      <c r="GN70" s="106"/>
      <c r="GO70" s="106"/>
      <c r="GX70" s="12" t="str">
        <f t="shared" si="190"/>
        <v>FY21</v>
      </c>
      <c r="GY70" s="12">
        <f t="shared" si="190"/>
        <v>44175</v>
      </c>
      <c r="GZ70" s="109">
        <f t="shared" si="225"/>
        <v>25.066381757373062</v>
      </c>
      <c r="HA70" s="109">
        <f t="shared" si="225"/>
        <v>8</v>
      </c>
      <c r="HC70" s="106"/>
      <c r="HD70" s="106"/>
      <c r="HM70" s="12" t="str">
        <f t="shared" si="192"/>
        <v>FY22</v>
      </c>
      <c r="HN70" s="12">
        <f t="shared" si="192"/>
        <v>44539</v>
      </c>
      <c r="HO70" s="109">
        <f t="shared" si="226"/>
        <v>18.912447065977499</v>
      </c>
      <c r="HP70" s="109">
        <f t="shared" si="226"/>
        <v>3</v>
      </c>
      <c r="HR70" s="106"/>
      <c r="HS70" s="106"/>
      <c r="HT70" s="12" t="str">
        <f t="shared" si="237"/>
        <v>FY22</v>
      </c>
      <c r="HU70" s="12">
        <f t="shared" si="237"/>
        <v>44525</v>
      </c>
      <c r="HV70" s="109">
        <f t="shared" si="238"/>
        <v>81.402100334448164</v>
      </c>
      <c r="HW70" s="109">
        <f t="shared" si="238"/>
        <v>60</v>
      </c>
      <c r="HY70" s="106"/>
      <c r="HZ70" s="106"/>
      <c r="II70" s="12" t="str">
        <f t="shared" si="239"/>
        <v>FY23</v>
      </c>
      <c r="IJ70" s="12">
        <f t="shared" si="240"/>
        <v>44770</v>
      </c>
      <c r="IK70" s="109">
        <f t="shared" si="241"/>
        <v>19.329129096989966</v>
      </c>
      <c r="IL70" s="109">
        <f t="shared" si="241"/>
        <v>4</v>
      </c>
      <c r="IN70" s="106"/>
      <c r="IO70" s="106"/>
      <c r="IP70" s="12" t="str">
        <f t="shared" si="244"/>
        <v>FY23</v>
      </c>
      <c r="IQ70" s="12">
        <f t="shared" si="244"/>
        <v>44756</v>
      </c>
      <c r="IR70" s="109">
        <f t="shared" si="245"/>
        <v>27.258635451505018</v>
      </c>
      <c r="IS70" s="109">
        <f t="shared" si="245"/>
        <v>8</v>
      </c>
      <c r="IU70" s="106"/>
      <c r="IV70" s="106"/>
      <c r="IW70" s="16" t="s">
        <v>169</v>
      </c>
      <c r="IX70" s="12">
        <v>44469</v>
      </c>
      <c r="IY70" s="103">
        <v>26314208.574034661</v>
      </c>
      <c r="IZ70" s="104">
        <v>8000000</v>
      </c>
      <c r="JE70" s="12" t="str">
        <f t="shared" si="242"/>
        <v>Since FY21</v>
      </c>
      <c r="JF70" s="12">
        <f t="shared" si="242"/>
        <v>44035</v>
      </c>
      <c r="JG70" s="109">
        <f t="shared" si="243"/>
        <v>25.6119068409851</v>
      </c>
      <c r="JH70" s="109">
        <f t="shared" si="243"/>
        <v>8</v>
      </c>
      <c r="JI70" s="109"/>
      <c r="JJ70" s="40"/>
      <c r="JL70" s="106"/>
      <c r="JM70" s="106"/>
      <c r="JN70" s="12" t="str">
        <f t="shared" si="246"/>
        <v>Since FY21</v>
      </c>
      <c r="JO70" s="12">
        <f t="shared" si="246"/>
        <v>44021</v>
      </c>
      <c r="JP70" s="109">
        <f t="shared" si="247"/>
        <v>107.88941027667983</v>
      </c>
      <c r="JQ70" s="109">
        <f t="shared" si="247"/>
        <v>80</v>
      </c>
      <c r="JR70" s="109" t="e">
        <f t="shared" si="248"/>
        <v>#N/A</v>
      </c>
      <c r="JS70" s="109" t="e">
        <f t="shared" si="248"/>
        <v>#N/A</v>
      </c>
      <c r="JT70" s="109">
        <f t="shared" ref="JT70:JT89" si="249">JT$66+JT$65*JU70</f>
        <v>27.671999999999997</v>
      </c>
      <c r="JU70" s="40">
        <v>10</v>
      </c>
      <c r="JW70" s="106"/>
      <c r="JX70" s="106"/>
      <c r="NI70" s="12" t="str">
        <f t="shared" si="198"/>
        <v>FY18</v>
      </c>
      <c r="NJ70" s="12">
        <f t="shared" si="194"/>
        <v>42999</v>
      </c>
      <c r="NK70" s="109">
        <f t="shared" si="199"/>
        <v>69.624499999999998</v>
      </c>
      <c r="NL70" s="109">
        <f t="shared" si="195"/>
        <v>50</v>
      </c>
      <c r="NN70" s="106"/>
      <c r="NX70" s="12" t="str">
        <f t="shared" si="200"/>
        <v>FY19</v>
      </c>
      <c r="NY70" s="12">
        <f t="shared" si="196"/>
        <v>43370</v>
      </c>
      <c r="NZ70" s="109">
        <f t="shared" si="201"/>
        <v>12.930785999999999</v>
      </c>
      <c r="OA70" s="109">
        <f t="shared" si="197"/>
        <v>3</v>
      </c>
      <c r="OC70" s="106"/>
    </row>
    <row r="71" spans="6:393" x14ac:dyDescent="0.25">
      <c r="F71" s="5"/>
      <c r="G71" s="5"/>
      <c r="H71" s="5"/>
      <c r="I71" s="5"/>
      <c r="M71" s="5" t="str" cm="1">
        <f t="array" ref="M71">LOOKUP(2,1/($G$19:$G$35&lt;=$V71)/($H$19:$H$35&gt;=$V71),$F$19:$F$35)</f>
        <v>2H18</v>
      </c>
      <c r="N71" s="5" t="str" cm="1">
        <f t="array" ref="N71">LOOKUP(2,1/($G$8:$G$16&lt;=$V71)/($H$8:$H$16&gt;=$V71),$F$8:$F$16)</f>
        <v>FY18</v>
      </c>
      <c r="O71" s="5" t="str">
        <f>IFERROR(N71&amp;"-"&amp;COUNTIF($N$19:N71,N71),NA())</f>
        <v>FY18-41</v>
      </c>
      <c r="P71" s="5">
        <f>COUNTIF(V$19:V71,"&gt;="&amp;MAX($V:$V)-183)</f>
        <v>0</v>
      </c>
      <c r="Q71" s="5">
        <f>COUNTIF(V$19:V71,"&gt;="&amp;MAX($V:$V)-365)</f>
        <v>0</v>
      </c>
      <c r="R71" s="5" cm="1">
        <f t="array" ref="R71">LOOKUP(2,1/($G$46:$G$50&lt;=$V71)/($H$46:$H$50&gt;=$V71),$F$46:$F$50)</f>
        <v>0</v>
      </c>
      <c r="S71" s="5" cm="1">
        <f t="array" ref="S71">LOOKUP(2,1/($G$53:$G$56&lt;=$V71)/($H$53:$H$56&gt;=$V71),$F$53:$F$56)</f>
        <v>0</v>
      </c>
      <c r="T71" s="5" t="e">
        <f>IFERROR(IF($R71&gt;0,$R71&amp;"-"&amp;COUNTIF($R$19:$R71,$R71),NA()),NA())</f>
        <v>#N/A</v>
      </c>
      <c r="U71" s="5" t="e">
        <f>IFERROR(IF($S71&gt;0,$S71&amp;"-"&amp;COUNTIF($S$19:$S71,$S71),NA()),NA())</f>
        <v>#N/A</v>
      </c>
      <c r="V71" s="10">
        <v>43202</v>
      </c>
      <c r="W71" s="101">
        <v>12839845.696049679</v>
      </c>
      <c r="X71" s="101">
        <v>11928858.643914953</v>
      </c>
      <c r="Y71" s="102">
        <v>3000000</v>
      </c>
      <c r="AI71" s="18">
        <f t="shared" si="172"/>
        <v>25</v>
      </c>
      <c r="AJ71" s="12">
        <f t="shared" si="172"/>
        <v>45190</v>
      </c>
      <c r="AK71" s="109">
        <f t="shared" si="173"/>
        <v>41.746812901819773</v>
      </c>
      <c r="AL71" s="109">
        <f t="shared" si="173"/>
        <v>20</v>
      </c>
      <c r="AN71" s="106"/>
      <c r="AO71" s="106"/>
      <c r="AP71" s="18">
        <f t="shared" si="227"/>
        <v>23</v>
      </c>
      <c r="AQ71" s="12">
        <f t="shared" si="227"/>
        <v>45176</v>
      </c>
      <c r="AR71" s="109">
        <f t="shared" si="228"/>
        <v>20.222166067342272</v>
      </c>
      <c r="AS71" s="109">
        <f t="shared" si="228"/>
        <v>4</v>
      </c>
      <c r="AU71" s="106"/>
      <c r="BF71" s="18">
        <f t="shared" si="174"/>
        <v>25</v>
      </c>
      <c r="BG71" s="12">
        <f t="shared" si="174"/>
        <v>45008</v>
      </c>
      <c r="BH71" s="109">
        <f t="shared" si="175"/>
        <v>25.902576588628762</v>
      </c>
      <c r="BI71" s="109">
        <f t="shared" si="175"/>
        <v>8</v>
      </c>
      <c r="BK71" s="106"/>
      <c r="BL71" s="106"/>
      <c r="BM71" s="18">
        <f t="shared" si="229"/>
        <v>23</v>
      </c>
      <c r="BN71" s="12">
        <f t="shared" si="229"/>
        <v>44994</v>
      </c>
      <c r="BO71" s="109">
        <f t="shared" si="230"/>
        <v>20.922155062328976</v>
      </c>
      <c r="BP71" s="109">
        <f t="shared" si="230"/>
        <v>4</v>
      </c>
      <c r="BR71" s="106"/>
      <c r="CB71" s="18" t="e">
        <f t="shared" si="176"/>
        <v>#N/A</v>
      </c>
      <c r="CC71" s="12" t="e">
        <f t="shared" si="176"/>
        <v>#N/A</v>
      </c>
      <c r="CD71" s="109" t="e">
        <f t="shared" si="177"/>
        <v>#N/A</v>
      </c>
      <c r="CE71" s="109" t="e">
        <f t="shared" si="177"/>
        <v>#N/A</v>
      </c>
      <c r="CH71" s="106"/>
      <c r="CI71" s="34" t="s">
        <v>21</v>
      </c>
      <c r="CJ71" s="33"/>
      <c r="CK71" s="33"/>
      <c r="CL71" s="32"/>
      <c r="CQ71" s="18" t="e">
        <f t="shared" si="178"/>
        <v>#N/A</v>
      </c>
      <c r="CR71" s="12" t="e">
        <f t="shared" si="178"/>
        <v>#N/A</v>
      </c>
      <c r="CS71" s="109" t="e">
        <f t="shared" si="179"/>
        <v>#N/A</v>
      </c>
      <c r="CT71" s="109" t="e">
        <f t="shared" si="179"/>
        <v>#N/A</v>
      </c>
      <c r="CV71" s="106"/>
      <c r="DF71" s="18" t="e">
        <f t="shared" si="180"/>
        <v>#N/A</v>
      </c>
      <c r="DG71" s="12" t="e">
        <f t="shared" si="180"/>
        <v>#N/A</v>
      </c>
      <c r="DH71" s="109" t="e">
        <f t="shared" si="181"/>
        <v>#N/A</v>
      </c>
      <c r="DI71" s="109" t="e">
        <f t="shared" si="181"/>
        <v>#N/A</v>
      </c>
      <c r="DK71" s="106"/>
      <c r="DL71" s="106"/>
      <c r="DU71" s="18" t="e">
        <f t="shared" si="182"/>
        <v>#N/A</v>
      </c>
      <c r="DV71" s="12" t="e">
        <f t="shared" si="182"/>
        <v>#N/A</v>
      </c>
      <c r="DW71" s="109" t="e">
        <f t="shared" si="183"/>
        <v>#N/A</v>
      </c>
      <c r="DX71" s="109" t="e">
        <f t="shared" si="183"/>
        <v>#N/A</v>
      </c>
      <c r="DZ71" s="106"/>
      <c r="EA71" s="106"/>
      <c r="EB71" s="12" t="e">
        <f t="shared" si="231"/>
        <v>#N/A</v>
      </c>
      <c r="EC71" s="12" t="e">
        <f t="shared" si="231"/>
        <v>#N/A</v>
      </c>
      <c r="ED71" s="109" t="e">
        <f t="shared" si="232"/>
        <v>#N/A</v>
      </c>
      <c r="EE71" s="109" t="e">
        <f t="shared" si="232"/>
        <v>#N/A</v>
      </c>
      <c r="EG71" s="106"/>
      <c r="EH71" s="106"/>
      <c r="EQ71" s="12" t="str">
        <f t="shared" si="184"/>
        <v>FY18-25</v>
      </c>
      <c r="ER71" s="12">
        <f t="shared" si="184"/>
        <v>43090</v>
      </c>
      <c r="ES71" s="109">
        <f t="shared" si="222"/>
        <v>23.423034712782471</v>
      </c>
      <c r="ET71" s="109">
        <f t="shared" si="222"/>
        <v>15</v>
      </c>
      <c r="EU71" s="106"/>
      <c r="EV71" s="106"/>
      <c r="EW71" s="106"/>
      <c r="FF71" s="12" t="str">
        <f t="shared" si="186"/>
        <v>FY19</v>
      </c>
      <c r="FG71" s="12">
        <f t="shared" si="186"/>
        <v>43454</v>
      </c>
      <c r="FH71" s="109">
        <f t="shared" si="223"/>
        <v>32.972327018436104</v>
      </c>
      <c r="FI71" s="109">
        <f t="shared" si="223"/>
        <v>25</v>
      </c>
      <c r="FK71" s="106"/>
      <c r="FL71" s="106"/>
      <c r="FM71" s="12" t="str">
        <f t="shared" si="233"/>
        <v>FY19</v>
      </c>
      <c r="FN71" s="12">
        <f t="shared" si="233"/>
        <v>43440</v>
      </c>
      <c r="FO71" s="109">
        <f t="shared" si="234"/>
        <v>24.628368722186906</v>
      </c>
      <c r="FP71" s="109">
        <f t="shared" si="234"/>
        <v>12</v>
      </c>
      <c r="FR71" s="106"/>
      <c r="FS71" s="106"/>
      <c r="GB71" s="12" t="str">
        <f t="shared" si="188"/>
        <v>FY20</v>
      </c>
      <c r="GC71" s="12">
        <f t="shared" si="188"/>
        <v>43818</v>
      </c>
      <c r="GD71" s="109">
        <f t="shared" si="224"/>
        <v>25.742781855312831</v>
      </c>
      <c r="GE71" s="109">
        <f t="shared" si="224"/>
        <v>15</v>
      </c>
      <c r="GG71" s="106"/>
      <c r="GH71" s="106"/>
      <c r="GI71" s="12" t="str">
        <f t="shared" si="235"/>
        <v>FY20</v>
      </c>
      <c r="GJ71" s="12">
        <f t="shared" si="235"/>
        <v>43804</v>
      </c>
      <c r="GK71" s="109">
        <f t="shared" si="236"/>
        <v>20.501358252367101</v>
      </c>
      <c r="GL71" s="109">
        <f t="shared" si="236"/>
        <v>8</v>
      </c>
      <c r="GN71" s="106"/>
      <c r="GO71" s="106"/>
      <c r="GX71" s="12" t="str">
        <f t="shared" si="190"/>
        <v>FY21</v>
      </c>
      <c r="GY71" s="12">
        <f t="shared" si="190"/>
        <v>44182</v>
      </c>
      <c r="GZ71" s="109">
        <f t="shared" si="225"/>
        <v>40.397165825478872</v>
      </c>
      <c r="HA71" s="109">
        <f t="shared" si="225"/>
        <v>20</v>
      </c>
      <c r="HC71" s="106"/>
      <c r="HD71" s="106"/>
      <c r="HM71" s="12" t="str">
        <f t="shared" si="192"/>
        <v>FY22</v>
      </c>
      <c r="HN71" s="12">
        <f t="shared" si="192"/>
        <v>44546</v>
      </c>
      <c r="HO71" s="109">
        <f t="shared" si="226"/>
        <v>26.709691456369718</v>
      </c>
      <c r="HP71" s="109">
        <f t="shared" si="226"/>
        <v>8</v>
      </c>
      <c r="HR71" s="106"/>
      <c r="HS71" s="106"/>
      <c r="HT71" s="12" t="str">
        <f t="shared" si="237"/>
        <v>FY22</v>
      </c>
      <c r="HU71" s="12">
        <f t="shared" si="237"/>
        <v>44532</v>
      </c>
      <c r="HV71" s="109">
        <f t="shared" si="238"/>
        <v>109.81424530252357</v>
      </c>
      <c r="HW71" s="109">
        <f t="shared" si="238"/>
        <v>80</v>
      </c>
      <c r="HY71" s="106"/>
      <c r="HZ71" s="106"/>
      <c r="II71" s="12" t="str">
        <f t="shared" si="239"/>
        <v>FY23</v>
      </c>
      <c r="IJ71" s="12">
        <f t="shared" si="240"/>
        <v>44777</v>
      </c>
      <c r="IK71" s="109">
        <f t="shared" si="241"/>
        <v>24.328928428093644</v>
      </c>
      <c r="IL71" s="109">
        <f t="shared" si="241"/>
        <v>8</v>
      </c>
      <c r="IN71" s="106"/>
      <c r="IO71" s="106"/>
      <c r="IP71" s="12" t="str">
        <f t="shared" si="244"/>
        <v>FY23</v>
      </c>
      <c r="IQ71" s="12">
        <f t="shared" si="244"/>
        <v>44763</v>
      </c>
      <c r="IR71" s="109">
        <f t="shared" si="245"/>
        <v>20.96840571602311</v>
      </c>
      <c r="IS71" s="109">
        <f t="shared" si="245"/>
        <v>4</v>
      </c>
      <c r="IU71" s="106"/>
      <c r="IV71" s="106"/>
      <c r="IW71" s="16" t="s">
        <v>169</v>
      </c>
      <c r="IX71" s="12">
        <v>44476</v>
      </c>
      <c r="IY71" s="103">
        <v>42338397.567649737</v>
      </c>
      <c r="IZ71" s="104">
        <v>20000000</v>
      </c>
      <c r="JE71" s="12" t="str">
        <f t="shared" si="242"/>
        <v>Since FY21</v>
      </c>
      <c r="JF71" s="12">
        <f t="shared" si="242"/>
        <v>44042</v>
      </c>
      <c r="JG71" s="109">
        <f t="shared" si="243"/>
        <v>44.346019337184551</v>
      </c>
      <c r="JH71" s="109">
        <f t="shared" si="243"/>
        <v>20</v>
      </c>
      <c r="JI71" s="109"/>
      <c r="JJ71" s="40"/>
      <c r="JL71" s="106"/>
      <c r="JM71" s="106"/>
      <c r="JN71" s="12" t="str">
        <f t="shared" si="246"/>
        <v>Since FY21</v>
      </c>
      <c r="JO71" s="12">
        <f t="shared" si="246"/>
        <v>44028</v>
      </c>
      <c r="JP71" s="109">
        <f t="shared" si="247"/>
        <v>20.009448707813924</v>
      </c>
      <c r="JQ71" s="109">
        <f t="shared" si="247"/>
        <v>3</v>
      </c>
      <c r="JR71" s="109" t="e">
        <f t="shared" si="248"/>
        <v>#N/A</v>
      </c>
      <c r="JS71" s="109" t="e">
        <f t="shared" si="248"/>
        <v>#N/A</v>
      </c>
      <c r="JT71" s="109">
        <f t="shared" si="249"/>
        <v>38.510999999999996</v>
      </c>
      <c r="JU71" s="40">
        <v>20</v>
      </c>
      <c r="JW71" s="106"/>
      <c r="JX71" s="106"/>
      <c r="NI71" s="12" t="str">
        <f t="shared" si="198"/>
        <v>FY18</v>
      </c>
      <c r="NJ71" s="12">
        <f t="shared" si="194"/>
        <v>43006</v>
      </c>
      <c r="NK71" s="109">
        <f t="shared" si="199"/>
        <v>14.26689</v>
      </c>
      <c r="NL71" s="109">
        <f t="shared" si="195"/>
        <v>3</v>
      </c>
      <c r="NN71" s="106"/>
      <c r="NX71" s="12" t="str">
        <f t="shared" si="200"/>
        <v>FY19</v>
      </c>
      <c r="NY71" s="12">
        <f t="shared" si="196"/>
        <v>43377</v>
      </c>
      <c r="NZ71" s="109">
        <f t="shared" si="201"/>
        <v>18.459935999999999</v>
      </c>
      <c r="OA71" s="109">
        <f t="shared" si="197"/>
        <v>8</v>
      </c>
      <c r="OC71" s="106"/>
    </row>
    <row r="72" spans="6:393" x14ac:dyDescent="0.25">
      <c r="F72" s="5"/>
      <c r="G72" s="5"/>
      <c r="H72" s="5"/>
      <c r="I72" s="5"/>
      <c r="M72" s="5" t="str" cm="1">
        <f t="array" ref="M72">LOOKUP(2,1/($G$19:$G$35&lt;=$V72)/($H$19:$H$35&gt;=$V72),$F$19:$F$35)</f>
        <v>2H18</v>
      </c>
      <c r="N72" s="5" t="str" cm="1">
        <f t="array" ref="N72">LOOKUP(2,1/($G$8:$G$16&lt;=$V72)/($H$8:$H$16&gt;=$V72),$F$8:$F$16)</f>
        <v>FY18</v>
      </c>
      <c r="O72" s="5" t="str">
        <f>IFERROR(N72&amp;"-"&amp;COUNTIF($N$19:N72,N72),NA())</f>
        <v>FY18-42</v>
      </c>
      <c r="P72" s="5">
        <f>COUNTIF(V$19:V72,"&gt;="&amp;MAX($V:$V)-183)</f>
        <v>0</v>
      </c>
      <c r="Q72" s="5">
        <f>COUNTIF(V$19:V72,"&gt;="&amp;MAX($V:$V)-365)</f>
        <v>0</v>
      </c>
      <c r="R72" s="5" cm="1">
        <f t="array" ref="R72">LOOKUP(2,1/($G$46:$G$50&lt;=$V72)/($H$46:$H$50&gt;=$V72),$F$46:$F$50)</f>
        <v>0</v>
      </c>
      <c r="S72" s="5" cm="1">
        <f t="array" ref="S72">LOOKUP(2,1/($G$53:$G$56&lt;=$V72)/($H$53:$H$56&gt;=$V72),$F$53:$F$56)</f>
        <v>0</v>
      </c>
      <c r="T72" s="5" t="e">
        <f>IFERROR(IF($R72&gt;0,$R72&amp;"-"&amp;COUNTIF($R$19:$R72,$R72),NA()),NA())</f>
        <v>#N/A</v>
      </c>
      <c r="U72" s="5" t="e">
        <f>IFERROR(IF($S72&gt;0,$S72&amp;"-"&amp;COUNTIF($S$19:$S72,$S72),NA()),NA())</f>
        <v>#N/A</v>
      </c>
      <c r="V72" s="10">
        <v>43209</v>
      </c>
      <c r="W72" s="101">
        <v>17183138.970120784</v>
      </c>
      <c r="X72" s="101">
        <v>20659287.983776219</v>
      </c>
      <c r="Y72" s="102">
        <v>8000000</v>
      </c>
      <c r="AI72" s="18">
        <f t="shared" si="172"/>
        <v>26</v>
      </c>
      <c r="AJ72" s="12">
        <f t="shared" si="172"/>
        <v>45197</v>
      </c>
      <c r="AK72" s="109">
        <f t="shared" si="173"/>
        <v>56.641298899422473</v>
      </c>
      <c r="AL72" s="109">
        <f t="shared" si="173"/>
        <v>40</v>
      </c>
      <c r="AN72" s="106"/>
      <c r="AO72" s="106"/>
      <c r="AP72" s="18">
        <f t="shared" si="227"/>
        <v>24</v>
      </c>
      <c r="AQ72" s="12">
        <f t="shared" si="227"/>
        <v>45183</v>
      </c>
      <c r="AR72" s="109">
        <f t="shared" si="228"/>
        <v>32.237415277323748</v>
      </c>
      <c r="AS72" s="109">
        <f t="shared" si="228"/>
        <v>12</v>
      </c>
      <c r="AU72" s="106"/>
      <c r="BF72" s="18">
        <f t="shared" si="174"/>
        <v>26</v>
      </c>
      <c r="BG72" s="12">
        <f t="shared" si="174"/>
        <v>45015</v>
      </c>
      <c r="BH72" s="109">
        <f t="shared" si="175"/>
        <v>25.590152994831257</v>
      </c>
      <c r="BI72" s="109">
        <f t="shared" si="175"/>
        <v>8</v>
      </c>
      <c r="BK72" s="106"/>
      <c r="BL72" s="106"/>
      <c r="BM72" s="18">
        <f t="shared" si="229"/>
        <v>24</v>
      </c>
      <c r="BN72" s="12">
        <f t="shared" si="229"/>
        <v>45001</v>
      </c>
      <c r="BO72" s="109">
        <f t="shared" si="230"/>
        <v>22.050697598054121</v>
      </c>
      <c r="BP72" s="109">
        <f t="shared" si="230"/>
        <v>4</v>
      </c>
      <c r="BR72" s="106"/>
      <c r="CB72" s="18" t="e">
        <f t="shared" si="176"/>
        <v>#N/A</v>
      </c>
      <c r="CC72" s="12" t="e">
        <f t="shared" si="176"/>
        <v>#N/A</v>
      </c>
      <c r="CD72" s="109" t="e">
        <f t="shared" si="177"/>
        <v>#N/A</v>
      </c>
      <c r="CE72" s="109" t="e">
        <f t="shared" si="177"/>
        <v>#N/A</v>
      </c>
      <c r="CH72" s="106"/>
      <c r="CI72" s="26"/>
      <c r="CJ72" s="25" t="s">
        <v>16</v>
      </c>
      <c r="CK72" s="25" t="s">
        <v>15</v>
      </c>
      <c r="CL72" s="24"/>
      <c r="CQ72" s="18" t="e">
        <f t="shared" si="178"/>
        <v>#N/A</v>
      </c>
      <c r="CR72" s="12" t="e">
        <f t="shared" si="178"/>
        <v>#N/A</v>
      </c>
      <c r="CS72" s="109" t="e">
        <f t="shared" si="179"/>
        <v>#N/A</v>
      </c>
      <c r="CT72" s="109" t="e">
        <f t="shared" si="179"/>
        <v>#N/A</v>
      </c>
      <c r="CV72" s="106"/>
      <c r="DF72" s="18" t="e">
        <f t="shared" si="180"/>
        <v>#N/A</v>
      </c>
      <c r="DG72" s="12" t="e">
        <f t="shared" si="180"/>
        <v>#N/A</v>
      </c>
      <c r="DH72" s="109" t="e">
        <f t="shared" si="181"/>
        <v>#N/A</v>
      </c>
      <c r="DI72" s="109" t="e">
        <f t="shared" si="181"/>
        <v>#N/A</v>
      </c>
      <c r="DK72" s="106"/>
      <c r="DL72" s="106"/>
      <c r="DU72" s="18" t="e">
        <f t="shared" si="182"/>
        <v>#N/A</v>
      </c>
      <c r="DV72" s="12" t="e">
        <f t="shared" si="182"/>
        <v>#N/A</v>
      </c>
      <c r="DW72" s="109" t="e">
        <f t="shared" si="183"/>
        <v>#N/A</v>
      </c>
      <c r="DX72" s="109" t="e">
        <f t="shared" si="183"/>
        <v>#N/A</v>
      </c>
      <c r="DZ72" s="106"/>
      <c r="EA72" s="106"/>
      <c r="EB72" s="12" t="e">
        <f t="shared" si="231"/>
        <v>#N/A</v>
      </c>
      <c r="EC72" s="12" t="e">
        <f t="shared" si="231"/>
        <v>#N/A</v>
      </c>
      <c r="ED72" s="109" t="e">
        <f t="shared" si="232"/>
        <v>#N/A</v>
      </c>
      <c r="EE72" s="109" t="e">
        <f t="shared" si="232"/>
        <v>#N/A</v>
      </c>
      <c r="EG72" s="106"/>
      <c r="EH72" s="106"/>
      <c r="EQ72" s="12" t="str">
        <f t="shared" si="184"/>
        <v>FY18-26</v>
      </c>
      <c r="ER72" s="12">
        <f t="shared" si="184"/>
        <v>43097</v>
      </c>
      <c r="ES72" s="109">
        <f t="shared" si="222"/>
        <v>27.652624450577882</v>
      </c>
      <c r="ET72" s="109">
        <f t="shared" si="222"/>
        <v>25</v>
      </c>
      <c r="EU72" s="106"/>
      <c r="EV72" s="106"/>
      <c r="EW72" s="106"/>
      <c r="FF72" s="12" t="str">
        <f t="shared" si="186"/>
        <v>FY19</v>
      </c>
      <c r="FG72" s="12">
        <f t="shared" si="186"/>
        <v>43461</v>
      </c>
      <c r="FH72" s="109">
        <f t="shared" si="223"/>
        <v>36.354827972027962</v>
      </c>
      <c r="FI72" s="109">
        <f t="shared" si="223"/>
        <v>30</v>
      </c>
      <c r="FK72" s="106"/>
      <c r="FL72" s="106"/>
      <c r="FM72" s="12" t="str">
        <f t="shared" si="233"/>
        <v>FY19</v>
      </c>
      <c r="FN72" s="12">
        <f t="shared" si="233"/>
        <v>43447</v>
      </c>
      <c r="FO72" s="109">
        <f t="shared" si="234"/>
        <v>30.784708455181175</v>
      </c>
      <c r="FP72" s="109">
        <f t="shared" si="234"/>
        <v>20</v>
      </c>
      <c r="FR72" s="106"/>
      <c r="FS72" s="106"/>
      <c r="GB72" s="12" t="str">
        <f t="shared" si="188"/>
        <v>FY20</v>
      </c>
      <c r="GC72" s="12">
        <f t="shared" si="188"/>
        <v>43825</v>
      </c>
      <c r="GD72" s="109">
        <f t="shared" si="224"/>
        <v>25.073378303112815</v>
      </c>
      <c r="GE72" s="109">
        <f t="shared" si="224"/>
        <v>20</v>
      </c>
      <c r="GG72" s="106"/>
      <c r="GH72" s="106"/>
      <c r="GI72" s="12" t="str">
        <f t="shared" si="235"/>
        <v>FY20</v>
      </c>
      <c r="GJ72" s="12">
        <f t="shared" si="235"/>
        <v>43811</v>
      </c>
      <c r="GK72" s="109">
        <f t="shared" si="236"/>
        <v>25.306949439940592</v>
      </c>
      <c r="GL72" s="109">
        <f t="shared" si="236"/>
        <v>12</v>
      </c>
      <c r="GN72" s="106"/>
      <c r="GO72" s="106"/>
      <c r="GX72" s="12" t="str">
        <f t="shared" si="190"/>
        <v>FY21</v>
      </c>
      <c r="GY72" s="12">
        <f t="shared" si="190"/>
        <v>44189</v>
      </c>
      <c r="GZ72" s="109">
        <f t="shared" si="225"/>
        <v>19.022130495591366</v>
      </c>
      <c r="HA72" s="109">
        <f t="shared" si="225"/>
        <v>3</v>
      </c>
      <c r="HC72" s="106"/>
      <c r="HD72" s="106"/>
      <c r="HM72" s="12" t="str">
        <f t="shared" si="192"/>
        <v>FY22</v>
      </c>
      <c r="HN72" s="12">
        <f t="shared" si="192"/>
        <v>44553</v>
      </c>
      <c r="HO72" s="109">
        <f t="shared" si="226"/>
        <v>40.654796959562177</v>
      </c>
      <c r="HP72" s="109">
        <f t="shared" si="226"/>
        <v>20</v>
      </c>
      <c r="HR72" s="106"/>
      <c r="HS72" s="106"/>
      <c r="HT72" s="12" t="str">
        <f t="shared" si="237"/>
        <v>FY22</v>
      </c>
      <c r="HU72" s="12">
        <f t="shared" si="237"/>
        <v>44539</v>
      </c>
      <c r="HV72" s="109">
        <f t="shared" si="238"/>
        <v>18.912447065977499</v>
      </c>
      <c r="HW72" s="109">
        <f t="shared" si="238"/>
        <v>3</v>
      </c>
      <c r="HY72" s="106"/>
      <c r="HZ72" s="106"/>
      <c r="II72" s="12" t="str">
        <f t="shared" si="239"/>
        <v>FY23</v>
      </c>
      <c r="IJ72" s="12">
        <f t="shared" si="240"/>
        <v>44784</v>
      </c>
      <c r="IK72" s="109">
        <f t="shared" si="241"/>
        <v>39.456376284584977</v>
      </c>
      <c r="IL72" s="109">
        <f t="shared" si="241"/>
        <v>20</v>
      </c>
      <c r="IN72" s="106"/>
      <c r="IO72" s="106"/>
      <c r="IP72" s="12" t="str">
        <f t="shared" si="244"/>
        <v>FY23</v>
      </c>
      <c r="IQ72" s="12">
        <f t="shared" si="244"/>
        <v>44770</v>
      </c>
      <c r="IR72" s="109">
        <f t="shared" si="245"/>
        <v>19.329129096989966</v>
      </c>
      <c r="IS72" s="109">
        <f t="shared" si="245"/>
        <v>4</v>
      </c>
      <c r="IU72" s="106"/>
      <c r="IV72" s="106"/>
      <c r="IW72" s="16" t="s">
        <v>169</v>
      </c>
      <c r="IX72" s="12">
        <v>44483</v>
      </c>
      <c r="IY72" s="103">
        <v>59016362.663423538</v>
      </c>
      <c r="IZ72" s="104">
        <v>40000000</v>
      </c>
      <c r="JE72" s="12" t="str">
        <f t="shared" si="242"/>
        <v>Since FY21</v>
      </c>
      <c r="JF72" s="12">
        <f t="shared" si="242"/>
        <v>44049</v>
      </c>
      <c r="JG72" s="109">
        <f t="shared" si="243"/>
        <v>19.730848282152632</v>
      </c>
      <c r="JH72" s="109">
        <f t="shared" si="243"/>
        <v>3</v>
      </c>
      <c r="JI72" s="109"/>
      <c r="JJ72" s="40"/>
      <c r="JL72" s="106"/>
      <c r="JM72" s="106"/>
      <c r="JN72" s="12" t="str">
        <f t="shared" si="246"/>
        <v>Since FY21</v>
      </c>
      <c r="JO72" s="12">
        <f t="shared" si="246"/>
        <v>44035</v>
      </c>
      <c r="JP72" s="109">
        <f t="shared" si="247"/>
        <v>25.6119068409851</v>
      </c>
      <c r="JQ72" s="109">
        <f t="shared" si="247"/>
        <v>8</v>
      </c>
      <c r="JR72" s="109" t="e">
        <f t="shared" si="248"/>
        <v>#N/A</v>
      </c>
      <c r="JS72" s="109" t="e">
        <f t="shared" si="248"/>
        <v>#N/A</v>
      </c>
      <c r="JT72" s="109">
        <f t="shared" si="249"/>
        <v>49.35</v>
      </c>
      <c r="JU72" s="40">
        <v>30</v>
      </c>
      <c r="JW72" s="106"/>
      <c r="JX72" s="106"/>
      <c r="NI72" s="12" t="str">
        <f t="shared" si="198"/>
        <v>FY18</v>
      </c>
      <c r="NJ72" s="12">
        <f t="shared" si="194"/>
        <v>43013</v>
      </c>
      <c r="NK72" s="109">
        <f t="shared" si="199"/>
        <v>17.496269999999999</v>
      </c>
      <c r="NL72" s="109">
        <f t="shared" si="195"/>
        <v>6</v>
      </c>
      <c r="NN72" s="106"/>
      <c r="NX72" s="12" t="str">
        <f t="shared" si="200"/>
        <v>FY19</v>
      </c>
      <c r="NY72" s="12">
        <f t="shared" si="196"/>
        <v>43384</v>
      </c>
      <c r="NZ72" s="109">
        <f t="shared" si="201"/>
        <v>24.480720000000002</v>
      </c>
      <c r="OA72" s="109">
        <f t="shared" si="197"/>
        <v>12</v>
      </c>
      <c r="OC72" s="106"/>
    </row>
    <row r="73" spans="6:393" x14ac:dyDescent="0.25">
      <c r="F73" s="5"/>
      <c r="G73" s="5"/>
      <c r="H73" s="5"/>
      <c r="I73" s="5"/>
      <c r="M73" s="5" t="str" cm="1">
        <f t="array" ref="M73">LOOKUP(2,1/($G$19:$G$35&lt;=$V73)/($H$19:$H$35&gt;=$V73),$F$19:$F$35)</f>
        <v>2H18</v>
      </c>
      <c r="N73" s="5" t="str" cm="1">
        <f t="array" ref="N73">LOOKUP(2,1/($G$8:$G$16&lt;=$V73)/($H$8:$H$16&gt;=$V73),$F$8:$F$16)</f>
        <v>FY18</v>
      </c>
      <c r="O73" s="5" t="str">
        <f>IFERROR(N73&amp;"-"&amp;COUNTIF($N$19:N73,N73),NA())</f>
        <v>FY18-43</v>
      </c>
      <c r="P73" s="5">
        <f>COUNTIF(V$19:V73,"&gt;="&amp;MAX($V:$V)-183)</f>
        <v>0</v>
      </c>
      <c r="Q73" s="5">
        <f>COUNTIF(V$19:V73,"&gt;="&amp;MAX($V:$V)-365)</f>
        <v>0</v>
      </c>
      <c r="R73" s="5" cm="1">
        <f t="array" ref="R73">LOOKUP(2,1/($G$46:$G$50&lt;=$V73)/($H$46:$H$50&gt;=$V73),$F$46:$F$50)</f>
        <v>0</v>
      </c>
      <c r="S73" s="5" cm="1">
        <f t="array" ref="S73">LOOKUP(2,1/($G$53:$G$56&lt;=$V73)/($H$53:$H$56&gt;=$V73),$F$53:$F$56)</f>
        <v>0</v>
      </c>
      <c r="T73" s="5" t="e">
        <f>IFERROR(IF($R73&gt;0,$R73&amp;"-"&amp;COUNTIF($R$19:$R73,$R73),NA()),NA())</f>
        <v>#N/A</v>
      </c>
      <c r="U73" s="5" t="e">
        <f>IFERROR(IF($S73&gt;0,$S73&amp;"-"&amp;COUNTIF($S$19:$S73,$S73),NA()),NA())</f>
        <v>#N/A</v>
      </c>
      <c r="V73" s="10">
        <v>43216</v>
      </c>
      <c r="W73" s="101">
        <v>11440443.356643355</v>
      </c>
      <c r="X73" s="101">
        <v>13754845.047692306</v>
      </c>
      <c r="Y73" s="102">
        <v>3000000</v>
      </c>
      <c r="AI73" s="18">
        <f t="shared" si="172"/>
        <v>27</v>
      </c>
      <c r="AJ73" s="12">
        <f t="shared" si="172"/>
        <v>45204</v>
      </c>
      <c r="AK73" s="109">
        <f t="shared" si="173"/>
        <v>85.3851064618067</v>
      </c>
      <c r="AL73" s="109">
        <f t="shared" si="173"/>
        <v>60</v>
      </c>
      <c r="AN73" s="106"/>
      <c r="AO73" s="106"/>
      <c r="AP73" s="18">
        <f t="shared" si="227"/>
        <v>25</v>
      </c>
      <c r="AQ73" s="12">
        <f t="shared" si="227"/>
        <v>45190</v>
      </c>
      <c r="AR73" s="109">
        <f t="shared" si="228"/>
        <v>41.746812901819773</v>
      </c>
      <c r="AS73" s="109">
        <f t="shared" si="228"/>
        <v>20</v>
      </c>
      <c r="AU73" s="106"/>
      <c r="BF73" s="18">
        <f t="shared" si="174"/>
        <v>27</v>
      </c>
      <c r="BG73" s="12">
        <f t="shared" si="174"/>
        <v>45022</v>
      </c>
      <c r="BH73" s="109">
        <f t="shared" si="175"/>
        <v>41.047026208574025</v>
      </c>
      <c r="BI73" s="109">
        <f t="shared" si="175"/>
        <v>20</v>
      </c>
      <c r="BK73" s="106"/>
      <c r="BL73" s="106"/>
      <c r="BM73" s="18">
        <f t="shared" si="229"/>
        <v>25</v>
      </c>
      <c r="BN73" s="12">
        <f t="shared" si="229"/>
        <v>45008</v>
      </c>
      <c r="BO73" s="109">
        <f t="shared" si="230"/>
        <v>25.902576588628762</v>
      </c>
      <c r="BP73" s="109">
        <f t="shared" si="230"/>
        <v>8</v>
      </c>
      <c r="BR73" s="106"/>
      <c r="CB73" s="18" t="e">
        <f t="shared" si="176"/>
        <v>#N/A</v>
      </c>
      <c r="CC73" s="12" t="e">
        <f t="shared" si="176"/>
        <v>#N/A</v>
      </c>
      <c r="CD73" s="109" t="e">
        <f t="shared" si="177"/>
        <v>#N/A</v>
      </c>
      <c r="CE73" s="109" t="e">
        <f t="shared" si="177"/>
        <v>#N/A</v>
      </c>
      <c r="CH73" s="106"/>
      <c r="CI73" s="23" t="s">
        <v>20</v>
      </c>
      <c r="CJ73" s="31">
        <v>44707</v>
      </c>
      <c r="CK73" s="31">
        <v>44819</v>
      </c>
      <c r="CL73" s="30"/>
      <c r="CQ73" s="18" t="e">
        <f t="shared" si="178"/>
        <v>#N/A</v>
      </c>
      <c r="CR73" s="12" t="e">
        <f t="shared" si="178"/>
        <v>#N/A</v>
      </c>
      <c r="CS73" s="109" t="e">
        <f t="shared" si="179"/>
        <v>#N/A</v>
      </c>
      <c r="CT73" s="109" t="e">
        <f t="shared" si="179"/>
        <v>#N/A</v>
      </c>
      <c r="CV73" s="106"/>
      <c r="DF73" s="18" t="e">
        <f t="shared" si="180"/>
        <v>#N/A</v>
      </c>
      <c r="DG73" s="12" t="e">
        <f t="shared" si="180"/>
        <v>#N/A</v>
      </c>
      <c r="DH73" s="109" t="e">
        <f t="shared" si="181"/>
        <v>#N/A</v>
      </c>
      <c r="DI73" s="109" t="e">
        <f t="shared" si="181"/>
        <v>#N/A</v>
      </c>
      <c r="DK73" s="106"/>
      <c r="DL73" s="106"/>
      <c r="DU73" s="18" t="e">
        <f t="shared" si="182"/>
        <v>#N/A</v>
      </c>
      <c r="DV73" s="12" t="e">
        <f t="shared" si="182"/>
        <v>#N/A</v>
      </c>
      <c r="DW73" s="109" t="e">
        <f t="shared" si="183"/>
        <v>#N/A</v>
      </c>
      <c r="DX73" s="109" t="e">
        <f t="shared" si="183"/>
        <v>#N/A</v>
      </c>
      <c r="DZ73" s="106"/>
      <c r="EA73" s="106"/>
      <c r="EB73" s="12" t="e">
        <f t="shared" si="231"/>
        <v>#N/A</v>
      </c>
      <c r="EC73" s="12" t="e">
        <f t="shared" si="231"/>
        <v>#N/A</v>
      </c>
      <c r="ED73" s="109" t="e">
        <f t="shared" si="232"/>
        <v>#N/A</v>
      </c>
      <c r="EE73" s="109" t="e">
        <f t="shared" si="232"/>
        <v>#N/A</v>
      </c>
      <c r="EG73" s="106"/>
      <c r="EH73" s="106"/>
      <c r="EQ73" s="12" t="str">
        <f t="shared" si="184"/>
        <v>FY18-27</v>
      </c>
      <c r="ER73" s="12">
        <f t="shared" si="184"/>
        <v>43104</v>
      </c>
      <c r="ES73" s="109">
        <f t="shared" si="222"/>
        <v>46.986662149387612</v>
      </c>
      <c r="ET73" s="109">
        <f t="shared" si="222"/>
        <v>35</v>
      </c>
      <c r="EU73" s="106"/>
      <c r="EV73" s="106"/>
      <c r="EW73" s="106"/>
      <c r="FF73" s="12" t="str">
        <f t="shared" si="186"/>
        <v>FY19</v>
      </c>
      <c r="FG73" s="12">
        <f t="shared" si="186"/>
        <v>43468</v>
      </c>
      <c r="FH73" s="109">
        <f t="shared" si="223"/>
        <v>63.766761602034322</v>
      </c>
      <c r="FI73" s="109">
        <f t="shared" si="223"/>
        <v>50</v>
      </c>
      <c r="FK73" s="106"/>
      <c r="FL73" s="106"/>
      <c r="FM73" s="12" t="str">
        <f t="shared" si="233"/>
        <v>FY19</v>
      </c>
      <c r="FN73" s="12">
        <f t="shared" si="233"/>
        <v>43454</v>
      </c>
      <c r="FO73" s="109">
        <f t="shared" si="234"/>
        <v>32.972327018436104</v>
      </c>
      <c r="FP73" s="109">
        <f t="shared" si="234"/>
        <v>25</v>
      </c>
      <c r="FR73" s="106"/>
      <c r="FS73" s="106"/>
      <c r="GB73" s="12" t="str">
        <f t="shared" si="188"/>
        <v>FY20</v>
      </c>
      <c r="GC73" s="12">
        <f t="shared" si="188"/>
        <v>43832</v>
      </c>
      <c r="GD73" s="109">
        <f t="shared" si="224"/>
        <v>14.302579986385295</v>
      </c>
      <c r="GE73" s="109">
        <f t="shared" si="224"/>
        <v>3</v>
      </c>
      <c r="GG73" s="106"/>
      <c r="GH73" s="106"/>
      <c r="GI73" s="12" t="str">
        <f t="shared" si="235"/>
        <v>FY20</v>
      </c>
      <c r="GJ73" s="12">
        <f t="shared" si="235"/>
        <v>43818</v>
      </c>
      <c r="GK73" s="109">
        <f t="shared" si="236"/>
        <v>25.742781855312831</v>
      </c>
      <c r="GL73" s="109">
        <f t="shared" si="236"/>
        <v>15</v>
      </c>
      <c r="GN73" s="106"/>
      <c r="GO73" s="106"/>
      <c r="GX73" s="12" t="str">
        <f t="shared" si="190"/>
        <v>FY21</v>
      </c>
      <c r="GY73" s="12">
        <f t="shared" si="190"/>
        <v>44196</v>
      </c>
      <c r="GZ73" s="109">
        <f t="shared" si="225"/>
        <v>25.387217756156883</v>
      </c>
      <c r="HA73" s="109">
        <f t="shared" si="225"/>
        <v>8</v>
      </c>
      <c r="HC73" s="106"/>
      <c r="HD73" s="106"/>
      <c r="HM73" s="12" t="str">
        <f t="shared" si="192"/>
        <v>FY22</v>
      </c>
      <c r="HN73" s="12">
        <f t="shared" si="192"/>
        <v>44560</v>
      </c>
      <c r="HO73" s="109">
        <f t="shared" si="226"/>
        <v>45.526023472179993</v>
      </c>
      <c r="HP73" s="109">
        <f t="shared" si="226"/>
        <v>30</v>
      </c>
      <c r="HR73" s="106"/>
      <c r="HS73" s="106"/>
      <c r="HT73" s="12" t="str">
        <f t="shared" si="237"/>
        <v>FY22</v>
      </c>
      <c r="HU73" s="12">
        <f t="shared" si="237"/>
        <v>44546</v>
      </c>
      <c r="HV73" s="109">
        <f t="shared" si="238"/>
        <v>26.709691456369718</v>
      </c>
      <c r="HW73" s="109">
        <f t="shared" si="238"/>
        <v>8</v>
      </c>
      <c r="HY73" s="106"/>
      <c r="HZ73" s="106"/>
      <c r="II73" s="12" t="str">
        <f t="shared" si="239"/>
        <v>FY23</v>
      </c>
      <c r="IJ73" s="12">
        <f t="shared" si="240"/>
        <v>44791</v>
      </c>
      <c r="IK73" s="109">
        <f t="shared" si="241"/>
        <v>20.023645363332321</v>
      </c>
      <c r="IL73" s="109">
        <f t="shared" si="241"/>
        <v>4</v>
      </c>
      <c r="IN73" s="106"/>
      <c r="IO73" s="106"/>
      <c r="IP73" s="12" t="str">
        <f t="shared" si="244"/>
        <v>FY23</v>
      </c>
      <c r="IQ73" s="12">
        <f t="shared" si="244"/>
        <v>44777</v>
      </c>
      <c r="IR73" s="109">
        <f t="shared" si="245"/>
        <v>24.328928428093644</v>
      </c>
      <c r="IS73" s="109">
        <f t="shared" si="245"/>
        <v>8</v>
      </c>
      <c r="IU73" s="106"/>
      <c r="IV73" s="106"/>
      <c r="IW73" s="16" t="s">
        <v>169</v>
      </c>
      <c r="IX73" s="12">
        <v>44490</v>
      </c>
      <c r="IY73" s="103">
        <v>83423387.290969908</v>
      </c>
      <c r="IZ73" s="104">
        <v>60000000</v>
      </c>
      <c r="JE73" s="12" t="str">
        <f t="shared" si="242"/>
        <v>Since FY21</v>
      </c>
      <c r="JF73" s="12">
        <f t="shared" si="242"/>
        <v>44056</v>
      </c>
      <c r="JG73" s="109">
        <f t="shared" si="243"/>
        <v>26.811783764062021</v>
      </c>
      <c r="JH73" s="109">
        <f t="shared" si="243"/>
        <v>8</v>
      </c>
      <c r="JI73" s="109"/>
      <c r="JJ73" s="40"/>
      <c r="JL73" s="106"/>
      <c r="JM73" s="106"/>
      <c r="JN73" s="12" t="str">
        <f t="shared" si="246"/>
        <v>Since FY21</v>
      </c>
      <c r="JO73" s="12">
        <f t="shared" si="246"/>
        <v>44042</v>
      </c>
      <c r="JP73" s="109">
        <f t="shared" si="247"/>
        <v>44.346019337184551</v>
      </c>
      <c r="JQ73" s="109">
        <f t="shared" si="247"/>
        <v>20</v>
      </c>
      <c r="JR73" s="109" t="e">
        <f t="shared" si="248"/>
        <v>#N/A</v>
      </c>
      <c r="JS73" s="109" t="e">
        <f t="shared" si="248"/>
        <v>#N/A</v>
      </c>
      <c r="JT73" s="109">
        <f t="shared" si="249"/>
        <v>60.189</v>
      </c>
      <c r="JU73" s="40">
        <v>40</v>
      </c>
      <c r="JW73" s="106"/>
      <c r="JX73" s="106"/>
      <c r="NI73" s="12" t="str">
        <f t="shared" si="198"/>
        <v>FY18</v>
      </c>
      <c r="NJ73" s="12">
        <f t="shared" si="194"/>
        <v>43020</v>
      </c>
      <c r="NK73" s="109">
        <f t="shared" si="199"/>
        <v>25.258199999999999</v>
      </c>
      <c r="NL73" s="109">
        <f t="shared" si="195"/>
        <v>10</v>
      </c>
      <c r="NN73" s="106"/>
      <c r="NX73" s="12" t="str">
        <f t="shared" si="200"/>
        <v>FY19</v>
      </c>
      <c r="NY73" s="12">
        <f t="shared" si="196"/>
        <v>43391</v>
      </c>
      <c r="NZ73" s="109">
        <f t="shared" si="201"/>
        <v>29.189556</v>
      </c>
      <c r="OA73" s="109">
        <f t="shared" si="197"/>
        <v>20</v>
      </c>
      <c r="OC73" s="106"/>
    </row>
    <row r="74" spans="6:393" x14ac:dyDescent="0.25">
      <c r="F74" s="5"/>
      <c r="G74" s="5"/>
      <c r="H74" s="5"/>
      <c r="I74" s="5"/>
      <c r="M74" s="5" t="str" cm="1">
        <f t="array" ref="M74">LOOKUP(2,1/($G$19:$G$35&lt;=$V74)/($H$19:$H$35&gt;=$V74),$F$19:$F$35)</f>
        <v>2H18</v>
      </c>
      <c r="N74" s="5" t="str" cm="1">
        <f t="array" ref="N74">LOOKUP(2,1/($G$8:$G$16&lt;=$V74)/($H$8:$H$16&gt;=$V74),$F$8:$F$16)</f>
        <v>FY18</v>
      </c>
      <c r="O74" s="5" t="str">
        <f>IFERROR(N74&amp;"-"&amp;COUNTIF($N$19:N74,N74),NA())</f>
        <v>FY18-44</v>
      </c>
      <c r="P74" s="5">
        <f>COUNTIF(V$19:V74,"&gt;="&amp;MAX($V:$V)-183)</f>
        <v>0</v>
      </c>
      <c r="Q74" s="5">
        <f>COUNTIF(V$19:V74,"&gt;="&amp;MAX($V:$V)-365)</f>
        <v>0</v>
      </c>
      <c r="R74" s="5" cm="1">
        <f t="array" ref="R74">LOOKUP(2,1/($G$46:$G$50&lt;=$V74)/($H$46:$H$50&gt;=$V74),$F$46:$F$50)</f>
        <v>0</v>
      </c>
      <c r="S74" s="5" cm="1">
        <f t="array" ref="S74">LOOKUP(2,1/($G$53:$G$56&lt;=$V74)/($H$53:$H$56&gt;=$V74),$F$53:$F$56)</f>
        <v>0</v>
      </c>
      <c r="T74" s="5" t="e">
        <f>IFERROR(IF($R74&gt;0,$R74&amp;"-"&amp;COUNTIF($R$19:$R74,$R74),NA()),NA())</f>
        <v>#N/A</v>
      </c>
      <c r="U74" s="5" t="e">
        <f>IFERROR(IF($S74&gt;0,$S74&amp;"-"&amp;COUNTIF($S$19:$S74,$S74),NA()),NA())</f>
        <v>#N/A</v>
      </c>
      <c r="V74" s="10">
        <v>43223</v>
      </c>
      <c r="W74" s="101">
        <v>15861424.030514937</v>
      </c>
      <c r="X74" s="101">
        <v>19070190.111888111</v>
      </c>
      <c r="Y74" s="102">
        <v>8000000</v>
      </c>
      <c r="AI74" s="18"/>
      <c r="AJ74" s="12"/>
      <c r="AK74" s="109"/>
      <c r="AL74" s="109"/>
      <c r="AN74" s="106"/>
      <c r="AO74" s="106"/>
      <c r="AP74" s="18">
        <f t="shared" si="227"/>
        <v>26</v>
      </c>
      <c r="AQ74" s="12">
        <f t="shared" si="227"/>
        <v>45197</v>
      </c>
      <c r="AR74" s="109">
        <f t="shared" si="228"/>
        <v>56.641298899422473</v>
      </c>
      <c r="AS74" s="109">
        <f t="shared" si="228"/>
        <v>40</v>
      </c>
      <c r="AU74" s="106"/>
      <c r="BF74" s="18">
        <f t="shared" ref="BF74:BG94" si="250">AW32</f>
        <v>28</v>
      </c>
      <c r="BG74" s="12">
        <f t="shared" si="250"/>
        <v>45029</v>
      </c>
      <c r="BH74" s="109">
        <f t="shared" ref="BH74:BI94" si="251">AY32/1000000</f>
        <v>49.471698145332923</v>
      </c>
      <c r="BI74" s="109">
        <f t="shared" si="251"/>
        <v>30</v>
      </c>
      <c r="BK74" s="106"/>
      <c r="BL74" s="106"/>
      <c r="BM74" s="18">
        <f t="shared" si="229"/>
        <v>26</v>
      </c>
      <c r="BN74" s="12">
        <f t="shared" si="229"/>
        <v>45015</v>
      </c>
      <c r="BO74" s="109">
        <f t="shared" si="230"/>
        <v>25.590152994831257</v>
      </c>
      <c r="BP74" s="109">
        <f t="shared" si="230"/>
        <v>8</v>
      </c>
      <c r="BR74" s="106"/>
      <c r="CB74" s="18" t="e">
        <f t="shared" si="176"/>
        <v>#N/A</v>
      </c>
      <c r="CC74" s="12" t="e">
        <f t="shared" si="176"/>
        <v>#N/A</v>
      </c>
      <c r="CD74" s="109" t="e">
        <f t="shared" si="177"/>
        <v>#N/A</v>
      </c>
      <c r="CE74" s="109" t="e">
        <f t="shared" si="177"/>
        <v>#N/A</v>
      </c>
      <c r="CH74" s="106"/>
      <c r="CI74" s="23" t="s">
        <v>19</v>
      </c>
      <c r="CJ74" s="31">
        <v>44812</v>
      </c>
      <c r="CK74" s="31">
        <v>44924</v>
      </c>
      <c r="CL74" s="30"/>
      <c r="CQ74" s="18" t="e">
        <f t="shared" si="178"/>
        <v>#N/A</v>
      </c>
      <c r="CR74" s="12" t="e">
        <f t="shared" si="178"/>
        <v>#N/A</v>
      </c>
      <c r="CS74" s="109" t="e">
        <f t="shared" si="179"/>
        <v>#N/A</v>
      </c>
      <c r="CT74" s="109" t="e">
        <f t="shared" si="179"/>
        <v>#N/A</v>
      </c>
      <c r="CV74" s="106"/>
      <c r="DF74" s="18" t="e">
        <f t="shared" si="180"/>
        <v>#N/A</v>
      </c>
      <c r="DG74" s="12" t="e">
        <f t="shared" si="180"/>
        <v>#N/A</v>
      </c>
      <c r="DH74" s="109" t="e">
        <f t="shared" si="181"/>
        <v>#N/A</v>
      </c>
      <c r="DI74" s="109" t="e">
        <f t="shared" si="181"/>
        <v>#N/A</v>
      </c>
      <c r="DK74" s="106"/>
      <c r="DL74" s="106"/>
      <c r="DU74" s="18" t="e">
        <f t="shared" si="182"/>
        <v>#N/A</v>
      </c>
      <c r="DV74" s="12" t="e">
        <f t="shared" si="182"/>
        <v>#N/A</v>
      </c>
      <c r="DW74" s="109" t="e">
        <f t="shared" si="183"/>
        <v>#N/A</v>
      </c>
      <c r="DX74" s="109" t="e">
        <f t="shared" si="183"/>
        <v>#N/A</v>
      </c>
      <c r="DZ74" s="106"/>
      <c r="EA74" s="106"/>
      <c r="EB74" s="12" t="e">
        <f t="shared" si="231"/>
        <v>#N/A</v>
      </c>
      <c r="EC74" s="12" t="e">
        <f t="shared" si="231"/>
        <v>#N/A</v>
      </c>
      <c r="ED74" s="109" t="e">
        <f t="shared" si="232"/>
        <v>#N/A</v>
      </c>
      <c r="EE74" s="109" t="e">
        <f t="shared" si="232"/>
        <v>#N/A</v>
      </c>
      <c r="EG74" s="106"/>
      <c r="EH74" s="106"/>
      <c r="EQ74" s="12" t="str">
        <f t="shared" si="184"/>
        <v>FY18-28</v>
      </c>
      <c r="ER74" s="12">
        <f t="shared" si="184"/>
        <v>43111</v>
      </c>
      <c r="ES74" s="109">
        <f t="shared" si="222"/>
        <v>80.521889218561327</v>
      </c>
      <c r="ET74" s="109">
        <f t="shared" si="222"/>
        <v>55</v>
      </c>
      <c r="EU74" s="106"/>
      <c r="EV74" s="106"/>
      <c r="EW74" s="106"/>
      <c r="FF74" s="12" t="str">
        <f t="shared" si="186"/>
        <v>FY19</v>
      </c>
      <c r="FG74" s="12">
        <f t="shared" si="186"/>
        <v>43475</v>
      </c>
      <c r="FH74" s="109">
        <f t="shared" si="223"/>
        <v>112.3132386522568</v>
      </c>
      <c r="FI74" s="109">
        <f t="shared" si="223"/>
        <v>80</v>
      </c>
      <c r="FK74" s="106"/>
      <c r="FL74" s="106"/>
      <c r="FM74" s="12" t="str">
        <f t="shared" si="233"/>
        <v>FY19</v>
      </c>
      <c r="FN74" s="12">
        <f t="shared" si="233"/>
        <v>43461</v>
      </c>
      <c r="FO74" s="109">
        <f t="shared" si="234"/>
        <v>36.354827972027962</v>
      </c>
      <c r="FP74" s="109">
        <f t="shared" si="234"/>
        <v>30</v>
      </c>
      <c r="FR74" s="106"/>
      <c r="FS74" s="106"/>
      <c r="GB74" s="12" t="str">
        <f t="shared" si="188"/>
        <v>FY20</v>
      </c>
      <c r="GC74" s="12">
        <f t="shared" si="188"/>
        <v>43839</v>
      </c>
      <c r="GD74" s="109">
        <f t="shared" si="224"/>
        <v>20.379060090352123</v>
      </c>
      <c r="GE74" s="109">
        <f t="shared" si="224"/>
        <v>8</v>
      </c>
      <c r="GG74" s="106"/>
      <c r="GH74" s="106"/>
      <c r="GI74" s="12" t="str">
        <f t="shared" si="235"/>
        <v>FY20</v>
      </c>
      <c r="GJ74" s="12">
        <f t="shared" si="235"/>
        <v>43825</v>
      </c>
      <c r="GK74" s="109">
        <f t="shared" si="236"/>
        <v>25.073378303112815</v>
      </c>
      <c r="GL74" s="109">
        <f t="shared" si="236"/>
        <v>20</v>
      </c>
      <c r="GN74" s="106"/>
      <c r="GO74" s="106"/>
      <c r="GX74" s="12" t="str">
        <f t="shared" si="190"/>
        <v>FY21</v>
      </c>
      <c r="GY74" s="12">
        <f t="shared" si="190"/>
        <v>44203</v>
      </c>
      <c r="GZ74" s="109">
        <f t="shared" si="225"/>
        <v>17.082868713894804</v>
      </c>
      <c r="HA74" s="109">
        <f t="shared" si="225"/>
        <v>3</v>
      </c>
      <c r="HC74" s="106"/>
      <c r="HD74" s="106"/>
      <c r="HM74" s="12" t="str">
        <f t="shared" si="192"/>
        <v>FY22</v>
      </c>
      <c r="HN74" s="12">
        <f t="shared" si="192"/>
        <v>44567</v>
      </c>
      <c r="HO74" s="109">
        <f t="shared" si="226"/>
        <v>76.041502462754636</v>
      </c>
      <c r="HP74" s="109">
        <f t="shared" si="226"/>
        <v>60</v>
      </c>
      <c r="HR74" s="106"/>
      <c r="HS74" s="106"/>
      <c r="HT74" s="12" t="str">
        <f t="shared" si="237"/>
        <v>FY22</v>
      </c>
      <c r="HU74" s="12">
        <f t="shared" si="237"/>
        <v>44553</v>
      </c>
      <c r="HV74" s="109">
        <f t="shared" si="238"/>
        <v>40.654796959562177</v>
      </c>
      <c r="HW74" s="109">
        <f t="shared" si="238"/>
        <v>20</v>
      </c>
      <c r="HY74" s="106"/>
      <c r="HZ74" s="106"/>
      <c r="II74" s="12" t="str">
        <f t="shared" si="239"/>
        <v>FY23</v>
      </c>
      <c r="IJ74" s="12">
        <f t="shared" si="240"/>
        <v>44798</v>
      </c>
      <c r="IK74" s="109">
        <f t="shared" si="241"/>
        <v>25.45458339920949</v>
      </c>
      <c r="IL74" s="109">
        <f t="shared" si="241"/>
        <v>8</v>
      </c>
      <c r="IN74" s="106"/>
      <c r="IO74" s="106"/>
      <c r="IP74" s="12" t="str">
        <f t="shared" si="244"/>
        <v>FY23</v>
      </c>
      <c r="IQ74" s="12">
        <f t="shared" si="244"/>
        <v>44784</v>
      </c>
      <c r="IR74" s="109">
        <f t="shared" si="245"/>
        <v>39.456376284584977</v>
      </c>
      <c r="IS74" s="109">
        <f t="shared" si="245"/>
        <v>20</v>
      </c>
      <c r="IU74" s="106"/>
      <c r="IV74" s="106"/>
      <c r="IW74" s="16" t="s">
        <v>169</v>
      </c>
      <c r="IX74" s="12">
        <v>44497</v>
      </c>
      <c r="IY74" s="103">
        <v>18862208.574034657</v>
      </c>
      <c r="IZ74" s="104">
        <v>3000000</v>
      </c>
      <c r="JE74" s="12" t="str">
        <f t="shared" si="242"/>
        <v>Since FY21</v>
      </c>
      <c r="JF74" s="12">
        <f t="shared" si="242"/>
        <v>44063</v>
      </c>
      <c r="JG74" s="109">
        <f t="shared" si="243"/>
        <v>18.946345758589239</v>
      </c>
      <c r="JH74" s="109">
        <f t="shared" si="243"/>
        <v>3</v>
      </c>
      <c r="JI74" s="109"/>
      <c r="JJ74" s="40"/>
      <c r="JL74" s="106"/>
      <c r="JM74" s="106"/>
      <c r="JN74" s="12" t="str">
        <f t="shared" si="246"/>
        <v>Since FY21</v>
      </c>
      <c r="JO74" s="12">
        <f t="shared" si="246"/>
        <v>44049</v>
      </c>
      <c r="JP74" s="109">
        <f t="shared" si="247"/>
        <v>19.730848282152632</v>
      </c>
      <c r="JQ74" s="109">
        <f t="shared" si="247"/>
        <v>3</v>
      </c>
      <c r="JR74" s="109" t="e">
        <f t="shared" si="248"/>
        <v>#N/A</v>
      </c>
      <c r="JS74" s="109" t="e">
        <f t="shared" si="248"/>
        <v>#N/A</v>
      </c>
      <c r="JT74" s="109">
        <f t="shared" si="249"/>
        <v>71.028000000000006</v>
      </c>
      <c r="JU74" s="40">
        <v>50</v>
      </c>
      <c r="JW74" s="106"/>
      <c r="JX74" s="106"/>
      <c r="NI74" s="12" t="str">
        <f t="shared" si="198"/>
        <v>FY18</v>
      </c>
      <c r="NJ74" s="12">
        <f t="shared" si="194"/>
        <v>43027</v>
      </c>
      <c r="NK74" s="109">
        <f t="shared" si="199"/>
        <v>28.366800000000001</v>
      </c>
      <c r="NL74" s="109">
        <f t="shared" si="195"/>
        <v>15</v>
      </c>
      <c r="NN74" s="106"/>
      <c r="NX74" s="12" t="str">
        <f t="shared" si="200"/>
        <v>FY19</v>
      </c>
      <c r="NY74" s="12">
        <f t="shared" si="196"/>
        <v>43398</v>
      </c>
      <c r="NZ74" s="109">
        <f t="shared" si="201"/>
        <v>34.647557999999997</v>
      </c>
      <c r="OA74" s="109">
        <f t="shared" si="197"/>
        <v>30</v>
      </c>
      <c r="OC74" s="106"/>
    </row>
    <row r="75" spans="6:393" x14ac:dyDescent="0.25">
      <c r="F75" s="5"/>
      <c r="G75" s="5"/>
      <c r="H75" s="5"/>
      <c r="I75" s="5"/>
      <c r="M75" s="5" t="str" cm="1">
        <f t="array" ref="M75">LOOKUP(2,1/($G$19:$G$35&lt;=$V75)/($H$19:$H$35&gt;=$V75),$F$19:$F$35)</f>
        <v>2H18</v>
      </c>
      <c r="N75" s="5" t="str" cm="1">
        <f t="array" ref="N75">LOOKUP(2,1/($G$8:$G$16&lt;=$V75)/($H$8:$H$16&gt;=$V75),$F$8:$F$16)</f>
        <v>FY18</v>
      </c>
      <c r="O75" s="5" t="str">
        <f>IFERROR(N75&amp;"-"&amp;COUNTIF($N$19:N75,N75),NA())</f>
        <v>FY18-45</v>
      </c>
      <c r="P75" s="5">
        <f>COUNTIF(V$19:V75,"&gt;="&amp;MAX($V:$V)-183)</f>
        <v>0</v>
      </c>
      <c r="Q75" s="5">
        <f>COUNTIF(V$19:V75,"&gt;="&amp;MAX($V:$V)-365)</f>
        <v>0</v>
      </c>
      <c r="R75" s="5" cm="1">
        <f t="array" ref="R75">LOOKUP(2,1/($G$46:$G$50&lt;=$V75)/($H$46:$H$50&gt;=$V75),$F$46:$F$50)</f>
        <v>0</v>
      </c>
      <c r="S75" s="5" cm="1">
        <f t="array" ref="S75">LOOKUP(2,1/($G$53:$G$56&lt;=$V75)/($H$53:$H$56&gt;=$V75),$F$53:$F$56)</f>
        <v>0</v>
      </c>
      <c r="T75" s="5" t="e">
        <f>IFERROR(IF($R75&gt;0,$R75&amp;"-"&amp;COUNTIF($R$19:$R75,$R75),NA()),NA())</f>
        <v>#N/A</v>
      </c>
      <c r="U75" s="5" t="e">
        <f>IFERROR(IF($S75&gt;0,$S75&amp;"-"&amp;COUNTIF($S$19:$S75,$S75),NA()),NA())</f>
        <v>#N/A</v>
      </c>
      <c r="V75" s="10">
        <v>43230</v>
      </c>
      <c r="W75" s="101">
        <v>17697270.947234582</v>
      </c>
      <c r="X75" s="101">
        <v>21277428.859860141</v>
      </c>
      <c r="Y75" s="102">
        <v>12000000</v>
      </c>
      <c r="AI75" s="18"/>
      <c r="AJ75" s="12"/>
      <c r="AK75" s="109"/>
      <c r="AL75" s="109"/>
      <c r="AN75" s="106"/>
      <c r="AO75" s="106"/>
      <c r="AP75" s="18">
        <f t="shared" si="227"/>
        <v>27</v>
      </c>
      <c r="AQ75" s="12">
        <f t="shared" si="227"/>
        <v>45204</v>
      </c>
      <c r="AR75" s="109">
        <f t="shared" si="228"/>
        <v>85.3851064618067</v>
      </c>
      <c r="AS75" s="109">
        <f t="shared" si="228"/>
        <v>60</v>
      </c>
      <c r="AU75" s="106"/>
      <c r="BF75" s="18">
        <f t="shared" si="250"/>
        <v>29</v>
      </c>
      <c r="BG75" s="12">
        <f t="shared" si="250"/>
        <v>45036</v>
      </c>
      <c r="BH75" s="109">
        <f t="shared" si="251"/>
        <v>21.741040681058067</v>
      </c>
      <c r="BI75" s="109">
        <f t="shared" si="251"/>
        <v>4</v>
      </c>
      <c r="BK75" s="106"/>
      <c r="BL75" s="106"/>
      <c r="BM75" s="18">
        <f t="shared" si="229"/>
        <v>27</v>
      </c>
      <c r="BN75" s="12">
        <f t="shared" si="229"/>
        <v>45022</v>
      </c>
      <c r="BO75" s="109">
        <f t="shared" si="230"/>
        <v>41.047026208574025</v>
      </c>
      <c r="BP75" s="109">
        <f t="shared" si="230"/>
        <v>20</v>
      </c>
      <c r="BR75" s="106"/>
      <c r="CB75" s="18" t="e">
        <f t="shared" si="176"/>
        <v>#N/A</v>
      </c>
      <c r="CC75" s="12" t="e">
        <f t="shared" si="176"/>
        <v>#N/A</v>
      </c>
      <c r="CD75" s="109" t="e">
        <f t="shared" si="177"/>
        <v>#N/A</v>
      </c>
      <c r="CE75" s="109" t="e">
        <f t="shared" si="177"/>
        <v>#N/A</v>
      </c>
      <c r="CH75" s="106"/>
      <c r="CI75" s="23" t="s">
        <v>18</v>
      </c>
      <c r="CJ75" s="2">
        <v>16</v>
      </c>
      <c r="CK75" s="2">
        <v>16</v>
      </c>
      <c r="CL75" s="30"/>
      <c r="CQ75" s="18" t="e">
        <f t="shared" si="178"/>
        <v>#N/A</v>
      </c>
      <c r="CR75" s="12" t="e">
        <f t="shared" si="178"/>
        <v>#N/A</v>
      </c>
      <c r="CS75" s="109" t="e">
        <f t="shared" si="179"/>
        <v>#N/A</v>
      </c>
      <c r="CT75" s="109" t="e">
        <f t="shared" si="179"/>
        <v>#N/A</v>
      </c>
      <c r="CV75" s="106"/>
      <c r="DF75" s="18" t="e">
        <f t="shared" si="180"/>
        <v>#N/A</v>
      </c>
      <c r="DG75" s="12" t="e">
        <f t="shared" si="180"/>
        <v>#N/A</v>
      </c>
      <c r="DH75" s="109" t="e">
        <f t="shared" si="181"/>
        <v>#N/A</v>
      </c>
      <c r="DI75" s="109" t="e">
        <f t="shared" si="181"/>
        <v>#N/A</v>
      </c>
      <c r="DK75" s="106"/>
      <c r="DL75" s="106"/>
      <c r="DU75" s="18" t="e">
        <f t="shared" si="182"/>
        <v>#N/A</v>
      </c>
      <c r="DV75" s="12" t="e">
        <f t="shared" si="182"/>
        <v>#N/A</v>
      </c>
      <c r="DW75" s="109" t="e">
        <f t="shared" si="183"/>
        <v>#N/A</v>
      </c>
      <c r="DX75" s="109" t="e">
        <f t="shared" si="183"/>
        <v>#N/A</v>
      </c>
      <c r="DZ75" s="106"/>
      <c r="EA75" s="106"/>
      <c r="EB75" s="12" t="e">
        <f t="shared" si="231"/>
        <v>#N/A</v>
      </c>
      <c r="EC75" s="12" t="e">
        <f t="shared" si="231"/>
        <v>#N/A</v>
      </c>
      <c r="ED75" s="109" t="e">
        <f t="shared" si="232"/>
        <v>#N/A</v>
      </c>
      <c r="EE75" s="109" t="e">
        <f t="shared" si="232"/>
        <v>#N/A</v>
      </c>
      <c r="EG75" s="106"/>
      <c r="EH75" s="106"/>
      <c r="EQ75" s="12" t="str">
        <f t="shared" si="184"/>
        <v>FY18-29</v>
      </c>
      <c r="ER75" s="12">
        <f t="shared" si="184"/>
        <v>43118</v>
      </c>
      <c r="ES75" s="109">
        <f t="shared" si="222"/>
        <v>14.500914517854062</v>
      </c>
      <c r="ET75" s="109">
        <f t="shared" si="222"/>
        <v>3</v>
      </c>
      <c r="EU75" s="106"/>
      <c r="EV75" s="106"/>
      <c r="EW75" s="106"/>
      <c r="FF75" s="12" t="str">
        <f t="shared" si="186"/>
        <v>FY19</v>
      </c>
      <c r="FG75" s="12">
        <f t="shared" si="186"/>
        <v>43482</v>
      </c>
      <c r="FH75" s="109">
        <f t="shared" si="223"/>
        <v>174.14559186268272</v>
      </c>
      <c r="FI75" s="109">
        <f t="shared" si="223"/>
        <v>100</v>
      </c>
      <c r="FK75" s="106"/>
      <c r="FL75" s="106"/>
      <c r="FM75" s="12" t="str">
        <f t="shared" si="233"/>
        <v>FY19</v>
      </c>
      <c r="FN75" s="12">
        <f t="shared" si="233"/>
        <v>43468</v>
      </c>
      <c r="FO75" s="109">
        <f t="shared" si="234"/>
        <v>63.766761602034322</v>
      </c>
      <c r="FP75" s="109">
        <f t="shared" si="234"/>
        <v>50</v>
      </c>
      <c r="FR75" s="106"/>
      <c r="FS75" s="106"/>
      <c r="GB75" s="12" t="str">
        <f t="shared" si="188"/>
        <v>FY20</v>
      </c>
      <c r="GC75" s="12">
        <f t="shared" si="188"/>
        <v>43846</v>
      </c>
      <c r="GD75" s="109">
        <f t="shared" si="224"/>
        <v>25.817218392227243</v>
      </c>
      <c r="GE75" s="109">
        <f t="shared" si="224"/>
        <v>12</v>
      </c>
      <c r="GG75" s="106"/>
      <c r="GH75" s="106"/>
      <c r="GI75" s="12" t="str">
        <f t="shared" si="235"/>
        <v>FY20</v>
      </c>
      <c r="GJ75" s="12">
        <f t="shared" si="235"/>
        <v>43832</v>
      </c>
      <c r="GK75" s="109">
        <f t="shared" si="236"/>
        <v>14.302579986385295</v>
      </c>
      <c r="GL75" s="109">
        <f t="shared" si="236"/>
        <v>3</v>
      </c>
      <c r="GN75" s="106"/>
      <c r="GO75" s="106"/>
      <c r="GX75" s="12" t="str">
        <f t="shared" si="190"/>
        <v>FY21</v>
      </c>
      <c r="GY75" s="12">
        <f t="shared" si="190"/>
        <v>44210</v>
      </c>
      <c r="GZ75" s="109">
        <f t="shared" si="225"/>
        <v>24.054723502584363</v>
      </c>
      <c r="HA75" s="109">
        <f t="shared" si="225"/>
        <v>8</v>
      </c>
      <c r="HC75" s="106"/>
      <c r="HD75" s="106"/>
      <c r="HM75" s="12" t="str">
        <f t="shared" si="192"/>
        <v>FY22</v>
      </c>
      <c r="HN75" s="12">
        <f t="shared" si="192"/>
        <v>44574</v>
      </c>
      <c r="HO75" s="109">
        <f t="shared" si="226"/>
        <v>18.115088355123142</v>
      </c>
      <c r="HP75" s="109">
        <f t="shared" si="226"/>
        <v>3</v>
      </c>
      <c r="HR75" s="106"/>
      <c r="HS75" s="106"/>
      <c r="HT75" s="12" t="str">
        <f t="shared" si="237"/>
        <v>FY22</v>
      </c>
      <c r="HU75" s="12">
        <f t="shared" si="237"/>
        <v>44560</v>
      </c>
      <c r="HV75" s="109">
        <f t="shared" si="238"/>
        <v>45.526023472179993</v>
      </c>
      <c r="HW75" s="109">
        <f t="shared" si="238"/>
        <v>30</v>
      </c>
      <c r="HY75" s="106"/>
      <c r="HZ75" s="106"/>
      <c r="II75" s="12" t="str">
        <f t="shared" si="239"/>
        <v>FY23</v>
      </c>
      <c r="IJ75" s="12">
        <f t="shared" si="240"/>
        <v>44805</v>
      </c>
      <c r="IK75" s="109">
        <f t="shared" si="241"/>
        <v>39.743730009121315</v>
      </c>
      <c r="IL75" s="109">
        <f t="shared" si="241"/>
        <v>20</v>
      </c>
      <c r="IN75" s="106"/>
      <c r="IO75" s="106"/>
      <c r="IP75" s="12" t="str">
        <f t="shared" si="244"/>
        <v>FY23</v>
      </c>
      <c r="IQ75" s="12">
        <f t="shared" si="244"/>
        <v>44791</v>
      </c>
      <c r="IR75" s="109">
        <f t="shared" si="245"/>
        <v>20.023645363332321</v>
      </c>
      <c r="IS75" s="109">
        <f t="shared" si="245"/>
        <v>4</v>
      </c>
      <c r="IU75" s="106"/>
      <c r="IV75" s="106"/>
      <c r="IW75" s="16" t="s">
        <v>169</v>
      </c>
      <c r="IX75" s="12">
        <v>44504</v>
      </c>
      <c r="IY75" s="103">
        <v>25128435.147461236</v>
      </c>
      <c r="IZ75" s="104">
        <v>8000000</v>
      </c>
      <c r="JE75" s="12" t="str">
        <f t="shared" si="242"/>
        <v>Since FY21</v>
      </c>
      <c r="JF75" s="12">
        <f t="shared" si="242"/>
        <v>44070</v>
      </c>
      <c r="JG75" s="109">
        <f t="shared" si="243"/>
        <v>26.767640012161749</v>
      </c>
      <c r="JH75" s="109">
        <f t="shared" si="243"/>
        <v>8</v>
      </c>
      <c r="JI75" s="109"/>
      <c r="JJ75" s="40"/>
      <c r="JL75" s="106"/>
      <c r="JM75" s="106"/>
      <c r="JN75" s="12" t="str">
        <f t="shared" si="246"/>
        <v>Since FY21</v>
      </c>
      <c r="JO75" s="12">
        <f t="shared" si="246"/>
        <v>44056</v>
      </c>
      <c r="JP75" s="109">
        <f t="shared" si="247"/>
        <v>26.811783764062021</v>
      </c>
      <c r="JQ75" s="109">
        <f t="shared" si="247"/>
        <v>8</v>
      </c>
      <c r="JR75" s="109" t="e">
        <f t="shared" si="248"/>
        <v>#N/A</v>
      </c>
      <c r="JS75" s="109" t="e">
        <f t="shared" si="248"/>
        <v>#N/A</v>
      </c>
      <c r="JT75" s="109">
        <f t="shared" si="249"/>
        <v>81.867000000000004</v>
      </c>
      <c r="JU75" s="40">
        <v>60</v>
      </c>
      <c r="JW75" s="106"/>
      <c r="JX75" s="106"/>
      <c r="NI75" s="12" t="str">
        <f t="shared" si="198"/>
        <v>FY18</v>
      </c>
      <c r="NJ75" s="12">
        <f t="shared" si="194"/>
        <v>43034</v>
      </c>
      <c r="NK75" s="109">
        <f t="shared" si="199"/>
        <v>12.711600000000001</v>
      </c>
      <c r="NL75" s="109">
        <f t="shared" si="195"/>
        <v>3</v>
      </c>
      <c r="NN75" s="106"/>
      <c r="NX75" s="12" t="str">
        <f t="shared" si="200"/>
        <v>FY19</v>
      </c>
      <c r="NY75" s="12">
        <f t="shared" si="196"/>
        <v>43405</v>
      </c>
      <c r="NZ75" s="109">
        <f t="shared" si="201"/>
        <v>42.118955999999997</v>
      </c>
      <c r="OA75" s="109">
        <f t="shared" si="197"/>
        <v>40</v>
      </c>
      <c r="OC75" s="106"/>
    </row>
    <row r="76" spans="6:393" x14ac:dyDescent="0.25">
      <c r="F76" s="5"/>
      <c r="G76" s="5"/>
      <c r="H76" s="5"/>
      <c r="I76" s="5"/>
      <c r="M76" s="5" t="str" cm="1">
        <f t="array" ref="M76">LOOKUP(2,1/($G$19:$G$35&lt;=$V76)/($H$19:$H$35&gt;=$V76),$F$19:$F$35)</f>
        <v>2H18</v>
      </c>
      <c r="N76" s="5" t="str" cm="1">
        <f t="array" ref="N76">LOOKUP(2,1/($G$8:$G$16&lt;=$V76)/($H$8:$H$16&gt;=$V76),$F$8:$F$16)</f>
        <v>FY18</v>
      </c>
      <c r="O76" s="5" t="str">
        <f>IFERROR(N76&amp;"-"&amp;COUNTIF($N$19:N76,N76),NA())</f>
        <v>FY18-46</v>
      </c>
      <c r="P76" s="5">
        <f>COUNTIF(V$19:V76,"&gt;="&amp;MAX($V:$V)-183)</f>
        <v>0</v>
      </c>
      <c r="Q76" s="5">
        <f>COUNTIF(V$19:V76,"&gt;="&amp;MAX($V:$V)-365)</f>
        <v>0</v>
      </c>
      <c r="R76" s="5" cm="1">
        <f t="array" ref="R76">LOOKUP(2,1/($G$46:$G$50&lt;=$V76)/($H$46:$H$50&gt;=$V76),$F$46:$F$50)</f>
        <v>0</v>
      </c>
      <c r="S76" s="5" cm="1">
        <f t="array" ref="S76">LOOKUP(2,1/($G$53:$G$56&lt;=$V76)/($H$53:$H$56&gt;=$V76),$F$53:$F$56)</f>
        <v>0</v>
      </c>
      <c r="T76" s="5" t="e">
        <f>IFERROR(IF($R76&gt;0,$R76&amp;"-"&amp;COUNTIF($R$19:$R76,$R76),NA()),NA())</f>
        <v>#N/A</v>
      </c>
      <c r="U76" s="5" t="e">
        <f>IFERROR(IF($S76&gt;0,$S76&amp;"-"&amp;COUNTIF($S$19:$S76,$S76),NA()),NA())</f>
        <v>#N/A</v>
      </c>
      <c r="V76" s="10">
        <v>43237</v>
      </c>
      <c r="W76" s="101">
        <v>26087560.584869672</v>
      </c>
      <c r="X76" s="101">
        <v>31365074.091188811</v>
      </c>
      <c r="Y76" s="102">
        <v>20000000</v>
      </c>
      <c r="AI76" s="18"/>
      <c r="AJ76" s="12"/>
      <c r="AK76" s="109"/>
      <c r="AL76" s="109"/>
      <c r="AN76" s="106"/>
      <c r="AO76" s="106"/>
      <c r="AP76" s="18" t="e">
        <f t="shared" si="227"/>
        <v>#N/A</v>
      </c>
      <c r="AQ76" s="12" t="e">
        <f t="shared" si="227"/>
        <v>#N/A</v>
      </c>
      <c r="AR76" s="109" t="e">
        <f t="shared" si="228"/>
        <v>#N/A</v>
      </c>
      <c r="AS76" s="109" t="e">
        <f t="shared" si="228"/>
        <v>#N/A</v>
      </c>
      <c r="AU76" s="106"/>
      <c r="BF76" s="18">
        <f t="shared" si="250"/>
        <v>30</v>
      </c>
      <c r="BG76" s="12">
        <f t="shared" si="250"/>
        <v>45043</v>
      </c>
      <c r="BH76" s="109">
        <f t="shared" si="251"/>
        <v>27.045895287321372</v>
      </c>
      <c r="BI76" s="109">
        <f t="shared" si="251"/>
        <v>8</v>
      </c>
      <c r="BK76" s="106"/>
      <c r="BL76" s="106"/>
      <c r="BM76" s="18">
        <f t="shared" si="229"/>
        <v>28</v>
      </c>
      <c r="BN76" s="12">
        <f t="shared" si="229"/>
        <v>45029</v>
      </c>
      <c r="BO76" s="109">
        <f t="shared" si="230"/>
        <v>49.471698145332923</v>
      </c>
      <c r="BP76" s="109">
        <f t="shared" si="230"/>
        <v>30</v>
      </c>
      <c r="BR76" s="106"/>
      <c r="CB76" s="18" t="e">
        <f t="shared" si="176"/>
        <v>#N/A</v>
      </c>
      <c r="CC76" s="12" t="e">
        <f t="shared" si="176"/>
        <v>#N/A</v>
      </c>
      <c r="CD76" s="109" t="e">
        <f t="shared" si="177"/>
        <v>#N/A</v>
      </c>
      <c r="CE76" s="109" t="e">
        <f t="shared" si="177"/>
        <v>#N/A</v>
      </c>
      <c r="CH76" s="106"/>
      <c r="CI76" s="29" t="s">
        <v>17</v>
      </c>
      <c r="CJ76" s="28"/>
      <c r="CK76" s="28"/>
      <c r="CL76" s="27"/>
      <c r="CQ76" s="18" t="e">
        <f t="shared" si="178"/>
        <v>#N/A</v>
      </c>
      <c r="CR76" s="12" t="e">
        <f t="shared" si="178"/>
        <v>#N/A</v>
      </c>
      <c r="CS76" s="109" t="e">
        <f t="shared" si="179"/>
        <v>#N/A</v>
      </c>
      <c r="CT76" s="109" t="e">
        <f t="shared" si="179"/>
        <v>#N/A</v>
      </c>
      <c r="CV76" s="106"/>
      <c r="DF76" s="18" t="e">
        <f t="shared" si="180"/>
        <v>#N/A</v>
      </c>
      <c r="DG76" s="12" t="e">
        <f t="shared" si="180"/>
        <v>#N/A</v>
      </c>
      <c r="DH76" s="109" t="e">
        <f t="shared" si="181"/>
        <v>#N/A</v>
      </c>
      <c r="DI76" s="109" t="e">
        <f t="shared" si="181"/>
        <v>#N/A</v>
      </c>
      <c r="DK76" s="106"/>
      <c r="DL76" s="106"/>
      <c r="DU76" s="18" t="e">
        <f t="shared" si="182"/>
        <v>#N/A</v>
      </c>
      <c r="DV76" s="12" t="e">
        <f t="shared" si="182"/>
        <v>#N/A</v>
      </c>
      <c r="DW76" s="109" t="e">
        <f t="shared" si="183"/>
        <v>#N/A</v>
      </c>
      <c r="DX76" s="109" t="e">
        <f t="shared" si="183"/>
        <v>#N/A</v>
      </c>
      <c r="DZ76" s="106"/>
      <c r="EA76" s="106"/>
      <c r="EB76" s="12" t="e">
        <f t="shared" si="231"/>
        <v>#N/A</v>
      </c>
      <c r="EC76" s="12" t="e">
        <f t="shared" si="231"/>
        <v>#N/A</v>
      </c>
      <c r="ED76" s="109" t="e">
        <f t="shared" si="232"/>
        <v>#N/A</v>
      </c>
      <c r="EE76" s="109" t="e">
        <f t="shared" si="232"/>
        <v>#N/A</v>
      </c>
      <c r="EG76" s="106"/>
      <c r="EH76" s="106"/>
      <c r="EQ76" s="12" t="str">
        <f t="shared" si="184"/>
        <v>FY18-30</v>
      </c>
      <c r="ER76" s="12">
        <f t="shared" si="184"/>
        <v>43125</v>
      </c>
      <c r="ES76" s="109">
        <f t="shared" si="222"/>
        <v>16.030550110401929</v>
      </c>
      <c r="ET76" s="109">
        <f t="shared" si="222"/>
        <v>3</v>
      </c>
      <c r="EU76" s="106"/>
      <c r="EV76" s="106"/>
      <c r="EW76" s="106"/>
      <c r="FF76" s="12" t="str">
        <f t="shared" si="186"/>
        <v>FY19</v>
      </c>
      <c r="FG76" s="12">
        <f t="shared" si="186"/>
        <v>43489</v>
      </c>
      <c r="FH76" s="109">
        <f t="shared" si="223"/>
        <v>13.937889720898571</v>
      </c>
      <c r="FI76" s="109">
        <f t="shared" si="223"/>
        <v>3</v>
      </c>
      <c r="FK76" s="106"/>
      <c r="FL76" s="106"/>
      <c r="FM76" s="12" t="str">
        <f t="shared" si="233"/>
        <v>FY19</v>
      </c>
      <c r="FN76" s="12">
        <f t="shared" si="233"/>
        <v>43475</v>
      </c>
      <c r="FO76" s="109">
        <f t="shared" si="234"/>
        <v>112.3132386522568</v>
      </c>
      <c r="FP76" s="109">
        <f t="shared" si="234"/>
        <v>80</v>
      </c>
      <c r="FR76" s="106"/>
      <c r="FS76" s="106"/>
      <c r="GB76" s="12" t="str">
        <f t="shared" si="188"/>
        <v>FY20</v>
      </c>
      <c r="GC76" s="12">
        <f t="shared" si="188"/>
        <v>43853</v>
      </c>
      <c r="GD76" s="109">
        <f t="shared" si="224"/>
        <v>34.282351135590076</v>
      </c>
      <c r="GE76" s="109">
        <f t="shared" si="224"/>
        <v>20</v>
      </c>
      <c r="GG76" s="106"/>
      <c r="GH76" s="106"/>
      <c r="GI76" s="12" t="str">
        <f t="shared" si="235"/>
        <v>FY20</v>
      </c>
      <c r="GJ76" s="12">
        <f t="shared" si="235"/>
        <v>43839</v>
      </c>
      <c r="GK76" s="109">
        <f t="shared" si="236"/>
        <v>20.379060090352123</v>
      </c>
      <c r="GL76" s="109">
        <f t="shared" si="236"/>
        <v>8</v>
      </c>
      <c r="GN76" s="106"/>
      <c r="GO76" s="106"/>
      <c r="GX76" s="12" t="str">
        <f t="shared" si="190"/>
        <v>FY21</v>
      </c>
      <c r="GY76" s="12">
        <f t="shared" si="190"/>
        <v>44217</v>
      </c>
      <c r="GZ76" s="109">
        <f t="shared" si="225"/>
        <v>39.055239160839157</v>
      </c>
      <c r="HA76" s="109">
        <f t="shared" si="225"/>
        <v>20</v>
      </c>
      <c r="HC76" s="106"/>
      <c r="HD76" s="106"/>
      <c r="HM76" s="12" t="str">
        <f t="shared" si="192"/>
        <v>FY22</v>
      </c>
      <c r="HN76" s="12">
        <f t="shared" si="192"/>
        <v>44581</v>
      </c>
      <c r="HO76" s="109">
        <f t="shared" si="226"/>
        <v>23.312285071450287</v>
      </c>
      <c r="HP76" s="109">
        <f t="shared" si="226"/>
        <v>8</v>
      </c>
      <c r="HR76" s="106"/>
      <c r="HS76" s="106"/>
      <c r="HT76" s="12" t="str">
        <f t="shared" si="237"/>
        <v>FY22</v>
      </c>
      <c r="HU76" s="12">
        <f t="shared" si="237"/>
        <v>44567</v>
      </c>
      <c r="HV76" s="109">
        <f t="shared" si="238"/>
        <v>76.041502462754636</v>
      </c>
      <c r="HW76" s="109">
        <f t="shared" si="238"/>
        <v>60</v>
      </c>
      <c r="HY76" s="106"/>
      <c r="HZ76" s="106"/>
      <c r="II76" s="12" t="str">
        <f t="shared" si="239"/>
        <v>FY23</v>
      </c>
      <c r="IJ76" s="12">
        <f t="shared" si="240"/>
        <v>44812</v>
      </c>
      <c r="IK76" s="109">
        <f t="shared" si="241"/>
        <v>61.420572818485859</v>
      </c>
      <c r="IL76" s="109">
        <f t="shared" si="241"/>
        <v>40</v>
      </c>
      <c r="IN76" s="106"/>
      <c r="IO76" s="106"/>
      <c r="IP76" s="12" t="str">
        <f t="shared" si="244"/>
        <v>FY23</v>
      </c>
      <c r="IQ76" s="12">
        <f t="shared" si="244"/>
        <v>44798</v>
      </c>
      <c r="IR76" s="109">
        <f t="shared" si="245"/>
        <v>25.45458339920949</v>
      </c>
      <c r="IS76" s="109">
        <f t="shared" si="245"/>
        <v>8</v>
      </c>
      <c r="IU76" s="106"/>
      <c r="IV76" s="106"/>
      <c r="IW76" s="16" t="s">
        <v>169</v>
      </c>
      <c r="IX76" s="12">
        <v>44511</v>
      </c>
      <c r="IY76" s="103">
        <v>41533547.217999399</v>
      </c>
      <c r="IZ76" s="104">
        <v>20000000</v>
      </c>
      <c r="JE76" s="12" t="str">
        <f t="shared" si="242"/>
        <v>Since FY21</v>
      </c>
      <c r="JF76" s="12">
        <f t="shared" si="242"/>
        <v>44077</v>
      </c>
      <c r="JG76" s="109">
        <f t="shared" si="243"/>
        <v>40.517600243235023</v>
      </c>
      <c r="JH76" s="109">
        <f t="shared" si="243"/>
        <v>20</v>
      </c>
      <c r="JI76" s="109"/>
      <c r="JJ76" s="40"/>
      <c r="JL76" s="106"/>
      <c r="JM76" s="106"/>
      <c r="JN76" s="12" t="str">
        <f t="shared" si="246"/>
        <v>Since FY21</v>
      </c>
      <c r="JO76" s="12">
        <f t="shared" si="246"/>
        <v>44063</v>
      </c>
      <c r="JP76" s="109">
        <f t="shared" si="247"/>
        <v>18.946345758589239</v>
      </c>
      <c r="JQ76" s="109">
        <f t="shared" si="247"/>
        <v>3</v>
      </c>
      <c r="JR76" s="109" t="e">
        <f t="shared" si="248"/>
        <v>#N/A</v>
      </c>
      <c r="JS76" s="109" t="e">
        <f t="shared" si="248"/>
        <v>#N/A</v>
      </c>
      <c r="JT76" s="109">
        <f t="shared" si="249"/>
        <v>92.706000000000003</v>
      </c>
      <c r="JU76" s="40">
        <v>70</v>
      </c>
      <c r="JW76" s="106"/>
      <c r="JX76" s="106"/>
      <c r="NI76" s="12" t="str">
        <f t="shared" si="198"/>
        <v>FY18</v>
      </c>
      <c r="NJ76" s="12">
        <f t="shared" si="194"/>
        <v>43041</v>
      </c>
      <c r="NK76" s="109">
        <f t="shared" si="199"/>
        <v>16.118189999999998</v>
      </c>
      <c r="NL76" s="109">
        <f t="shared" si="195"/>
        <v>6</v>
      </c>
      <c r="NN76" s="106"/>
      <c r="NX76" s="12" t="str">
        <f t="shared" si="200"/>
        <v>FY19</v>
      </c>
      <c r="NY76" s="12">
        <f t="shared" si="196"/>
        <v>43412</v>
      </c>
      <c r="NZ76" s="109">
        <f t="shared" si="201"/>
        <v>69.371610000000004</v>
      </c>
      <c r="OA76" s="109">
        <f t="shared" si="197"/>
        <v>60</v>
      </c>
      <c r="OC76" s="106"/>
    </row>
    <row r="77" spans="6:393" x14ac:dyDescent="0.25">
      <c r="F77" s="5"/>
      <c r="G77" s="5"/>
      <c r="H77" s="5"/>
      <c r="I77" s="5"/>
      <c r="M77" s="5" t="str" cm="1">
        <f t="array" ref="M77">LOOKUP(2,1/($G$19:$G$35&lt;=$V77)/($H$19:$H$35&gt;=$V77),$F$19:$F$35)</f>
        <v>2H18</v>
      </c>
      <c r="N77" s="5" t="str" cm="1">
        <f t="array" ref="N77">LOOKUP(2,1/($G$8:$G$16&lt;=$V77)/($H$8:$H$16&gt;=$V77),$F$8:$F$16)</f>
        <v>FY18</v>
      </c>
      <c r="O77" s="5" t="str">
        <f>IFERROR(N77&amp;"-"&amp;COUNTIF($N$19:N77,N77),NA())</f>
        <v>FY18-47</v>
      </c>
      <c r="P77" s="5">
        <f>COUNTIF(V$19:V77,"&gt;="&amp;MAX($V:$V)-183)</f>
        <v>0</v>
      </c>
      <c r="Q77" s="5">
        <f>COUNTIF(V$19:V77,"&gt;="&amp;MAX($V:$V)-365)</f>
        <v>0</v>
      </c>
      <c r="R77" s="5" cm="1">
        <f t="array" ref="R77">LOOKUP(2,1/($G$46:$G$50&lt;=$V77)/($H$46:$H$50&gt;=$V77),$F$46:$F$50)</f>
        <v>0</v>
      </c>
      <c r="S77" s="5" cm="1">
        <f t="array" ref="S77">LOOKUP(2,1/($G$53:$G$56&lt;=$V77)/($H$53:$H$56&gt;=$V77),$F$53:$F$56)</f>
        <v>0</v>
      </c>
      <c r="T77" s="5" t="e">
        <f>IFERROR(IF($R77&gt;0,$R77&amp;"-"&amp;COUNTIF($R$19:$R77,$R77),NA()),NA())</f>
        <v>#N/A</v>
      </c>
      <c r="U77" s="5" t="e">
        <f>IFERROR(IF($S77&gt;0,$S77&amp;"-"&amp;COUNTIF($S$19:$S77,$S77),NA()),NA())</f>
        <v>#N/A</v>
      </c>
      <c r="V77" s="10">
        <v>43244</v>
      </c>
      <c r="W77" s="101">
        <v>36432706.166560702</v>
      </c>
      <c r="X77" s="101">
        <v>43803042.624055937</v>
      </c>
      <c r="Y77" s="102">
        <v>30000000</v>
      </c>
      <c r="AI77" s="18"/>
      <c r="AJ77" s="12"/>
      <c r="AK77" s="109"/>
      <c r="AL77" s="109"/>
      <c r="AN77" s="106"/>
      <c r="AO77" s="106"/>
      <c r="AP77" s="18" t="e">
        <f t="shared" si="227"/>
        <v>#N/A</v>
      </c>
      <c r="AQ77" s="12" t="e">
        <f t="shared" si="227"/>
        <v>#N/A</v>
      </c>
      <c r="AR77" s="109" t="e">
        <f t="shared" si="228"/>
        <v>#N/A</v>
      </c>
      <c r="AS77" s="109" t="e">
        <f t="shared" si="228"/>
        <v>#N/A</v>
      </c>
      <c r="AU77" s="106"/>
      <c r="BF77" s="18">
        <f t="shared" si="250"/>
        <v>31</v>
      </c>
      <c r="BG77" s="12">
        <f t="shared" si="250"/>
        <v>45050</v>
      </c>
      <c r="BH77" s="109">
        <f t="shared" si="251"/>
        <v>41.813564487686222</v>
      </c>
      <c r="BI77" s="109">
        <f t="shared" si="251"/>
        <v>20</v>
      </c>
      <c r="BK77" s="106"/>
      <c r="BL77" s="106"/>
      <c r="BM77" s="18">
        <f t="shared" si="229"/>
        <v>29</v>
      </c>
      <c r="BN77" s="12">
        <f t="shared" si="229"/>
        <v>45036</v>
      </c>
      <c r="BO77" s="109">
        <f t="shared" si="230"/>
        <v>21.741040681058067</v>
      </c>
      <c r="BP77" s="109">
        <f t="shared" si="230"/>
        <v>4</v>
      </c>
      <c r="BR77" s="106"/>
      <c r="CB77" s="18" t="e">
        <f t="shared" si="176"/>
        <v>#N/A</v>
      </c>
      <c r="CC77" s="12" t="e">
        <f t="shared" si="176"/>
        <v>#N/A</v>
      </c>
      <c r="CD77" s="109" t="e">
        <f t="shared" si="177"/>
        <v>#N/A</v>
      </c>
      <c r="CE77" s="109" t="e">
        <f t="shared" si="177"/>
        <v>#N/A</v>
      </c>
      <c r="CG77" s="106"/>
      <c r="CH77" s="106"/>
      <c r="CI77" s="26"/>
      <c r="CJ77" s="25" t="s">
        <v>16</v>
      </c>
      <c r="CK77" s="25" t="s">
        <v>15</v>
      </c>
      <c r="CL77" s="24" t="s">
        <v>14</v>
      </c>
      <c r="CQ77" s="18" t="e">
        <f t="shared" si="178"/>
        <v>#N/A</v>
      </c>
      <c r="CR77" s="12" t="e">
        <f t="shared" si="178"/>
        <v>#N/A</v>
      </c>
      <c r="CS77" s="109" t="e">
        <f t="shared" si="179"/>
        <v>#N/A</v>
      </c>
      <c r="CT77" s="109" t="e">
        <f t="shared" si="179"/>
        <v>#N/A</v>
      </c>
      <c r="CV77" s="106"/>
      <c r="DF77" s="18" t="e">
        <f t="shared" si="180"/>
        <v>#N/A</v>
      </c>
      <c r="DG77" s="12" t="e">
        <f t="shared" si="180"/>
        <v>#N/A</v>
      </c>
      <c r="DH77" s="109" t="e">
        <f t="shared" si="181"/>
        <v>#N/A</v>
      </c>
      <c r="DI77" s="109" t="e">
        <f t="shared" si="181"/>
        <v>#N/A</v>
      </c>
      <c r="DK77" s="106"/>
      <c r="DL77" s="106"/>
      <c r="DU77" s="18" t="e">
        <f t="shared" si="182"/>
        <v>#N/A</v>
      </c>
      <c r="DV77" s="12" t="e">
        <f t="shared" si="182"/>
        <v>#N/A</v>
      </c>
      <c r="DW77" s="109" t="e">
        <f t="shared" si="183"/>
        <v>#N/A</v>
      </c>
      <c r="DX77" s="109" t="e">
        <f t="shared" si="183"/>
        <v>#N/A</v>
      </c>
      <c r="DZ77" s="106"/>
      <c r="EA77" s="106"/>
      <c r="EB77" s="12" t="e">
        <f t="shared" si="231"/>
        <v>#N/A</v>
      </c>
      <c r="EC77" s="12" t="e">
        <f t="shared" si="231"/>
        <v>#N/A</v>
      </c>
      <c r="ED77" s="109" t="e">
        <f t="shared" si="232"/>
        <v>#N/A</v>
      </c>
      <c r="EE77" s="109" t="e">
        <f t="shared" si="232"/>
        <v>#N/A</v>
      </c>
      <c r="EG77" s="106"/>
      <c r="EH77" s="106"/>
      <c r="EQ77" s="12" t="str">
        <f t="shared" si="184"/>
        <v>FY18-31</v>
      </c>
      <c r="ER77" s="12">
        <f t="shared" si="184"/>
        <v>43132</v>
      </c>
      <c r="ES77" s="109">
        <f t="shared" si="222"/>
        <v>12.84580488528549</v>
      </c>
      <c r="ET77" s="109">
        <f t="shared" si="222"/>
        <v>3</v>
      </c>
      <c r="EU77" s="106"/>
      <c r="EV77" s="106"/>
      <c r="EW77" s="106"/>
      <c r="FF77" s="12" t="str">
        <f t="shared" si="186"/>
        <v>FY19</v>
      </c>
      <c r="FG77" s="12">
        <f t="shared" si="186"/>
        <v>43496</v>
      </c>
      <c r="FH77" s="109">
        <f t="shared" si="223"/>
        <v>18.140342842997711</v>
      </c>
      <c r="FI77" s="109">
        <f t="shared" si="223"/>
        <v>8</v>
      </c>
      <c r="FK77" s="106"/>
      <c r="FL77" s="106"/>
      <c r="FM77" s="12" t="e">
        <f t="shared" si="233"/>
        <v>#N/A</v>
      </c>
      <c r="FN77" s="12" t="e">
        <f t="shared" si="233"/>
        <v>#N/A</v>
      </c>
      <c r="FO77" s="109" t="e">
        <f t="shared" si="234"/>
        <v>#N/A</v>
      </c>
      <c r="FP77" s="109" t="e">
        <f t="shared" si="234"/>
        <v>#N/A</v>
      </c>
      <c r="FR77" s="106"/>
      <c r="FS77" s="106"/>
      <c r="GB77" s="12" t="str">
        <f t="shared" si="188"/>
        <v>FY20</v>
      </c>
      <c r="GC77" s="12">
        <f t="shared" si="188"/>
        <v>43860</v>
      </c>
      <c r="GD77" s="109">
        <f t="shared" si="224"/>
        <v>45.674629370629361</v>
      </c>
      <c r="GE77" s="109">
        <f t="shared" si="224"/>
        <v>40</v>
      </c>
      <c r="GG77" s="106"/>
      <c r="GH77" s="106"/>
      <c r="GI77" s="12" t="str">
        <f t="shared" si="235"/>
        <v>FY20</v>
      </c>
      <c r="GJ77" s="12">
        <f t="shared" si="235"/>
        <v>43846</v>
      </c>
      <c r="GK77" s="109">
        <f t="shared" si="236"/>
        <v>25.817218392227243</v>
      </c>
      <c r="GL77" s="109">
        <f t="shared" si="236"/>
        <v>12</v>
      </c>
      <c r="GN77" s="106"/>
      <c r="GO77" s="106"/>
      <c r="GX77" s="12" t="str">
        <f t="shared" si="190"/>
        <v>FY21</v>
      </c>
      <c r="GY77" s="12">
        <f t="shared" si="190"/>
        <v>44224</v>
      </c>
      <c r="GZ77" s="109">
        <f t="shared" si="225"/>
        <v>22.19027935542718</v>
      </c>
      <c r="HA77" s="109">
        <f t="shared" si="225"/>
        <v>8</v>
      </c>
      <c r="HC77" s="106"/>
      <c r="HD77" s="106"/>
      <c r="HM77" s="12" t="str">
        <f t="shared" si="192"/>
        <v>FY22</v>
      </c>
      <c r="HN77" s="12">
        <f t="shared" si="192"/>
        <v>44588</v>
      </c>
      <c r="HO77" s="109">
        <f t="shared" si="226"/>
        <v>34.469990878686531</v>
      </c>
      <c r="HP77" s="109">
        <f t="shared" si="226"/>
        <v>20</v>
      </c>
      <c r="HR77" s="106"/>
      <c r="HS77" s="106"/>
      <c r="HT77" s="12" t="str">
        <f t="shared" si="237"/>
        <v>FY22</v>
      </c>
      <c r="HU77" s="12">
        <f t="shared" si="237"/>
        <v>44574</v>
      </c>
      <c r="HV77" s="109">
        <f t="shared" si="238"/>
        <v>18.115088355123142</v>
      </c>
      <c r="HW77" s="109">
        <f t="shared" si="238"/>
        <v>3</v>
      </c>
      <c r="HY77" s="106"/>
      <c r="HZ77" s="106"/>
      <c r="II77" s="12" t="str">
        <f t="shared" si="239"/>
        <v>FY23</v>
      </c>
      <c r="IJ77" s="12">
        <f t="shared" si="240"/>
        <v>44819</v>
      </c>
      <c r="IK77" s="109">
        <f t="shared" si="241"/>
        <v>25.008818485861962</v>
      </c>
      <c r="IL77" s="109">
        <f t="shared" si="241"/>
        <v>8</v>
      </c>
      <c r="IN77" s="106"/>
      <c r="IO77" s="106"/>
      <c r="IP77" s="12" t="str">
        <f t="shared" si="244"/>
        <v>FY23</v>
      </c>
      <c r="IQ77" s="12">
        <f t="shared" si="244"/>
        <v>44805</v>
      </c>
      <c r="IR77" s="109">
        <f t="shared" si="245"/>
        <v>39.743730009121315</v>
      </c>
      <c r="IS77" s="109">
        <f t="shared" si="245"/>
        <v>20</v>
      </c>
      <c r="IU77" s="106"/>
      <c r="IV77" s="106"/>
      <c r="IW77" s="16" t="s">
        <v>169</v>
      </c>
      <c r="IX77" s="12">
        <v>44518</v>
      </c>
      <c r="IY77" s="103">
        <v>57357794.101550631</v>
      </c>
      <c r="IZ77" s="104">
        <v>40000000</v>
      </c>
      <c r="JE77" s="12" t="str">
        <f t="shared" si="242"/>
        <v>Since FY21</v>
      </c>
      <c r="JF77" s="12">
        <f t="shared" si="242"/>
        <v>44084</v>
      </c>
      <c r="JG77" s="109">
        <f t="shared" si="243"/>
        <v>59.511774764366059</v>
      </c>
      <c r="JH77" s="109">
        <f t="shared" si="243"/>
        <v>40</v>
      </c>
      <c r="JI77" s="109"/>
      <c r="JJ77" s="40"/>
      <c r="JL77" s="106"/>
      <c r="JM77" s="106"/>
      <c r="JN77" s="12" t="str">
        <f t="shared" si="246"/>
        <v>Since FY21</v>
      </c>
      <c r="JO77" s="12">
        <f t="shared" si="246"/>
        <v>44070</v>
      </c>
      <c r="JP77" s="109">
        <f t="shared" si="247"/>
        <v>26.767640012161749</v>
      </c>
      <c r="JQ77" s="109">
        <f t="shared" si="247"/>
        <v>8</v>
      </c>
      <c r="JR77" s="109" t="e">
        <f t="shared" si="248"/>
        <v>#N/A</v>
      </c>
      <c r="JS77" s="109" t="e">
        <f t="shared" si="248"/>
        <v>#N/A</v>
      </c>
      <c r="JT77" s="109">
        <f t="shared" si="249"/>
        <v>103.545</v>
      </c>
      <c r="JU77" s="40">
        <v>80</v>
      </c>
      <c r="JW77" s="106"/>
      <c r="JX77" s="106"/>
      <c r="NI77" s="12" t="str">
        <f t="shared" si="198"/>
        <v>FY18</v>
      </c>
      <c r="NJ77" s="12">
        <f t="shared" si="194"/>
        <v>43048</v>
      </c>
      <c r="NK77" s="109">
        <f t="shared" si="199"/>
        <v>13.037419999999999</v>
      </c>
      <c r="NL77" s="109">
        <f t="shared" si="195"/>
        <v>3</v>
      </c>
      <c r="NN77" s="106"/>
      <c r="NX77" s="12" t="str">
        <f t="shared" si="200"/>
        <v>FY19</v>
      </c>
      <c r="NY77" s="12">
        <f t="shared" si="196"/>
        <v>43419</v>
      </c>
      <c r="NZ77" s="109">
        <f t="shared" si="201"/>
        <v>13.565772000000001</v>
      </c>
      <c r="OA77" s="109">
        <f t="shared" si="197"/>
        <v>3</v>
      </c>
      <c r="OC77" s="106"/>
    </row>
    <row r="78" spans="6:393" x14ac:dyDescent="0.25">
      <c r="F78" s="5"/>
      <c r="G78" s="5"/>
      <c r="H78" s="5"/>
      <c r="I78" s="5"/>
      <c r="M78" s="5" t="str" cm="1">
        <f t="array" ref="M78">LOOKUP(2,1/($G$19:$G$35&lt;=$V78)/($H$19:$H$35&gt;=$V78),$F$19:$F$35)</f>
        <v>2H18</v>
      </c>
      <c r="N78" s="5" t="str" cm="1">
        <f t="array" ref="N78">LOOKUP(2,1/($G$8:$G$16&lt;=$V78)/($H$8:$H$16&gt;=$V78),$F$8:$F$16)</f>
        <v>FY18</v>
      </c>
      <c r="O78" s="5" t="str">
        <f>IFERROR(N78&amp;"-"&amp;COUNTIF($N$19:N78,N78),NA())</f>
        <v>FY18-48</v>
      </c>
      <c r="P78" s="5">
        <f>COUNTIF(V$19:V78,"&gt;="&amp;MAX($V:$V)-183)</f>
        <v>0</v>
      </c>
      <c r="Q78" s="5">
        <f>COUNTIF(V$19:V78,"&gt;="&amp;MAX($V:$V)-365)</f>
        <v>0</v>
      </c>
      <c r="R78" s="5" cm="1">
        <f t="array" ref="R78">LOOKUP(2,1/($G$46:$G$50&lt;=$V78)/($H$46:$H$50&gt;=$V78),$F$46:$F$50)</f>
        <v>0</v>
      </c>
      <c r="S78" s="5" cm="1">
        <f t="array" ref="S78">LOOKUP(2,1/($G$53:$G$56&lt;=$V78)/($H$53:$H$56&gt;=$V78),$F$53:$F$56)</f>
        <v>0</v>
      </c>
      <c r="T78" s="5" t="e">
        <f>IFERROR(IF($R78&gt;0,$R78&amp;"-"&amp;COUNTIF($R$19:$R78,$R78),NA()),NA())</f>
        <v>#N/A</v>
      </c>
      <c r="U78" s="5" t="e">
        <f>IFERROR(IF($S78&gt;0,$S78&amp;"-"&amp;COUNTIF($S$19:$S78,$S78),NA()),NA())</f>
        <v>#N/A</v>
      </c>
      <c r="V78" s="10">
        <v>43251</v>
      </c>
      <c r="W78" s="101">
        <v>46219221.614748873</v>
      </c>
      <c r="X78" s="101">
        <v>55569370.147412576</v>
      </c>
      <c r="Y78" s="102">
        <v>40000000</v>
      </c>
      <c r="AI78" s="18"/>
      <c r="AJ78" s="12"/>
      <c r="AK78" s="109"/>
      <c r="AL78" s="109"/>
      <c r="AN78" s="106"/>
      <c r="AO78" s="106"/>
      <c r="AP78" s="18" t="e">
        <f t="shared" si="227"/>
        <v>#N/A</v>
      </c>
      <c r="AQ78" s="12" t="e">
        <f t="shared" si="227"/>
        <v>#N/A</v>
      </c>
      <c r="AR78" s="109" t="e">
        <f t="shared" si="228"/>
        <v>#N/A</v>
      </c>
      <c r="AS78" s="109" t="e">
        <f t="shared" si="228"/>
        <v>#N/A</v>
      </c>
      <c r="AU78" s="106"/>
      <c r="BF78" s="18">
        <f t="shared" si="250"/>
        <v>32</v>
      </c>
      <c r="BG78" s="12">
        <f t="shared" si="250"/>
        <v>45057</v>
      </c>
      <c r="BH78" s="109">
        <f t="shared" si="251"/>
        <v>19.348700760109455</v>
      </c>
      <c r="BI78" s="109">
        <f t="shared" si="251"/>
        <v>4</v>
      </c>
      <c r="BK78" s="106"/>
      <c r="BL78" s="106"/>
      <c r="BM78" s="18">
        <f t="shared" si="229"/>
        <v>30</v>
      </c>
      <c r="BN78" s="12">
        <f t="shared" si="229"/>
        <v>45043</v>
      </c>
      <c r="BO78" s="109">
        <f t="shared" si="230"/>
        <v>27.045895287321372</v>
      </c>
      <c r="BP78" s="109">
        <f t="shared" si="230"/>
        <v>8</v>
      </c>
      <c r="BR78" s="106"/>
      <c r="CB78" s="18" t="e">
        <f t="shared" si="176"/>
        <v>#N/A</v>
      </c>
      <c r="CC78" s="12" t="e">
        <f t="shared" si="176"/>
        <v>#N/A</v>
      </c>
      <c r="CD78" s="109" t="e">
        <f t="shared" si="177"/>
        <v>#N/A</v>
      </c>
      <c r="CE78" s="109" t="e">
        <f t="shared" si="177"/>
        <v>#N/A</v>
      </c>
      <c r="CG78" s="106"/>
      <c r="CH78" s="106"/>
      <c r="CI78" s="23" t="s">
        <v>13</v>
      </c>
      <c r="CJ78" s="2">
        <v>234</v>
      </c>
      <c r="CK78" s="2">
        <v>140</v>
      </c>
      <c r="CL78" s="22">
        <f>CK78/CJ78-1</f>
        <v>-0.40170940170940173</v>
      </c>
      <c r="CQ78" s="18" t="e">
        <f t="shared" si="178"/>
        <v>#N/A</v>
      </c>
      <c r="CR78" s="12" t="e">
        <f t="shared" si="178"/>
        <v>#N/A</v>
      </c>
      <c r="CS78" s="109" t="e">
        <f t="shared" si="179"/>
        <v>#N/A</v>
      </c>
      <c r="CT78" s="109" t="e">
        <f t="shared" si="179"/>
        <v>#N/A</v>
      </c>
      <c r="CV78" s="106"/>
      <c r="DF78" s="18" t="e">
        <f t="shared" si="180"/>
        <v>#N/A</v>
      </c>
      <c r="DG78" s="12" t="e">
        <f t="shared" si="180"/>
        <v>#N/A</v>
      </c>
      <c r="DH78" s="109" t="e">
        <f t="shared" si="181"/>
        <v>#N/A</v>
      </c>
      <c r="DI78" s="109" t="e">
        <f t="shared" si="181"/>
        <v>#N/A</v>
      </c>
      <c r="DK78" s="106"/>
      <c r="DL78" s="106"/>
      <c r="DU78" s="18" t="e">
        <f t="shared" si="182"/>
        <v>#N/A</v>
      </c>
      <c r="DV78" s="12" t="e">
        <f t="shared" si="182"/>
        <v>#N/A</v>
      </c>
      <c r="DW78" s="109" t="e">
        <f t="shared" si="183"/>
        <v>#N/A</v>
      </c>
      <c r="DX78" s="109" t="e">
        <f t="shared" si="183"/>
        <v>#N/A</v>
      </c>
      <c r="DZ78" s="106"/>
      <c r="EA78" s="106"/>
      <c r="EB78" s="12" t="e">
        <f t="shared" si="231"/>
        <v>#N/A</v>
      </c>
      <c r="EC78" s="12" t="e">
        <f t="shared" si="231"/>
        <v>#N/A</v>
      </c>
      <c r="ED78" s="109" t="e">
        <f t="shared" si="232"/>
        <v>#N/A</v>
      </c>
      <c r="EE78" s="109" t="e">
        <f t="shared" si="232"/>
        <v>#N/A</v>
      </c>
      <c r="EG78" s="106"/>
      <c r="EH78" s="106"/>
      <c r="EQ78" s="12" t="str">
        <f t="shared" si="184"/>
        <v>FY18-32</v>
      </c>
      <c r="ER78" s="12">
        <f t="shared" si="184"/>
        <v>43139</v>
      </c>
      <c r="ES78" s="109">
        <f t="shared" si="222"/>
        <v>16.219147414179748</v>
      </c>
      <c r="ET78" s="109">
        <f t="shared" si="222"/>
        <v>6</v>
      </c>
      <c r="EU78" s="106"/>
      <c r="EV78" s="106"/>
      <c r="EW78" s="106"/>
      <c r="FF78" s="12" t="str">
        <f t="shared" si="186"/>
        <v>FY19</v>
      </c>
      <c r="FG78" s="12">
        <f t="shared" si="186"/>
        <v>43503</v>
      </c>
      <c r="FH78" s="109">
        <f t="shared" si="223"/>
        <v>25.118955133362217</v>
      </c>
      <c r="FI78" s="109">
        <f t="shared" si="223"/>
        <v>12</v>
      </c>
      <c r="FK78" s="106"/>
      <c r="FL78" s="106"/>
      <c r="FM78" s="12" t="str">
        <f t="shared" si="233"/>
        <v>FY19</v>
      </c>
      <c r="FN78" s="12">
        <f t="shared" si="233"/>
        <v>43489</v>
      </c>
      <c r="FO78" s="109">
        <f t="shared" si="234"/>
        <v>13.937889720898571</v>
      </c>
      <c r="FP78" s="109">
        <f t="shared" si="234"/>
        <v>3</v>
      </c>
      <c r="FR78" s="106"/>
      <c r="FS78" s="106"/>
      <c r="GB78" s="12" t="str">
        <f t="shared" si="188"/>
        <v>FY20</v>
      </c>
      <c r="GC78" s="12">
        <f t="shared" si="188"/>
        <v>43867</v>
      </c>
      <c r="GD78" s="109">
        <f t="shared" si="224"/>
        <v>67.313625100563158</v>
      </c>
      <c r="GE78" s="109">
        <f t="shared" si="224"/>
        <v>60</v>
      </c>
      <c r="GG78" s="106"/>
      <c r="GH78" s="106"/>
      <c r="GI78" s="12" t="str">
        <f t="shared" si="235"/>
        <v>FY20</v>
      </c>
      <c r="GJ78" s="12">
        <f t="shared" si="235"/>
        <v>43853</v>
      </c>
      <c r="GK78" s="109">
        <f t="shared" si="236"/>
        <v>34.282351135590076</v>
      </c>
      <c r="GL78" s="109">
        <f t="shared" si="236"/>
        <v>20</v>
      </c>
      <c r="GN78" s="106"/>
      <c r="GO78" s="106"/>
      <c r="GX78" s="12" t="str">
        <f t="shared" si="190"/>
        <v>FY21</v>
      </c>
      <c r="GY78" s="12">
        <f t="shared" si="190"/>
        <v>44231</v>
      </c>
      <c r="GZ78" s="109">
        <f t="shared" si="225"/>
        <v>36.953457707509884</v>
      </c>
      <c r="HA78" s="109">
        <f t="shared" si="225"/>
        <v>20</v>
      </c>
      <c r="HC78" s="106"/>
      <c r="HD78" s="106"/>
      <c r="HM78" s="12" t="str">
        <f t="shared" si="192"/>
        <v>FY22</v>
      </c>
      <c r="HN78" s="12">
        <f t="shared" si="192"/>
        <v>44595</v>
      </c>
      <c r="HO78" s="109">
        <f t="shared" si="226"/>
        <v>56.254159197324419</v>
      </c>
      <c r="HP78" s="109">
        <f t="shared" si="226"/>
        <v>40</v>
      </c>
      <c r="HR78" s="106"/>
      <c r="HS78" s="106"/>
      <c r="HT78" s="12" t="str">
        <f t="shared" si="237"/>
        <v>FY22</v>
      </c>
      <c r="HU78" s="12">
        <f t="shared" si="237"/>
        <v>44581</v>
      </c>
      <c r="HV78" s="109">
        <f t="shared" si="238"/>
        <v>23.312285071450287</v>
      </c>
      <c r="HW78" s="109">
        <f t="shared" si="238"/>
        <v>8</v>
      </c>
      <c r="HY78" s="106"/>
      <c r="HZ78" s="106"/>
      <c r="II78" s="12" t="str">
        <f t="shared" si="239"/>
        <v>FY23</v>
      </c>
      <c r="IJ78" s="12">
        <f t="shared" si="240"/>
        <v>44826</v>
      </c>
      <c r="IK78" s="109">
        <f t="shared" si="241"/>
        <v>22.65982973548191</v>
      </c>
      <c r="IL78" s="109">
        <f t="shared" si="241"/>
        <v>8</v>
      </c>
      <c r="IN78" s="106"/>
      <c r="IO78" s="106"/>
      <c r="IP78" s="12" t="str">
        <f t="shared" si="244"/>
        <v>FY23</v>
      </c>
      <c r="IQ78" s="12">
        <f t="shared" si="244"/>
        <v>44812</v>
      </c>
      <c r="IR78" s="109">
        <f t="shared" si="245"/>
        <v>61.420572818485859</v>
      </c>
      <c r="IS78" s="109">
        <f t="shared" si="245"/>
        <v>40</v>
      </c>
      <c r="IU78" s="106"/>
      <c r="IV78" s="106"/>
      <c r="IW78" s="16" t="s">
        <v>169</v>
      </c>
      <c r="IX78" s="12">
        <v>44525</v>
      </c>
      <c r="IY78" s="103">
        <v>81402100.334448159</v>
      </c>
      <c r="IZ78" s="104">
        <v>60000000</v>
      </c>
      <c r="JE78" s="12" t="str">
        <f t="shared" si="242"/>
        <v>Since FY21</v>
      </c>
      <c r="JF78" s="12">
        <f t="shared" si="242"/>
        <v>44091</v>
      </c>
      <c r="JG78" s="109">
        <f t="shared" si="243"/>
        <v>82.205458680449993</v>
      </c>
      <c r="JH78" s="109">
        <f t="shared" si="243"/>
        <v>60</v>
      </c>
      <c r="JI78" s="109"/>
      <c r="JJ78" s="40"/>
      <c r="JL78" s="106"/>
      <c r="JM78" s="106"/>
      <c r="JN78" s="12" t="str">
        <f t="shared" si="246"/>
        <v>Since FY21</v>
      </c>
      <c r="JO78" s="12">
        <f t="shared" si="246"/>
        <v>44077</v>
      </c>
      <c r="JP78" s="109">
        <f t="shared" si="247"/>
        <v>40.517600243235023</v>
      </c>
      <c r="JQ78" s="109">
        <f t="shared" si="247"/>
        <v>20</v>
      </c>
      <c r="JR78" s="109" t="e">
        <f t="shared" si="248"/>
        <v>#N/A</v>
      </c>
      <c r="JS78" s="109" t="e">
        <f t="shared" si="248"/>
        <v>#N/A</v>
      </c>
      <c r="JT78" s="109">
        <f t="shared" si="249"/>
        <v>114.384</v>
      </c>
      <c r="JU78" s="40">
        <v>90</v>
      </c>
      <c r="JW78" s="106"/>
      <c r="JX78" s="106"/>
      <c r="NI78" s="12" t="str">
        <f t="shared" si="198"/>
        <v>FY18</v>
      </c>
      <c r="NJ78" s="12">
        <f t="shared" si="194"/>
        <v>43055</v>
      </c>
      <c r="NK78" s="109">
        <f t="shared" si="199"/>
        <v>17.39518</v>
      </c>
      <c r="NL78" s="109">
        <f t="shared" si="195"/>
        <v>6</v>
      </c>
      <c r="NN78" s="106"/>
      <c r="NX78" s="12" t="str">
        <f t="shared" si="200"/>
        <v>FY19</v>
      </c>
      <c r="NY78" s="12">
        <f t="shared" si="196"/>
        <v>43426</v>
      </c>
      <c r="NZ78" s="109">
        <f t="shared" si="201"/>
        <v>13.172082</v>
      </c>
      <c r="OA78" s="109">
        <f t="shared" si="197"/>
        <v>3</v>
      </c>
      <c r="OC78" s="106"/>
    </row>
    <row r="79" spans="6:393" x14ac:dyDescent="0.25">
      <c r="F79" s="5"/>
      <c r="G79" s="5"/>
      <c r="H79" s="5"/>
      <c r="I79" s="5"/>
      <c r="M79" s="5" t="str" cm="1">
        <f t="array" ref="M79">LOOKUP(2,1/($G$19:$G$35&lt;=$V79)/($H$19:$H$35&gt;=$V79),$F$19:$F$35)</f>
        <v>2H18</v>
      </c>
      <c r="N79" s="5" t="str" cm="1">
        <f t="array" ref="N79">LOOKUP(2,1/($G$8:$G$16&lt;=$V79)/($H$8:$H$16&gt;=$V79),$F$8:$F$16)</f>
        <v>FY18</v>
      </c>
      <c r="O79" s="5" t="str">
        <f>IFERROR(N79&amp;"-"&amp;COUNTIF($N$19:N79,N79),NA())</f>
        <v>FY18-49</v>
      </c>
      <c r="P79" s="5">
        <f>COUNTIF(V$19:V79,"&gt;="&amp;MAX($V:$V)-183)</f>
        <v>0</v>
      </c>
      <c r="Q79" s="5">
        <f>COUNTIF(V$19:V79,"&gt;="&amp;MAX($V:$V)-365)</f>
        <v>0</v>
      </c>
      <c r="R79" s="5" cm="1">
        <f t="array" ref="R79">LOOKUP(2,1/($G$46:$G$50&lt;=$V79)/($H$46:$H$50&gt;=$V79),$F$46:$F$50)</f>
        <v>0</v>
      </c>
      <c r="S79" s="5" cm="1">
        <f t="array" ref="S79">LOOKUP(2,1/($G$53:$G$56&lt;=$V79)/($H$53:$H$56&gt;=$V79),$F$53:$F$56)</f>
        <v>0</v>
      </c>
      <c r="T79" s="5" t="e">
        <f>IFERROR(IF($R79&gt;0,$R79&amp;"-"&amp;COUNTIF($R$19:$R79,$R79),NA()),NA())</f>
        <v>#N/A</v>
      </c>
      <c r="U79" s="5" t="e">
        <f>IFERROR(IF($S79&gt;0,$S79&amp;"-"&amp;COUNTIF($S$19:$S79,$S79),NA()),NA())</f>
        <v>#N/A</v>
      </c>
      <c r="V79" s="10">
        <v>43258</v>
      </c>
      <c r="W79" s="101">
        <v>56921146.598855674</v>
      </c>
      <c r="X79" s="101">
        <v>68436294.555804178</v>
      </c>
      <c r="Y79" s="102">
        <v>50000000</v>
      </c>
      <c r="AI79" s="18"/>
      <c r="AJ79" s="12"/>
      <c r="AK79" s="109"/>
      <c r="AL79" s="109"/>
      <c r="AN79" s="106"/>
      <c r="AO79" s="106"/>
      <c r="AP79" s="18" t="e">
        <f t="shared" si="227"/>
        <v>#N/A</v>
      </c>
      <c r="AQ79" s="12" t="e">
        <f t="shared" si="227"/>
        <v>#N/A</v>
      </c>
      <c r="AR79" s="109" t="e">
        <f t="shared" si="228"/>
        <v>#N/A</v>
      </c>
      <c r="AS79" s="109" t="e">
        <f t="shared" si="228"/>
        <v>#N/A</v>
      </c>
      <c r="AU79" s="106"/>
      <c r="BF79" s="18">
        <f t="shared" si="250"/>
        <v>33</v>
      </c>
      <c r="BG79" s="12">
        <f t="shared" si="250"/>
        <v>45064</v>
      </c>
      <c r="BH79" s="109">
        <f t="shared" si="251"/>
        <v>19.409982487078139</v>
      </c>
      <c r="BI79" s="109">
        <f t="shared" si="251"/>
        <v>4</v>
      </c>
      <c r="BK79" s="106"/>
      <c r="BL79" s="106"/>
      <c r="BM79" s="18">
        <f t="shared" si="229"/>
        <v>31</v>
      </c>
      <c r="BN79" s="12">
        <f t="shared" si="229"/>
        <v>45050</v>
      </c>
      <c r="BO79" s="109">
        <f t="shared" si="230"/>
        <v>41.813564487686222</v>
      </c>
      <c r="BP79" s="109">
        <f t="shared" si="230"/>
        <v>20</v>
      </c>
      <c r="BR79" s="106"/>
      <c r="CB79" s="18" t="e">
        <f t="shared" si="176"/>
        <v>#N/A</v>
      </c>
      <c r="CC79" s="12" t="e">
        <f t="shared" si="176"/>
        <v>#N/A</v>
      </c>
      <c r="CD79" s="109" t="e">
        <f t="shared" si="177"/>
        <v>#N/A</v>
      </c>
      <c r="CE79" s="109" t="e">
        <f t="shared" si="177"/>
        <v>#N/A</v>
      </c>
      <c r="CG79" s="106"/>
      <c r="CH79" s="106"/>
      <c r="CI79" s="21" t="s">
        <v>12</v>
      </c>
      <c r="CJ79" s="20">
        <v>154</v>
      </c>
      <c r="CK79" s="20">
        <v>139</v>
      </c>
      <c r="CL79" s="19">
        <f>CK79/CJ79-1</f>
        <v>-9.740259740259738E-2</v>
      </c>
      <c r="CQ79" s="18" t="e">
        <f t="shared" si="178"/>
        <v>#N/A</v>
      </c>
      <c r="CR79" s="12" t="e">
        <f t="shared" si="178"/>
        <v>#N/A</v>
      </c>
      <c r="CS79" s="109" t="e">
        <f t="shared" si="179"/>
        <v>#N/A</v>
      </c>
      <c r="CT79" s="109" t="e">
        <f t="shared" si="179"/>
        <v>#N/A</v>
      </c>
      <c r="CV79" s="106"/>
      <c r="DF79" s="18" t="e">
        <f t="shared" si="180"/>
        <v>#N/A</v>
      </c>
      <c r="DG79" s="12" t="e">
        <f t="shared" si="180"/>
        <v>#N/A</v>
      </c>
      <c r="DH79" s="109" t="e">
        <f t="shared" si="181"/>
        <v>#N/A</v>
      </c>
      <c r="DI79" s="109" t="e">
        <f t="shared" si="181"/>
        <v>#N/A</v>
      </c>
      <c r="DK79" s="106"/>
      <c r="DL79" s="106"/>
      <c r="DU79" s="18" t="e">
        <f t="shared" si="182"/>
        <v>#N/A</v>
      </c>
      <c r="DV79" s="12" t="e">
        <f t="shared" si="182"/>
        <v>#N/A</v>
      </c>
      <c r="DW79" s="109" t="e">
        <f t="shared" si="183"/>
        <v>#N/A</v>
      </c>
      <c r="DX79" s="109" t="e">
        <f t="shared" si="183"/>
        <v>#N/A</v>
      </c>
      <c r="DZ79" s="106"/>
      <c r="EA79" s="106"/>
      <c r="EB79" s="12" t="e">
        <f t="shared" si="231"/>
        <v>#N/A</v>
      </c>
      <c r="EC79" s="12" t="e">
        <f t="shared" si="231"/>
        <v>#N/A</v>
      </c>
      <c r="ED79" s="109" t="e">
        <f t="shared" si="232"/>
        <v>#N/A</v>
      </c>
      <c r="EE79" s="109" t="e">
        <f t="shared" si="232"/>
        <v>#N/A</v>
      </c>
      <c r="EG79" s="106"/>
      <c r="EH79" s="106"/>
      <c r="EQ79" s="12" t="str">
        <f t="shared" si="184"/>
        <v>FY18-33</v>
      </c>
      <c r="ER79" s="12">
        <f t="shared" si="184"/>
        <v>43146</v>
      </c>
      <c r="ES79" s="109">
        <f t="shared" si="222"/>
        <v>14.328098030015525</v>
      </c>
      <c r="ET79" s="109">
        <f t="shared" si="222"/>
        <v>3</v>
      </c>
      <c r="EU79" s="106"/>
      <c r="EV79" s="106"/>
      <c r="EW79" s="106"/>
      <c r="FF79" s="12" t="str">
        <f t="shared" si="186"/>
        <v>FY19</v>
      </c>
      <c r="FG79" s="12">
        <f t="shared" si="186"/>
        <v>43510</v>
      </c>
      <c r="FH79" s="109">
        <f t="shared" si="223"/>
        <v>31.354336778265978</v>
      </c>
      <c r="FI79" s="109">
        <f t="shared" si="223"/>
        <v>20</v>
      </c>
      <c r="FK79" s="106"/>
      <c r="FL79" s="106"/>
      <c r="FM79" s="12" t="str">
        <f t="shared" si="233"/>
        <v>FY19</v>
      </c>
      <c r="FN79" s="12">
        <f t="shared" si="233"/>
        <v>43496</v>
      </c>
      <c r="FO79" s="109">
        <f t="shared" si="234"/>
        <v>18.140342842997711</v>
      </c>
      <c r="FP79" s="109">
        <f t="shared" si="234"/>
        <v>8</v>
      </c>
      <c r="FR79" s="106"/>
      <c r="FS79" s="106"/>
      <c r="GB79" s="12" t="str">
        <f t="shared" si="188"/>
        <v>FY20</v>
      </c>
      <c r="GC79" s="12">
        <f t="shared" si="188"/>
        <v>43874</v>
      </c>
      <c r="GD79" s="109">
        <f t="shared" si="224"/>
        <v>14.466345689708522</v>
      </c>
      <c r="GE79" s="109">
        <f t="shared" si="224"/>
        <v>3</v>
      </c>
      <c r="GG79" s="106"/>
      <c r="GH79" s="106"/>
      <c r="GI79" s="12" t="str">
        <f t="shared" si="235"/>
        <v>FY20</v>
      </c>
      <c r="GJ79" s="12">
        <f t="shared" si="235"/>
        <v>43860</v>
      </c>
      <c r="GK79" s="109">
        <f t="shared" si="236"/>
        <v>45.674629370629361</v>
      </c>
      <c r="GL79" s="109">
        <f t="shared" si="236"/>
        <v>40</v>
      </c>
      <c r="GN79" s="106"/>
      <c r="GO79" s="106"/>
      <c r="GX79" s="12" t="str">
        <f t="shared" si="190"/>
        <v>FY21</v>
      </c>
      <c r="GY79" s="12">
        <f t="shared" si="190"/>
        <v>44238</v>
      </c>
      <c r="GZ79" s="109">
        <f t="shared" si="225"/>
        <v>48.994890605047111</v>
      </c>
      <c r="HA79" s="109">
        <f t="shared" si="225"/>
        <v>30</v>
      </c>
      <c r="HC79" s="106"/>
      <c r="HD79" s="106"/>
      <c r="HM79" s="12" t="str">
        <f t="shared" si="192"/>
        <v>FY22</v>
      </c>
      <c r="HN79" s="12">
        <f t="shared" si="192"/>
        <v>44602</v>
      </c>
      <c r="HO79" s="109">
        <f t="shared" si="226"/>
        <v>79.133284037701429</v>
      </c>
      <c r="HP79" s="109">
        <f t="shared" si="226"/>
        <v>60</v>
      </c>
      <c r="HR79" s="106"/>
      <c r="HS79" s="106"/>
      <c r="HT79" s="12" t="str">
        <f t="shared" si="237"/>
        <v>FY22</v>
      </c>
      <c r="HU79" s="12">
        <f t="shared" si="237"/>
        <v>44588</v>
      </c>
      <c r="HV79" s="109">
        <f t="shared" si="238"/>
        <v>34.469990878686531</v>
      </c>
      <c r="HW79" s="109">
        <f t="shared" si="238"/>
        <v>20</v>
      </c>
      <c r="HY79" s="106"/>
      <c r="HZ79" s="106"/>
      <c r="II79" s="12" t="str">
        <f t="shared" si="239"/>
        <v>FY23</v>
      </c>
      <c r="IJ79" s="12">
        <f t="shared" si="240"/>
        <v>44833</v>
      </c>
      <c r="IK79" s="109">
        <f t="shared" si="241"/>
        <v>35.905405655214345</v>
      </c>
      <c r="IL79" s="109">
        <f t="shared" si="241"/>
        <v>20</v>
      </c>
      <c r="IN79" s="106"/>
      <c r="IO79" s="106"/>
      <c r="IP79" s="12" t="str">
        <f t="shared" si="244"/>
        <v>FY23</v>
      </c>
      <c r="IQ79" s="12">
        <f t="shared" si="244"/>
        <v>44819</v>
      </c>
      <c r="IR79" s="109">
        <f t="shared" si="245"/>
        <v>25.008818485861962</v>
      </c>
      <c r="IS79" s="109">
        <f t="shared" si="245"/>
        <v>8</v>
      </c>
      <c r="IU79" s="106"/>
      <c r="IV79" s="106"/>
      <c r="IW79" s="16" t="s">
        <v>169</v>
      </c>
      <c r="IX79" s="12">
        <v>44532</v>
      </c>
      <c r="IY79" s="103">
        <v>109814245.30252357</v>
      </c>
      <c r="IZ79" s="104">
        <v>80000000</v>
      </c>
      <c r="JE79" s="12" t="str">
        <f t="shared" si="242"/>
        <v>Since FY21</v>
      </c>
      <c r="JF79" s="12">
        <f t="shared" si="242"/>
        <v>44098</v>
      </c>
      <c r="JG79" s="109">
        <f t="shared" si="243"/>
        <v>19.672046457889937</v>
      </c>
      <c r="JH79" s="109">
        <f t="shared" si="243"/>
        <v>3</v>
      </c>
      <c r="JI79" s="109"/>
      <c r="JJ79" s="40"/>
      <c r="JL79" s="106"/>
      <c r="JM79" s="106"/>
      <c r="JN79" s="12" t="str">
        <f t="shared" si="246"/>
        <v>Since FY21</v>
      </c>
      <c r="JO79" s="12">
        <f t="shared" si="246"/>
        <v>44084</v>
      </c>
      <c r="JP79" s="109">
        <f t="shared" si="247"/>
        <v>59.511774764366059</v>
      </c>
      <c r="JQ79" s="109">
        <f t="shared" si="247"/>
        <v>40</v>
      </c>
      <c r="JR79" s="109" t="e">
        <f t="shared" si="248"/>
        <v>#N/A</v>
      </c>
      <c r="JS79" s="109" t="e">
        <f t="shared" si="248"/>
        <v>#N/A</v>
      </c>
      <c r="JT79" s="109">
        <f t="shared" si="249"/>
        <v>125.22300000000001</v>
      </c>
      <c r="JU79" s="40">
        <v>100</v>
      </c>
      <c r="JW79" s="106"/>
      <c r="JX79" s="106"/>
      <c r="NI79" s="12" t="str">
        <f t="shared" si="198"/>
        <v>FY18</v>
      </c>
      <c r="NJ79" s="12">
        <f t="shared" si="194"/>
        <v>43062</v>
      </c>
      <c r="NK79" s="109">
        <f t="shared" si="199"/>
        <v>25.136980000000001</v>
      </c>
      <c r="NL79" s="109">
        <f t="shared" si="195"/>
        <v>10</v>
      </c>
      <c r="NN79" s="106"/>
      <c r="NX79" s="12" t="str">
        <f t="shared" si="200"/>
        <v>FY19</v>
      </c>
      <c r="NY79" s="12">
        <f t="shared" si="196"/>
        <v>43433</v>
      </c>
      <c r="NZ79" s="109">
        <f t="shared" si="201"/>
        <v>19.567152</v>
      </c>
      <c r="OA79" s="109">
        <f t="shared" si="197"/>
        <v>8</v>
      </c>
      <c r="OC79" s="106"/>
    </row>
    <row r="80" spans="6:393" x14ac:dyDescent="0.25">
      <c r="F80" s="5"/>
      <c r="G80" s="5"/>
      <c r="H80" s="5"/>
      <c r="I80" s="5"/>
      <c r="M80" s="5" t="str" cm="1">
        <f t="array" ref="M80">LOOKUP(2,1/($G$19:$G$35&lt;=$V80)/($H$19:$H$35&gt;=$V80),$F$19:$F$35)</f>
        <v>2H18</v>
      </c>
      <c r="N80" s="5" t="str" cm="1">
        <f t="array" ref="N80">LOOKUP(2,1/($G$8:$G$16&lt;=$V80)/($H$8:$H$16&gt;=$V80),$F$8:$F$16)</f>
        <v>FY18</v>
      </c>
      <c r="O80" s="5" t="str">
        <f>IFERROR(N80&amp;"-"&amp;COUNTIF($N$19:N80,N80),NA())</f>
        <v>FY18-50</v>
      </c>
      <c r="P80" s="5">
        <f>COUNTIF(V$19:V80,"&gt;="&amp;MAX($V:$V)-183)</f>
        <v>0</v>
      </c>
      <c r="Q80" s="5">
        <f>COUNTIF(V$19:V80,"&gt;="&amp;MAX($V:$V)-365)</f>
        <v>0</v>
      </c>
      <c r="R80" s="5" cm="1">
        <f t="array" ref="R80">LOOKUP(2,1/($G$46:$G$50&lt;=$V80)/($H$46:$H$50&gt;=$V80),$F$46:$F$50)</f>
        <v>0</v>
      </c>
      <c r="S80" s="5" cm="1">
        <f t="array" ref="S80">LOOKUP(2,1/($G$53:$G$56&lt;=$V80)/($H$53:$H$56&gt;=$V80),$F$53:$F$56)</f>
        <v>0</v>
      </c>
      <c r="T80" s="5" t="e">
        <f>IFERROR(IF($R80&gt;0,$R80&amp;"-"&amp;COUNTIF($R$19:$R80,$R80),NA()),NA())</f>
        <v>#N/A</v>
      </c>
      <c r="U80" s="5" t="e">
        <f>IFERROR(IF($S80&gt;0,$S80&amp;"-"&amp;COUNTIF($S$19:$S80,$S80),NA()),NA())</f>
        <v>#N/A</v>
      </c>
      <c r="V80" s="10">
        <v>43265</v>
      </c>
      <c r="W80" s="101">
        <v>12004837.380801015</v>
      </c>
      <c r="X80" s="101">
        <v>14433415.982937062</v>
      </c>
      <c r="Y80" s="102">
        <v>3000000</v>
      </c>
      <c r="AI80" s="18"/>
      <c r="AJ80" s="12"/>
      <c r="AK80" s="109"/>
      <c r="AL80" s="109"/>
      <c r="AN80" s="106"/>
      <c r="AO80" s="106"/>
      <c r="AP80" s="18" t="e">
        <f t="shared" si="227"/>
        <v>#N/A</v>
      </c>
      <c r="AQ80" s="12" t="e">
        <f t="shared" si="227"/>
        <v>#N/A</v>
      </c>
      <c r="AR80" s="109" t="e">
        <f t="shared" si="228"/>
        <v>#N/A</v>
      </c>
      <c r="AS80" s="109" t="e">
        <f t="shared" si="228"/>
        <v>#N/A</v>
      </c>
      <c r="AU80" s="106"/>
      <c r="BF80" s="18">
        <f t="shared" si="250"/>
        <v>34</v>
      </c>
      <c r="BG80" s="12">
        <f t="shared" si="250"/>
        <v>45071</v>
      </c>
      <c r="BH80" s="109">
        <f t="shared" si="251"/>
        <v>30.887849079219787</v>
      </c>
      <c r="BI80" s="109">
        <f t="shared" si="251"/>
        <v>12</v>
      </c>
      <c r="BK80" s="106"/>
      <c r="BL80" s="106"/>
      <c r="BM80" s="18">
        <f t="shared" si="229"/>
        <v>32</v>
      </c>
      <c r="BN80" s="12">
        <f t="shared" si="229"/>
        <v>45057</v>
      </c>
      <c r="BO80" s="109">
        <f t="shared" si="230"/>
        <v>19.348700760109455</v>
      </c>
      <c r="BP80" s="109">
        <f t="shared" si="230"/>
        <v>4</v>
      </c>
      <c r="BR80" s="106"/>
      <c r="CB80" s="18" t="e">
        <f t="shared" si="176"/>
        <v>#N/A</v>
      </c>
      <c r="CC80" s="12" t="e">
        <f t="shared" si="176"/>
        <v>#N/A</v>
      </c>
      <c r="CD80" s="109" t="e">
        <f t="shared" si="177"/>
        <v>#N/A</v>
      </c>
      <c r="CE80" s="109" t="e">
        <f t="shared" si="177"/>
        <v>#N/A</v>
      </c>
      <c r="CG80" s="106"/>
      <c r="CH80" s="106"/>
      <c r="CQ80" s="18" t="e">
        <f t="shared" si="178"/>
        <v>#N/A</v>
      </c>
      <c r="CR80" s="12" t="e">
        <f t="shared" si="178"/>
        <v>#N/A</v>
      </c>
      <c r="CS80" s="109" t="e">
        <f t="shared" si="179"/>
        <v>#N/A</v>
      </c>
      <c r="CT80" s="109" t="e">
        <f t="shared" si="179"/>
        <v>#N/A</v>
      </c>
      <c r="CV80" s="106"/>
      <c r="DF80" s="18" t="e">
        <f t="shared" si="180"/>
        <v>#N/A</v>
      </c>
      <c r="DG80" s="12" t="e">
        <f t="shared" si="180"/>
        <v>#N/A</v>
      </c>
      <c r="DH80" s="109" t="e">
        <f t="shared" si="181"/>
        <v>#N/A</v>
      </c>
      <c r="DI80" s="109" t="e">
        <f t="shared" si="181"/>
        <v>#N/A</v>
      </c>
      <c r="DK80" s="106"/>
      <c r="DL80" s="106"/>
      <c r="DU80" s="18" t="e">
        <f t="shared" si="182"/>
        <v>#N/A</v>
      </c>
      <c r="DV80" s="12" t="e">
        <f t="shared" si="182"/>
        <v>#N/A</v>
      </c>
      <c r="DW80" s="109" t="e">
        <f t="shared" si="183"/>
        <v>#N/A</v>
      </c>
      <c r="DX80" s="109" t="e">
        <f t="shared" si="183"/>
        <v>#N/A</v>
      </c>
      <c r="DZ80" s="106"/>
      <c r="EA80" s="106"/>
      <c r="EB80" s="12" t="e">
        <f t="shared" si="231"/>
        <v>#N/A</v>
      </c>
      <c r="EC80" s="12" t="e">
        <f t="shared" si="231"/>
        <v>#N/A</v>
      </c>
      <c r="ED80" s="109" t="e">
        <f t="shared" si="232"/>
        <v>#N/A</v>
      </c>
      <c r="EE80" s="109" t="e">
        <f t="shared" si="232"/>
        <v>#N/A</v>
      </c>
      <c r="EG80" s="106"/>
      <c r="EH80" s="106"/>
      <c r="EQ80" s="12" t="str">
        <f t="shared" si="184"/>
        <v>FY18-34</v>
      </c>
      <c r="ER80" s="12">
        <f t="shared" si="184"/>
        <v>43153</v>
      </c>
      <c r="ES80" s="109">
        <f t="shared" si="222"/>
        <v>17.18608104536829</v>
      </c>
      <c r="ET80" s="109">
        <f t="shared" si="222"/>
        <v>6</v>
      </c>
      <c r="EU80" s="106"/>
      <c r="EV80" s="106"/>
      <c r="EW80" s="106"/>
      <c r="FF80" s="12" t="str">
        <f t="shared" si="186"/>
        <v>FY19</v>
      </c>
      <c r="FG80" s="12">
        <f t="shared" si="186"/>
        <v>43517</v>
      </c>
      <c r="FH80" s="109">
        <f t="shared" si="223"/>
        <v>38.283030633083733</v>
      </c>
      <c r="FI80" s="109">
        <f t="shared" si="223"/>
        <v>30</v>
      </c>
      <c r="FK80" s="106"/>
      <c r="FL80" s="106"/>
      <c r="FM80" s="12" t="str">
        <f t="shared" si="233"/>
        <v>FY19</v>
      </c>
      <c r="FN80" s="12">
        <f t="shared" si="233"/>
        <v>43503</v>
      </c>
      <c r="FO80" s="109">
        <f t="shared" si="234"/>
        <v>25.118955133362217</v>
      </c>
      <c r="FP80" s="109">
        <f t="shared" si="234"/>
        <v>12</v>
      </c>
      <c r="FR80" s="106"/>
      <c r="FS80" s="106"/>
      <c r="GB80" s="12" t="str">
        <f t="shared" si="188"/>
        <v>FY20</v>
      </c>
      <c r="GC80" s="12">
        <f t="shared" si="188"/>
        <v>43881</v>
      </c>
      <c r="GD80" s="109">
        <f t="shared" si="224"/>
        <v>21.31719914867741</v>
      </c>
      <c r="GE80" s="109">
        <f t="shared" si="224"/>
        <v>8</v>
      </c>
      <c r="GG80" s="106"/>
      <c r="GH80" s="106"/>
      <c r="GI80" s="12" t="str">
        <f t="shared" si="235"/>
        <v>FY20</v>
      </c>
      <c r="GJ80" s="12">
        <f t="shared" si="235"/>
        <v>43867</v>
      </c>
      <c r="GK80" s="109">
        <f t="shared" si="236"/>
        <v>67.313625100563158</v>
      </c>
      <c r="GL80" s="109">
        <f t="shared" si="236"/>
        <v>60</v>
      </c>
      <c r="GN80" s="106"/>
      <c r="GO80" s="106"/>
      <c r="GX80" s="12" t="str">
        <f t="shared" si="190"/>
        <v>FY21</v>
      </c>
      <c r="GY80" s="12">
        <f t="shared" si="190"/>
        <v>44245</v>
      </c>
      <c r="GZ80" s="109">
        <f t="shared" si="225"/>
        <v>78.306876740650651</v>
      </c>
      <c r="HA80" s="109">
        <f t="shared" si="225"/>
        <v>50</v>
      </c>
      <c r="HC80" s="106"/>
      <c r="HD80" s="106"/>
      <c r="HM80" s="12" t="str">
        <f t="shared" si="192"/>
        <v>FY22</v>
      </c>
      <c r="HN80" s="12">
        <f t="shared" si="192"/>
        <v>44609</v>
      </c>
      <c r="HO80" s="109">
        <f t="shared" si="226"/>
        <v>115.9472403770143</v>
      </c>
      <c r="HP80" s="109">
        <f t="shared" si="226"/>
        <v>80</v>
      </c>
      <c r="HR80" s="106"/>
      <c r="HS80" s="106"/>
      <c r="HT80" s="12" t="str">
        <f t="shared" si="237"/>
        <v>FY22</v>
      </c>
      <c r="HU80" s="12">
        <f t="shared" si="237"/>
        <v>44595</v>
      </c>
      <c r="HV80" s="109">
        <f t="shared" si="238"/>
        <v>56.254159197324419</v>
      </c>
      <c r="HW80" s="109">
        <f t="shared" si="238"/>
        <v>40</v>
      </c>
      <c r="HY80" s="106"/>
      <c r="HZ80" s="106"/>
      <c r="II80" s="12" t="str">
        <f t="shared" si="239"/>
        <v>FY23</v>
      </c>
      <c r="IJ80" s="12">
        <f t="shared" si="240"/>
        <v>44840</v>
      </c>
      <c r="IK80" s="109">
        <f t="shared" si="241"/>
        <v>47.423181270903001</v>
      </c>
      <c r="IL80" s="109">
        <f t="shared" si="241"/>
        <v>30</v>
      </c>
      <c r="IN80" s="106"/>
      <c r="IO80" s="106"/>
      <c r="IP80" s="12" t="str">
        <f t="shared" si="244"/>
        <v>FY23</v>
      </c>
      <c r="IQ80" s="12">
        <f t="shared" si="244"/>
        <v>44826</v>
      </c>
      <c r="IR80" s="109">
        <f t="shared" si="245"/>
        <v>22.65982973548191</v>
      </c>
      <c r="IS80" s="109">
        <f t="shared" si="245"/>
        <v>8</v>
      </c>
      <c r="IU80" s="106"/>
      <c r="IV80" s="106"/>
      <c r="IW80" s="16" t="s">
        <v>169</v>
      </c>
      <c r="IX80" s="12">
        <v>44539</v>
      </c>
      <c r="IY80" s="103">
        <v>18912447.065977499</v>
      </c>
      <c r="IZ80" s="104">
        <v>3000000</v>
      </c>
      <c r="JE80" s="12" t="str">
        <f t="shared" si="242"/>
        <v>Since FY21</v>
      </c>
      <c r="JF80" s="12">
        <f t="shared" si="242"/>
        <v>44105</v>
      </c>
      <c r="JG80" s="109">
        <f t="shared" si="243"/>
        <v>27.468281909394953</v>
      </c>
      <c r="JH80" s="109">
        <f t="shared" si="243"/>
        <v>8</v>
      </c>
      <c r="JI80" s="109"/>
      <c r="JJ80" s="40"/>
      <c r="JL80" s="106"/>
      <c r="JM80" s="106"/>
      <c r="JN80" s="12" t="str">
        <f t="shared" si="246"/>
        <v>Since FY21</v>
      </c>
      <c r="JO80" s="12">
        <f t="shared" si="246"/>
        <v>44091</v>
      </c>
      <c r="JP80" s="109">
        <f t="shared" si="247"/>
        <v>82.205458680449993</v>
      </c>
      <c r="JQ80" s="109">
        <f t="shared" si="247"/>
        <v>60</v>
      </c>
      <c r="JR80" s="109" t="e">
        <f t="shared" si="248"/>
        <v>#N/A</v>
      </c>
      <c r="JS80" s="109" t="e">
        <f t="shared" si="248"/>
        <v>#N/A</v>
      </c>
      <c r="JT80" s="109">
        <f t="shared" si="249"/>
        <v>136.06200000000001</v>
      </c>
      <c r="JU80" s="40">
        <v>110</v>
      </c>
      <c r="JW80" s="106"/>
      <c r="JX80" s="106"/>
      <c r="NI80" s="12" t="str">
        <f t="shared" si="198"/>
        <v>FY18</v>
      </c>
      <c r="NJ80" s="12">
        <f t="shared" si="194"/>
        <v>43069</v>
      </c>
      <c r="NK80" s="109">
        <f t="shared" si="199"/>
        <v>13.05095</v>
      </c>
      <c r="NL80" s="109">
        <f t="shared" si="195"/>
        <v>3</v>
      </c>
      <c r="NN80" s="106"/>
      <c r="NX80" s="12" t="str">
        <f t="shared" si="200"/>
        <v>FY19</v>
      </c>
      <c r="NY80" s="12">
        <f t="shared" si="196"/>
        <v>43440</v>
      </c>
      <c r="NZ80" s="109">
        <f t="shared" si="201"/>
        <v>24.038585999999999</v>
      </c>
      <c r="OA80" s="109">
        <f t="shared" si="197"/>
        <v>12</v>
      </c>
      <c r="OC80" s="106"/>
    </row>
    <row r="81" spans="6:393" x14ac:dyDescent="0.25">
      <c r="F81" s="5"/>
      <c r="G81" s="5"/>
      <c r="H81" s="5"/>
      <c r="I81" s="5"/>
      <c r="M81" s="5" t="str" cm="1">
        <f t="array" ref="M81">LOOKUP(2,1/($G$19:$G$35&lt;=$V81)/($H$19:$H$35&gt;=$V81),$F$19:$F$35)</f>
        <v>2H18</v>
      </c>
      <c r="N81" s="5" t="str" cm="1">
        <f t="array" ref="N81">LOOKUP(2,1/($G$8:$G$16&lt;=$V81)/($H$8:$H$16&gt;=$V81),$F$8:$F$16)</f>
        <v>FY18</v>
      </c>
      <c r="O81" s="5" t="str">
        <f>IFERROR(N81&amp;"-"&amp;COUNTIF($N$19:N81,N81),NA())</f>
        <v>FY18-51</v>
      </c>
      <c r="P81" s="5">
        <f>COUNTIF(V$19:V81,"&gt;="&amp;MAX($V:$V)-183)</f>
        <v>0</v>
      </c>
      <c r="Q81" s="5">
        <f>COUNTIF(V$19:V81,"&gt;="&amp;MAX($V:$V)-365)</f>
        <v>0</v>
      </c>
      <c r="R81" s="5" cm="1">
        <f t="array" ref="R81">LOOKUP(2,1/($G$46:$G$50&lt;=$V81)/($H$46:$H$50&gt;=$V81),$F$46:$F$50)</f>
        <v>0</v>
      </c>
      <c r="S81" s="5" cm="1">
        <f t="array" ref="S81">LOOKUP(2,1/($G$53:$G$56&lt;=$V81)/($H$53:$H$56&gt;=$V81),$F$53:$F$56)</f>
        <v>0</v>
      </c>
      <c r="T81" s="5" t="e">
        <f>IFERROR(IF($R81&gt;0,$R81&amp;"-"&amp;COUNTIF($R$19:$R81,$R81),NA()),NA())</f>
        <v>#N/A</v>
      </c>
      <c r="U81" s="5" t="e">
        <f>IFERROR(IF($S81&gt;0,$S81&amp;"-"&amp;COUNTIF($S$19:$S81,$S81),NA()),NA())</f>
        <v>#N/A</v>
      </c>
      <c r="V81" s="10">
        <v>43272</v>
      </c>
      <c r="W81" s="101">
        <v>11422460.775588047</v>
      </c>
      <c r="X81" s="101">
        <v>13733224.59048951</v>
      </c>
      <c r="Y81" s="102">
        <v>3000000</v>
      </c>
      <c r="AI81" s="18"/>
      <c r="AJ81" s="12"/>
      <c r="AK81" s="109"/>
      <c r="AL81" s="109"/>
      <c r="AN81" s="106"/>
      <c r="AO81" s="106"/>
      <c r="AP81" s="18" t="e">
        <f t="shared" ref="AP81:AQ96" si="252">IF(OR(ISBLANK(AA37),$AD37&gt;=$AQ$46),NA(),AA37)</f>
        <v>#N/A</v>
      </c>
      <c r="AQ81" s="12" t="e">
        <f t="shared" si="252"/>
        <v>#N/A</v>
      </c>
      <c r="AR81" s="109" t="e">
        <f t="shared" ref="AR81:AS96" si="253">IF(OR(ISBLANK(AC37),$AD37&gt;=$AQ$46),NA(),AC37/1000000)</f>
        <v>#N/A</v>
      </c>
      <c r="AS81" s="109" t="e">
        <f t="shared" si="253"/>
        <v>#N/A</v>
      </c>
      <c r="AU81" s="106"/>
      <c r="BF81" s="18">
        <f t="shared" si="250"/>
        <v>35</v>
      </c>
      <c r="BG81" s="12">
        <f t="shared" si="250"/>
        <v>45078</v>
      </c>
      <c r="BH81" s="109">
        <f t="shared" si="251"/>
        <v>40.719506810504527</v>
      </c>
      <c r="BI81" s="109">
        <f t="shared" si="251"/>
        <v>20</v>
      </c>
      <c r="BK81" s="106"/>
      <c r="BL81" s="106"/>
      <c r="BM81" s="18">
        <f t="shared" ref="BM81:BN96" si="254">IF(OR(ISBLANK(AW37),$AZ37&gt;=$BN$46),NA(),AW37)</f>
        <v>33</v>
      </c>
      <c r="BN81" s="12">
        <f t="shared" si="254"/>
        <v>45064</v>
      </c>
      <c r="BO81" s="109">
        <f t="shared" ref="BO81:BP96" si="255">IF(OR(ISBLANK(AY37),$AZ37&gt;=$BN$46),NA(),AY37/1000000)</f>
        <v>19.409982487078139</v>
      </c>
      <c r="BP81" s="109">
        <f t="shared" si="255"/>
        <v>4</v>
      </c>
      <c r="BR81" s="106"/>
      <c r="CB81" s="18" t="e">
        <f t="shared" si="176"/>
        <v>#N/A</v>
      </c>
      <c r="CC81" s="12" t="e">
        <f t="shared" si="176"/>
        <v>#N/A</v>
      </c>
      <c r="CD81" s="109" t="e">
        <f t="shared" si="177"/>
        <v>#N/A</v>
      </c>
      <c r="CE81" s="109" t="e">
        <f t="shared" si="177"/>
        <v>#N/A</v>
      </c>
      <c r="CG81" s="106"/>
      <c r="CH81" s="106"/>
      <c r="CQ81" s="18" t="e">
        <f t="shared" si="178"/>
        <v>#N/A</v>
      </c>
      <c r="CR81" s="12" t="e">
        <f t="shared" si="178"/>
        <v>#N/A</v>
      </c>
      <c r="CS81" s="109" t="e">
        <f t="shared" si="179"/>
        <v>#N/A</v>
      </c>
      <c r="CT81" s="109" t="e">
        <f t="shared" si="179"/>
        <v>#N/A</v>
      </c>
      <c r="CV81" s="106"/>
      <c r="DF81" s="18" t="e">
        <f t="shared" si="180"/>
        <v>#N/A</v>
      </c>
      <c r="DG81" s="12" t="e">
        <f t="shared" si="180"/>
        <v>#N/A</v>
      </c>
      <c r="DH81" s="109" t="e">
        <f t="shared" si="181"/>
        <v>#N/A</v>
      </c>
      <c r="DI81" s="109" t="e">
        <f t="shared" si="181"/>
        <v>#N/A</v>
      </c>
      <c r="DK81" s="106"/>
      <c r="DL81" s="106"/>
      <c r="DU81" s="18" t="e">
        <f t="shared" si="182"/>
        <v>#N/A</v>
      </c>
      <c r="DV81" s="12" t="e">
        <f t="shared" si="182"/>
        <v>#N/A</v>
      </c>
      <c r="DW81" s="109" t="e">
        <f t="shared" si="183"/>
        <v>#N/A</v>
      </c>
      <c r="DX81" s="109" t="e">
        <f t="shared" si="183"/>
        <v>#N/A</v>
      </c>
      <c r="DZ81" s="106"/>
      <c r="EA81" s="106"/>
      <c r="EB81" s="12" t="e">
        <f t="shared" ref="EB81:EC96" si="256">IF(OR(ISBLANK(DM37),$DP37&gt;=$EC$46),NA(),DM37)</f>
        <v>#N/A</v>
      </c>
      <c r="EC81" s="12" t="e">
        <f t="shared" si="256"/>
        <v>#N/A</v>
      </c>
      <c r="ED81" s="109" t="e">
        <f t="shared" ref="ED81:EE96" si="257">IF(OR(ISBLANK(DO37),$DP37&gt;=$EC$46),NA(),DO37/1000000)</f>
        <v>#N/A</v>
      </c>
      <c r="EE81" s="109" t="e">
        <f t="shared" si="257"/>
        <v>#N/A</v>
      </c>
      <c r="EG81" s="106"/>
      <c r="EH81" s="106"/>
      <c r="EQ81" s="12" t="str">
        <f t="shared" si="184"/>
        <v>FY18-35</v>
      </c>
      <c r="ER81" s="12">
        <f t="shared" si="184"/>
        <v>43160</v>
      </c>
      <c r="ES81" s="109">
        <f t="shared" si="222"/>
        <v>21.685931050543381</v>
      </c>
      <c r="ET81" s="109">
        <f t="shared" si="222"/>
        <v>10</v>
      </c>
      <c r="EU81" s="106"/>
      <c r="EV81" s="106"/>
      <c r="EW81" s="106"/>
      <c r="FF81" s="12" t="str">
        <f t="shared" si="186"/>
        <v>FY19</v>
      </c>
      <c r="FG81" s="12">
        <f t="shared" si="186"/>
        <v>43524</v>
      </c>
      <c r="FH81" s="109">
        <f t="shared" si="223"/>
        <v>44.982119438084034</v>
      </c>
      <c r="FI81" s="109">
        <f t="shared" si="223"/>
        <v>40</v>
      </c>
      <c r="FK81" s="106"/>
      <c r="FL81" s="106"/>
      <c r="FM81" s="12" t="str">
        <f t="shared" ref="FM81:FN96" si="258">IF(OR(ISBLANK(EX37),$FA37&gt;=$FN$46),NA(),EX37)</f>
        <v>FY19</v>
      </c>
      <c r="FN81" s="12">
        <f t="shared" si="258"/>
        <v>43510</v>
      </c>
      <c r="FO81" s="109">
        <f t="shared" ref="FO81:FP96" si="259">IF(OR(ISBLANK(EZ37),$FA37&gt;=$FN$46),NA(),EZ37/1000000)</f>
        <v>31.354336778265978</v>
      </c>
      <c r="FP81" s="109">
        <f t="shared" si="259"/>
        <v>20</v>
      </c>
      <c r="FR81" s="106"/>
      <c r="FS81" s="106"/>
      <c r="GB81" s="12" t="str">
        <f t="shared" si="188"/>
        <v>FY20</v>
      </c>
      <c r="GC81" s="12">
        <f t="shared" si="188"/>
        <v>43888</v>
      </c>
      <c r="GD81" s="109">
        <f t="shared" si="224"/>
        <v>28.132182912739434</v>
      </c>
      <c r="GE81" s="109">
        <f t="shared" si="224"/>
        <v>12</v>
      </c>
      <c r="GG81" s="106"/>
      <c r="GH81" s="106"/>
      <c r="GI81" s="12" t="str">
        <f t="shared" ref="GI81:GJ96" si="260">IF(OR(ISBLANK(FT37),$FW37&gt;=$GJ$46),NA(),FT37)</f>
        <v>FY20</v>
      </c>
      <c r="GJ81" s="12">
        <f t="shared" si="260"/>
        <v>43874</v>
      </c>
      <c r="GK81" s="109">
        <f t="shared" ref="GK81:GL96" si="261">IF(OR(ISBLANK(FV37),$FW37&gt;=$GJ$46),NA(),FV37/1000000)</f>
        <v>14.466345689708522</v>
      </c>
      <c r="GL81" s="109">
        <f t="shared" si="261"/>
        <v>3</v>
      </c>
      <c r="GN81" s="106"/>
      <c r="GO81" s="106"/>
      <c r="GX81" s="12" t="str">
        <f t="shared" si="190"/>
        <v>FY21</v>
      </c>
      <c r="GY81" s="12">
        <f t="shared" si="190"/>
        <v>44252</v>
      </c>
      <c r="GZ81" s="109">
        <f t="shared" si="225"/>
        <v>22.972673761021586</v>
      </c>
      <c r="HA81" s="109">
        <f t="shared" si="225"/>
        <v>8</v>
      </c>
      <c r="HC81" s="106"/>
      <c r="HD81" s="106"/>
      <c r="HM81" s="12" t="str">
        <f t="shared" si="192"/>
        <v>FY22</v>
      </c>
      <c r="HN81" s="12">
        <f t="shared" si="192"/>
        <v>44616</v>
      </c>
      <c r="HO81" s="109">
        <f t="shared" si="226"/>
        <v>244.63164487686225</v>
      </c>
      <c r="HP81" s="109">
        <f t="shared" si="226"/>
        <v>120</v>
      </c>
      <c r="HR81" s="106"/>
      <c r="HS81" s="106"/>
      <c r="HT81" s="12" t="str">
        <f t="shared" ref="HT81:HU96" si="262">IF(OR(ISBLANK(HE37),$HH37&gt;=$HU$46),NA(),HE37)</f>
        <v>FY22</v>
      </c>
      <c r="HU81" s="12">
        <f t="shared" si="262"/>
        <v>44602</v>
      </c>
      <c r="HV81" s="109">
        <f t="shared" ref="HV81:HW96" si="263">IF(OR(ISBLANK(HG37),$HH37&gt;=$HU$46),NA(),HG37/1000000)</f>
        <v>79.133284037701429</v>
      </c>
      <c r="HW81" s="109">
        <f t="shared" si="263"/>
        <v>60</v>
      </c>
      <c r="HY81" s="106"/>
      <c r="HZ81" s="106"/>
      <c r="II81" s="12" t="str">
        <f t="shared" si="239"/>
        <v>FY23</v>
      </c>
      <c r="IJ81" s="12">
        <f t="shared" si="240"/>
        <v>44847</v>
      </c>
      <c r="IK81" s="109">
        <f t="shared" si="241"/>
        <v>77.692655761629666</v>
      </c>
      <c r="IL81" s="109">
        <f t="shared" si="241"/>
        <v>50</v>
      </c>
      <c r="IN81" s="106"/>
      <c r="IO81" s="106"/>
      <c r="IP81" s="12" t="str">
        <f t="shared" si="244"/>
        <v>FY23</v>
      </c>
      <c r="IQ81" s="12">
        <f t="shared" si="244"/>
        <v>44833</v>
      </c>
      <c r="IR81" s="109">
        <f t="shared" si="245"/>
        <v>35.905405655214345</v>
      </c>
      <c r="IS81" s="109">
        <f t="shared" si="245"/>
        <v>20</v>
      </c>
      <c r="IU81" s="106"/>
      <c r="IV81" s="106"/>
      <c r="IW81" s="16" t="s">
        <v>169</v>
      </c>
      <c r="IX81" s="12">
        <v>44546</v>
      </c>
      <c r="IY81" s="103">
        <v>26709691.456369717</v>
      </c>
      <c r="IZ81" s="104">
        <v>8000000</v>
      </c>
      <c r="JE81" s="12" t="str">
        <f t="shared" si="242"/>
        <v>Since FY21</v>
      </c>
      <c r="JF81" s="12">
        <f t="shared" si="242"/>
        <v>44112</v>
      </c>
      <c r="JG81" s="109">
        <f t="shared" si="243"/>
        <v>42.908867619337187</v>
      </c>
      <c r="JH81" s="109">
        <f t="shared" si="243"/>
        <v>20</v>
      </c>
      <c r="JI81" s="109"/>
      <c r="JJ81" s="40"/>
      <c r="JL81" s="106"/>
      <c r="JM81" s="106"/>
      <c r="JN81" s="12" t="str">
        <f t="shared" si="246"/>
        <v>Since FY21</v>
      </c>
      <c r="JO81" s="12">
        <f t="shared" si="246"/>
        <v>44098</v>
      </c>
      <c r="JP81" s="109">
        <f t="shared" si="247"/>
        <v>19.672046457889937</v>
      </c>
      <c r="JQ81" s="109">
        <f t="shared" si="247"/>
        <v>3</v>
      </c>
      <c r="JR81" s="109" t="e">
        <f t="shared" si="248"/>
        <v>#N/A</v>
      </c>
      <c r="JS81" s="109" t="e">
        <f t="shared" si="248"/>
        <v>#N/A</v>
      </c>
      <c r="JT81" s="109">
        <f t="shared" si="249"/>
        <v>146.90100000000001</v>
      </c>
      <c r="JU81" s="40">
        <v>120</v>
      </c>
      <c r="JW81" s="106"/>
      <c r="JX81" s="106"/>
      <c r="NI81" s="12" t="str">
        <f t="shared" si="198"/>
        <v>FY18</v>
      </c>
      <c r="NJ81" s="12">
        <f t="shared" si="194"/>
        <v>43076</v>
      </c>
      <c r="NK81" s="109">
        <f t="shared" si="199"/>
        <v>17.104120000000002</v>
      </c>
      <c r="NL81" s="109">
        <f t="shared" si="195"/>
        <v>6</v>
      </c>
      <c r="NN81" s="106"/>
      <c r="NX81" s="12" t="str">
        <f t="shared" si="200"/>
        <v>FY19</v>
      </c>
      <c r="NY81" s="12">
        <f t="shared" si="196"/>
        <v>43447</v>
      </c>
      <c r="NZ81" s="109">
        <f t="shared" si="201"/>
        <v>31.84929</v>
      </c>
      <c r="OA81" s="109">
        <f t="shared" si="197"/>
        <v>20</v>
      </c>
      <c r="OC81" s="106"/>
    </row>
    <row r="82" spans="6:393" x14ac:dyDescent="0.25">
      <c r="F82" s="5"/>
      <c r="G82" s="5"/>
      <c r="H82" s="5"/>
      <c r="I82" s="5"/>
      <c r="M82" s="5" t="str" cm="1">
        <f t="array" ref="M82">LOOKUP(2,1/($G$19:$G$35&lt;=$V82)/($H$19:$H$35&gt;=$V82),$F$19:$F$35)</f>
        <v>2H18</v>
      </c>
      <c r="N82" s="5" t="str" cm="1">
        <f t="array" ref="N82">LOOKUP(2,1/($G$8:$G$16&lt;=$V82)/($H$8:$H$16&gt;=$V82),$F$8:$F$16)</f>
        <v>FY18</v>
      </c>
      <c r="O82" s="5" t="str">
        <f>IFERROR(N82&amp;"-"&amp;COUNTIF($N$19:N82,N82),NA())</f>
        <v>FY18-52</v>
      </c>
      <c r="P82" s="5">
        <f>COUNTIF(V$19:V82,"&gt;="&amp;MAX($V:$V)-183)</f>
        <v>0</v>
      </c>
      <c r="Q82" s="5">
        <f>COUNTIF(V$19:V82,"&gt;="&amp;MAX($V:$V)-365)</f>
        <v>0</v>
      </c>
      <c r="R82" s="5" cm="1">
        <f t="array" ref="R82">LOOKUP(2,1/($G$46:$G$50&lt;=$V82)/($H$46:$H$50&gt;=$V82),$F$46:$F$50)</f>
        <v>0</v>
      </c>
      <c r="S82" s="5" cm="1">
        <f t="array" ref="S82">LOOKUP(2,1/($G$53:$G$56&lt;=$V82)/($H$53:$H$56&gt;=$V82),$F$53:$F$56)</f>
        <v>0</v>
      </c>
      <c r="T82" s="5" t="e">
        <f>IFERROR(IF($R82&gt;0,$R82&amp;"-"&amp;COUNTIF($R$19:$R82,$R82),NA()),NA())</f>
        <v>#N/A</v>
      </c>
      <c r="U82" s="5" t="e">
        <f>IFERROR(IF($S82&gt;0,$S82&amp;"-"&amp;COUNTIF($S$19:$S82,$S82),NA()),NA())</f>
        <v>#N/A</v>
      </c>
      <c r="V82" s="10">
        <v>43279</v>
      </c>
      <c r="W82" s="101">
        <v>16829889.891926251</v>
      </c>
      <c r="X82" s="101">
        <v>20234576.617062934</v>
      </c>
      <c r="Y82" s="102">
        <v>8000000</v>
      </c>
      <c r="AI82" s="18"/>
      <c r="AJ82" s="12"/>
      <c r="AK82" s="109"/>
      <c r="AL82" s="109"/>
      <c r="AN82" s="106"/>
      <c r="AO82" s="106"/>
      <c r="AP82" s="18" t="e">
        <f t="shared" si="252"/>
        <v>#N/A</v>
      </c>
      <c r="AQ82" s="12" t="e">
        <f t="shared" si="252"/>
        <v>#N/A</v>
      </c>
      <c r="AR82" s="109" t="e">
        <f t="shared" si="253"/>
        <v>#N/A</v>
      </c>
      <c r="AS82" s="109" t="e">
        <f t="shared" si="253"/>
        <v>#N/A</v>
      </c>
      <c r="AU82" s="106"/>
      <c r="BF82" s="18">
        <f t="shared" si="250"/>
        <v>36</v>
      </c>
      <c r="BG82" s="12">
        <f t="shared" si="250"/>
        <v>45085</v>
      </c>
      <c r="BH82" s="109">
        <f t="shared" si="251"/>
        <v>56.400732701318518</v>
      </c>
      <c r="BI82" s="109">
        <f t="shared" si="251"/>
        <v>40</v>
      </c>
      <c r="BK82" s="106"/>
      <c r="BL82" s="106"/>
      <c r="BM82" s="18">
        <f t="shared" si="254"/>
        <v>34</v>
      </c>
      <c r="BN82" s="12">
        <f t="shared" si="254"/>
        <v>45071</v>
      </c>
      <c r="BO82" s="109">
        <f t="shared" si="255"/>
        <v>30.887849079219787</v>
      </c>
      <c r="BP82" s="109">
        <f t="shared" si="255"/>
        <v>12</v>
      </c>
      <c r="BR82" s="106"/>
      <c r="CB82" s="18" t="e">
        <f t="shared" si="176"/>
        <v>#N/A</v>
      </c>
      <c r="CC82" s="12" t="e">
        <f t="shared" si="176"/>
        <v>#N/A</v>
      </c>
      <c r="CD82" s="109" t="e">
        <f t="shared" si="177"/>
        <v>#N/A</v>
      </c>
      <c r="CE82" s="109" t="e">
        <f t="shared" si="177"/>
        <v>#N/A</v>
      </c>
      <c r="CG82" s="106"/>
      <c r="CH82" s="106"/>
      <c r="CQ82" s="18" t="e">
        <f t="shared" si="178"/>
        <v>#N/A</v>
      </c>
      <c r="CR82" s="12" t="e">
        <f t="shared" si="178"/>
        <v>#N/A</v>
      </c>
      <c r="CS82" s="109" t="e">
        <f t="shared" si="179"/>
        <v>#N/A</v>
      </c>
      <c r="CT82" s="109" t="e">
        <f t="shared" si="179"/>
        <v>#N/A</v>
      </c>
      <c r="CV82" s="106"/>
      <c r="DF82" s="18" t="e">
        <f t="shared" si="180"/>
        <v>#N/A</v>
      </c>
      <c r="DG82" s="12" t="e">
        <f t="shared" si="180"/>
        <v>#N/A</v>
      </c>
      <c r="DH82" s="109" t="e">
        <f t="shared" si="181"/>
        <v>#N/A</v>
      </c>
      <c r="DI82" s="109" t="e">
        <f t="shared" si="181"/>
        <v>#N/A</v>
      </c>
      <c r="DK82" s="106"/>
      <c r="DL82" s="106"/>
      <c r="DU82" s="18" t="e">
        <f t="shared" si="182"/>
        <v>#N/A</v>
      </c>
      <c r="DV82" s="12" t="e">
        <f t="shared" si="182"/>
        <v>#N/A</v>
      </c>
      <c r="DW82" s="109" t="e">
        <f t="shared" si="183"/>
        <v>#N/A</v>
      </c>
      <c r="DX82" s="109" t="e">
        <f t="shared" si="183"/>
        <v>#N/A</v>
      </c>
      <c r="DZ82" s="106"/>
      <c r="EA82" s="106"/>
      <c r="EB82" s="12" t="e">
        <f t="shared" si="256"/>
        <v>#N/A</v>
      </c>
      <c r="EC82" s="12" t="e">
        <f t="shared" si="256"/>
        <v>#N/A</v>
      </c>
      <c r="ED82" s="109" t="e">
        <f t="shared" si="257"/>
        <v>#N/A</v>
      </c>
      <c r="EE82" s="109" t="e">
        <f t="shared" si="257"/>
        <v>#N/A</v>
      </c>
      <c r="EG82" s="106"/>
      <c r="EH82" s="106"/>
      <c r="EQ82" s="12" t="str">
        <f t="shared" si="184"/>
        <v>FY18-36</v>
      </c>
      <c r="ER82" s="12">
        <f t="shared" si="184"/>
        <v>43167</v>
      </c>
      <c r="ES82" s="109">
        <f t="shared" si="222"/>
        <v>27.412380840089696</v>
      </c>
      <c r="ET82" s="109">
        <f t="shared" si="222"/>
        <v>15</v>
      </c>
      <c r="EU82" s="106"/>
      <c r="EV82" s="106"/>
      <c r="EW82" s="106"/>
      <c r="FF82" s="12" t="str">
        <f t="shared" si="186"/>
        <v>FY19</v>
      </c>
      <c r="FG82" s="12">
        <f t="shared" si="186"/>
        <v>43531</v>
      </c>
      <c r="FH82" s="109">
        <f t="shared" si="223"/>
        <v>13.444204963178414</v>
      </c>
      <c r="FI82" s="109">
        <f t="shared" si="223"/>
        <v>3</v>
      </c>
      <c r="FK82" s="106"/>
      <c r="FL82" s="106"/>
      <c r="FM82" s="12" t="str">
        <f t="shared" si="258"/>
        <v>FY19</v>
      </c>
      <c r="FN82" s="12">
        <f t="shared" si="258"/>
        <v>43517</v>
      </c>
      <c r="FO82" s="109">
        <f t="shared" si="259"/>
        <v>38.283030633083733</v>
      </c>
      <c r="FP82" s="109">
        <f t="shared" si="259"/>
        <v>30</v>
      </c>
      <c r="FR82" s="106"/>
      <c r="FS82" s="106"/>
      <c r="GB82" s="12" t="str">
        <f t="shared" si="188"/>
        <v>FY20</v>
      </c>
      <c r="GC82" s="12">
        <f t="shared" si="188"/>
        <v>43895</v>
      </c>
      <c r="GD82" s="109">
        <f t="shared" si="224"/>
        <v>36.338271571906361</v>
      </c>
      <c r="GE82" s="109">
        <f t="shared" si="224"/>
        <v>20</v>
      </c>
      <c r="GG82" s="106"/>
      <c r="GH82" s="106"/>
      <c r="GI82" s="12" t="str">
        <f t="shared" si="260"/>
        <v>FY20</v>
      </c>
      <c r="GJ82" s="12">
        <f t="shared" si="260"/>
        <v>43881</v>
      </c>
      <c r="GK82" s="109">
        <f t="shared" si="261"/>
        <v>21.31719914867741</v>
      </c>
      <c r="GL82" s="109">
        <f t="shared" si="261"/>
        <v>8</v>
      </c>
      <c r="GN82" s="106"/>
      <c r="GO82" s="106"/>
      <c r="GX82" s="12" t="str">
        <f t="shared" si="190"/>
        <v>FY21</v>
      </c>
      <c r="GY82" s="12">
        <f t="shared" si="190"/>
        <v>44259</v>
      </c>
      <c r="GZ82" s="109">
        <f t="shared" si="225"/>
        <v>37.058402918820313</v>
      </c>
      <c r="HA82" s="109">
        <f t="shared" si="225"/>
        <v>20</v>
      </c>
      <c r="HC82" s="106"/>
      <c r="HD82" s="106"/>
      <c r="HM82" s="12" t="str">
        <f t="shared" si="192"/>
        <v>FY22</v>
      </c>
      <c r="HN82" s="12">
        <f t="shared" si="192"/>
        <v>44623</v>
      </c>
      <c r="HO82" s="109">
        <f t="shared" si="226"/>
        <v>19.764375068409851</v>
      </c>
      <c r="HP82" s="109">
        <f t="shared" si="226"/>
        <v>3</v>
      </c>
      <c r="HR82" s="106"/>
      <c r="HS82" s="106"/>
      <c r="HT82" s="12" t="str">
        <f t="shared" si="262"/>
        <v>FY22</v>
      </c>
      <c r="HU82" s="12">
        <f t="shared" si="262"/>
        <v>44609</v>
      </c>
      <c r="HV82" s="109">
        <f t="shared" si="263"/>
        <v>115.9472403770143</v>
      </c>
      <c r="HW82" s="109">
        <f t="shared" si="263"/>
        <v>80</v>
      </c>
      <c r="HY82" s="106"/>
      <c r="HZ82" s="106"/>
      <c r="II82" s="12" t="str">
        <f t="shared" si="239"/>
        <v>FY23</v>
      </c>
      <c r="IJ82" s="12">
        <f t="shared" si="240"/>
        <v>44854</v>
      </c>
      <c r="IK82" s="109">
        <f t="shared" si="241"/>
        <v>183.08447309212528</v>
      </c>
      <c r="IL82" s="109">
        <f t="shared" si="241"/>
        <v>100</v>
      </c>
      <c r="IN82" s="106"/>
      <c r="IO82" s="106"/>
      <c r="IP82" s="12" t="str">
        <f t="shared" si="244"/>
        <v>FY23</v>
      </c>
      <c r="IQ82" s="12">
        <f t="shared" si="244"/>
        <v>44840</v>
      </c>
      <c r="IR82" s="109">
        <f t="shared" si="245"/>
        <v>47.423181270903001</v>
      </c>
      <c r="IS82" s="109">
        <f t="shared" si="245"/>
        <v>30</v>
      </c>
      <c r="IU82" s="106"/>
      <c r="IV82" s="106"/>
      <c r="IW82" s="16" t="s">
        <v>169</v>
      </c>
      <c r="IX82" s="12">
        <v>44553</v>
      </c>
      <c r="IY82" s="103">
        <v>40654796.959562175</v>
      </c>
      <c r="IZ82" s="104">
        <v>20000000</v>
      </c>
      <c r="JE82" s="12" t="str">
        <f t="shared" si="242"/>
        <v>Since FY21</v>
      </c>
      <c r="JF82" s="12">
        <f t="shared" si="242"/>
        <v>44119</v>
      </c>
      <c r="JG82" s="109">
        <f t="shared" si="243"/>
        <v>61.499423776223779</v>
      </c>
      <c r="JH82" s="109">
        <f t="shared" si="243"/>
        <v>40</v>
      </c>
      <c r="JI82" s="109"/>
      <c r="JJ82" s="40"/>
      <c r="JL82" s="106"/>
      <c r="JM82" s="106"/>
      <c r="JN82" s="12" t="str">
        <f t="shared" si="246"/>
        <v>Since FY21</v>
      </c>
      <c r="JO82" s="12">
        <f t="shared" si="246"/>
        <v>44105</v>
      </c>
      <c r="JP82" s="109">
        <f t="shared" si="247"/>
        <v>27.468281909394953</v>
      </c>
      <c r="JQ82" s="109">
        <f t="shared" si="247"/>
        <v>8</v>
      </c>
      <c r="JR82" s="109" t="e">
        <f t="shared" si="248"/>
        <v>#N/A</v>
      </c>
      <c r="JS82" s="109" t="e">
        <f t="shared" si="248"/>
        <v>#N/A</v>
      </c>
      <c r="JT82" s="109">
        <f t="shared" si="249"/>
        <v>157.74</v>
      </c>
      <c r="JU82" s="40">
        <v>130</v>
      </c>
      <c r="JW82" s="106"/>
      <c r="JX82" s="106"/>
      <c r="NI82" s="12" t="str">
        <f t="shared" si="198"/>
        <v>FY18</v>
      </c>
      <c r="NJ82" s="12">
        <f t="shared" si="194"/>
        <v>43083</v>
      </c>
      <c r="NK82" s="109">
        <f t="shared" si="199"/>
        <v>19.45515</v>
      </c>
      <c r="NL82" s="109">
        <f t="shared" si="195"/>
        <v>10</v>
      </c>
      <c r="NN82" s="106"/>
      <c r="NX82" s="12" t="str">
        <f t="shared" si="200"/>
        <v>FY19</v>
      </c>
      <c r="NY82" s="12">
        <f t="shared" si="196"/>
        <v>43454</v>
      </c>
      <c r="NZ82" s="109">
        <f t="shared" si="201"/>
        <v>32.226612000000003</v>
      </c>
      <c r="OA82" s="109">
        <f t="shared" si="197"/>
        <v>25</v>
      </c>
      <c r="OC82" s="106"/>
    </row>
    <row r="83" spans="6:393" x14ac:dyDescent="0.25">
      <c r="F83" s="5"/>
      <c r="G83" s="5"/>
      <c r="H83" s="5"/>
      <c r="I83" s="5"/>
      <c r="M83" s="5" t="str" cm="1">
        <f t="array" ref="M83">LOOKUP(2,1/($G$19:$G$35&lt;=$V83)/($H$19:$H$35&gt;=$V83),$F$19:$F$35)</f>
        <v>1H19</v>
      </c>
      <c r="N83" s="5" t="str" cm="1">
        <f t="array" ref="N83">LOOKUP(2,1/($G$8:$G$16&lt;=$V83)/($H$8:$H$16&gt;=$V83),$F$8:$F$16)</f>
        <v>FY19</v>
      </c>
      <c r="O83" s="5" t="str">
        <f>IFERROR(N83&amp;"-"&amp;COUNTIF($N$19:N83,N83),NA())</f>
        <v>FY19-1</v>
      </c>
      <c r="P83" s="5">
        <f>COUNTIF(V$19:V83,"&gt;="&amp;MAX($V:$V)-183)</f>
        <v>0</v>
      </c>
      <c r="Q83" s="5">
        <f>COUNTIF(V$19:V83,"&gt;="&amp;MAX($V:$V)-365)</f>
        <v>0</v>
      </c>
      <c r="R83" s="5" cm="1">
        <f t="array" ref="R83">LOOKUP(2,1/($G$46:$G$50&lt;=$V83)/($H$46:$H$50&gt;=$V83),$F$46:$F$50)</f>
        <v>0</v>
      </c>
      <c r="S83" s="5" cm="1">
        <f t="array" ref="S83">LOOKUP(2,1/($G$53:$G$56&lt;=$V83)/($H$53:$H$56&gt;=$V83),$F$53:$F$56)</f>
        <v>0</v>
      </c>
      <c r="T83" s="5" t="e">
        <f>IFERROR(IF($R83&gt;0,$R83&amp;"-"&amp;COUNTIF($R$19:$R83,$R83),NA()),NA())</f>
        <v>#N/A</v>
      </c>
      <c r="U83" s="5" t="e">
        <f>IFERROR(IF($S83&gt;0,$S83&amp;"-"&amp;COUNTIF($S$19:$S83,$S83),NA()),NA())</f>
        <v>#N/A</v>
      </c>
      <c r="V83" s="10">
        <v>43286</v>
      </c>
      <c r="W83" s="101">
        <v>20852316.083916079</v>
      </c>
      <c r="X83" s="101">
        <v>25070739.627692305</v>
      </c>
      <c r="Y83" s="102">
        <v>12000000</v>
      </c>
      <c r="AI83" s="18"/>
      <c r="AJ83" s="12"/>
      <c r="AK83" s="109"/>
      <c r="AL83" s="109"/>
      <c r="AN83" s="106"/>
      <c r="AO83" s="106"/>
      <c r="AP83" s="18" t="e">
        <f t="shared" si="252"/>
        <v>#N/A</v>
      </c>
      <c r="AQ83" s="12" t="e">
        <f t="shared" si="252"/>
        <v>#N/A</v>
      </c>
      <c r="AR83" s="109" t="e">
        <f t="shared" si="253"/>
        <v>#N/A</v>
      </c>
      <c r="AS83" s="109" t="e">
        <f t="shared" si="253"/>
        <v>#N/A</v>
      </c>
      <c r="AU83" s="106"/>
      <c r="BF83" s="18">
        <f t="shared" si="250"/>
        <v>37</v>
      </c>
      <c r="BG83" s="12">
        <f t="shared" si="250"/>
        <v>45092</v>
      </c>
      <c r="BH83" s="109">
        <f t="shared" si="251"/>
        <v>87.731429334205075</v>
      </c>
      <c r="BI83" s="109">
        <f t="shared" si="251"/>
        <v>60</v>
      </c>
      <c r="BK83" s="106"/>
      <c r="BL83" s="106"/>
      <c r="BM83" s="18">
        <f t="shared" si="254"/>
        <v>35</v>
      </c>
      <c r="BN83" s="12">
        <f t="shared" si="254"/>
        <v>45078</v>
      </c>
      <c r="BO83" s="109">
        <f t="shared" si="255"/>
        <v>40.719506810504527</v>
      </c>
      <c r="BP83" s="109">
        <f t="shared" si="255"/>
        <v>20</v>
      </c>
      <c r="BR83" s="106"/>
      <c r="CB83" s="18" t="e">
        <f t="shared" si="176"/>
        <v>#N/A</v>
      </c>
      <c r="CC83" s="12" t="e">
        <f t="shared" si="176"/>
        <v>#N/A</v>
      </c>
      <c r="CD83" s="109" t="e">
        <f t="shared" si="177"/>
        <v>#N/A</v>
      </c>
      <c r="CE83" s="109" t="e">
        <f t="shared" si="177"/>
        <v>#N/A</v>
      </c>
      <c r="CG83" s="106"/>
      <c r="CH83" s="106"/>
      <c r="CQ83" s="18" t="e">
        <f t="shared" si="178"/>
        <v>#N/A</v>
      </c>
      <c r="CR83" s="12" t="e">
        <f t="shared" si="178"/>
        <v>#N/A</v>
      </c>
      <c r="CS83" s="109" t="e">
        <f t="shared" si="179"/>
        <v>#N/A</v>
      </c>
      <c r="CT83" s="109" t="e">
        <f t="shared" si="179"/>
        <v>#N/A</v>
      </c>
      <c r="CV83" s="106"/>
      <c r="DF83" s="18" t="e">
        <f t="shared" si="180"/>
        <v>#N/A</v>
      </c>
      <c r="DG83" s="12" t="e">
        <f t="shared" si="180"/>
        <v>#N/A</v>
      </c>
      <c r="DH83" s="109" t="e">
        <f t="shared" si="181"/>
        <v>#N/A</v>
      </c>
      <c r="DI83" s="109" t="e">
        <f t="shared" si="181"/>
        <v>#N/A</v>
      </c>
      <c r="DK83" s="106"/>
      <c r="DL83" s="106"/>
      <c r="DU83" s="18" t="e">
        <f t="shared" si="182"/>
        <v>#N/A</v>
      </c>
      <c r="DV83" s="12" t="e">
        <f t="shared" si="182"/>
        <v>#N/A</v>
      </c>
      <c r="DW83" s="109" t="e">
        <f t="shared" si="183"/>
        <v>#N/A</v>
      </c>
      <c r="DX83" s="109" t="e">
        <f t="shared" si="183"/>
        <v>#N/A</v>
      </c>
      <c r="DZ83" s="106"/>
      <c r="EA83" s="106"/>
      <c r="EB83" s="12" t="e">
        <f t="shared" si="256"/>
        <v>#N/A</v>
      </c>
      <c r="EC83" s="12" t="e">
        <f t="shared" si="256"/>
        <v>#N/A</v>
      </c>
      <c r="ED83" s="109" t="e">
        <f t="shared" si="257"/>
        <v>#N/A</v>
      </c>
      <c r="EE83" s="109" t="e">
        <f t="shared" si="257"/>
        <v>#N/A</v>
      </c>
      <c r="EG83" s="106"/>
      <c r="EH83" s="106"/>
      <c r="EQ83" s="12" t="str">
        <f t="shared" si="184"/>
        <v>FY18-37</v>
      </c>
      <c r="ER83" s="12">
        <f t="shared" si="184"/>
        <v>43174</v>
      </c>
      <c r="ES83" s="109">
        <f t="shared" si="222"/>
        <v>42.040755794376395</v>
      </c>
      <c r="ET83" s="109">
        <f t="shared" si="222"/>
        <v>30</v>
      </c>
      <c r="EU83" s="106"/>
      <c r="EV83" s="106"/>
      <c r="EW83" s="106"/>
      <c r="FF83" s="12" t="str">
        <f t="shared" si="186"/>
        <v>FY19</v>
      </c>
      <c r="FG83" s="12">
        <f t="shared" si="186"/>
        <v>43538</v>
      </c>
      <c r="FH83" s="109">
        <f t="shared" si="223"/>
        <v>16.484335664335664</v>
      </c>
      <c r="FI83" s="109">
        <f t="shared" si="223"/>
        <v>8</v>
      </c>
      <c r="FK83" s="106"/>
      <c r="FL83" s="106"/>
      <c r="FM83" s="12" t="str">
        <f t="shared" si="258"/>
        <v>FY19</v>
      </c>
      <c r="FN83" s="12">
        <f t="shared" si="258"/>
        <v>43524</v>
      </c>
      <c r="FO83" s="109">
        <f t="shared" si="259"/>
        <v>44.982119438084034</v>
      </c>
      <c r="FP83" s="109">
        <f t="shared" si="259"/>
        <v>40</v>
      </c>
      <c r="FR83" s="106"/>
      <c r="FS83" s="106"/>
      <c r="GB83" s="12" t="str">
        <f t="shared" si="188"/>
        <v>FY20</v>
      </c>
      <c r="GC83" s="12">
        <f t="shared" si="188"/>
        <v>43902</v>
      </c>
      <c r="GD83" s="109">
        <f t="shared" si="224"/>
        <v>47.382249437519008</v>
      </c>
      <c r="GE83" s="109">
        <f t="shared" si="224"/>
        <v>40</v>
      </c>
      <c r="GG83" s="106"/>
      <c r="GH83" s="106"/>
      <c r="GI83" s="12" t="str">
        <f t="shared" si="260"/>
        <v>FY20</v>
      </c>
      <c r="GJ83" s="12">
        <f t="shared" si="260"/>
        <v>43888</v>
      </c>
      <c r="GK83" s="109">
        <f t="shared" si="261"/>
        <v>28.132182912739434</v>
      </c>
      <c r="GL83" s="109">
        <f t="shared" si="261"/>
        <v>12</v>
      </c>
      <c r="GN83" s="106"/>
      <c r="GO83" s="106"/>
      <c r="GX83" s="12" t="str">
        <f t="shared" si="190"/>
        <v>FY21</v>
      </c>
      <c r="GY83" s="12">
        <f t="shared" si="190"/>
        <v>44266</v>
      </c>
      <c r="GZ83" s="109">
        <f t="shared" si="225"/>
        <v>45.393461356035267</v>
      </c>
      <c r="HA83" s="109">
        <f t="shared" si="225"/>
        <v>30</v>
      </c>
      <c r="HC83" s="106"/>
      <c r="HD83" s="106"/>
      <c r="HM83" s="12" t="str">
        <f t="shared" si="192"/>
        <v>FY22</v>
      </c>
      <c r="HN83" s="12">
        <f t="shared" si="192"/>
        <v>44630</v>
      </c>
      <c r="HO83" s="109">
        <f t="shared" si="226"/>
        <v>26.335124840377009</v>
      </c>
      <c r="HP83" s="109">
        <f t="shared" si="226"/>
        <v>8</v>
      </c>
      <c r="HR83" s="106"/>
      <c r="HS83" s="106"/>
      <c r="HT83" s="12" t="e">
        <f t="shared" si="262"/>
        <v>#N/A</v>
      </c>
      <c r="HU83" s="12" t="e">
        <f t="shared" si="262"/>
        <v>#N/A</v>
      </c>
      <c r="HV83" s="109" t="e">
        <f t="shared" si="263"/>
        <v>#N/A</v>
      </c>
      <c r="HW83" s="109" t="e">
        <f t="shared" si="263"/>
        <v>#N/A</v>
      </c>
      <c r="HY83" s="106"/>
      <c r="HZ83" s="106"/>
      <c r="II83" s="12" t="str">
        <f t="shared" si="239"/>
        <v>FY23</v>
      </c>
      <c r="IJ83" s="12">
        <f t="shared" si="240"/>
        <v>44861</v>
      </c>
      <c r="IK83" s="109">
        <f t="shared" si="241"/>
        <v>284.83741380358765</v>
      </c>
      <c r="IL83" s="109">
        <f t="shared" si="241"/>
        <v>160</v>
      </c>
      <c r="IN83" s="106"/>
      <c r="IO83" s="106"/>
      <c r="IP83" s="12" t="str">
        <f t="shared" si="244"/>
        <v>FY23</v>
      </c>
      <c r="IQ83" s="12">
        <f t="shared" si="244"/>
        <v>44847</v>
      </c>
      <c r="IR83" s="109">
        <f t="shared" si="245"/>
        <v>77.692655761629666</v>
      </c>
      <c r="IS83" s="109">
        <f t="shared" si="245"/>
        <v>50</v>
      </c>
      <c r="IU83" s="106"/>
      <c r="IV83" s="106"/>
      <c r="IW83" s="16" t="s">
        <v>169</v>
      </c>
      <c r="IX83" s="12">
        <v>44560</v>
      </c>
      <c r="IY83" s="103">
        <v>45526023.472179994</v>
      </c>
      <c r="IZ83" s="104">
        <v>30000000</v>
      </c>
      <c r="JE83" s="12" t="str">
        <f t="shared" si="242"/>
        <v>Since FY21</v>
      </c>
      <c r="JF83" s="12">
        <f t="shared" si="242"/>
        <v>44126</v>
      </c>
      <c r="JG83" s="109">
        <f t="shared" si="243"/>
        <v>19.054887686226817</v>
      </c>
      <c r="JH83" s="109">
        <f t="shared" si="243"/>
        <v>3</v>
      </c>
      <c r="JI83" s="109"/>
      <c r="JJ83" s="40"/>
      <c r="JL83" s="106"/>
      <c r="JM83" s="106"/>
      <c r="JN83" s="12" t="str">
        <f t="shared" si="246"/>
        <v>Since FY21</v>
      </c>
      <c r="JO83" s="12">
        <f t="shared" si="246"/>
        <v>44112</v>
      </c>
      <c r="JP83" s="109">
        <f t="shared" si="247"/>
        <v>42.908867619337187</v>
      </c>
      <c r="JQ83" s="109">
        <f t="shared" si="247"/>
        <v>20</v>
      </c>
      <c r="JR83" s="109" t="e">
        <f t="shared" si="248"/>
        <v>#N/A</v>
      </c>
      <c r="JS83" s="109" t="e">
        <f t="shared" si="248"/>
        <v>#N/A</v>
      </c>
      <c r="JT83" s="109">
        <f t="shared" si="249"/>
        <v>168.57900000000001</v>
      </c>
      <c r="JU83" s="40">
        <v>140</v>
      </c>
      <c r="JW83" s="106"/>
      <c r="JX83" s="106"/>
      <c r="NI83" s="12"/>
      <c r="NJ83" s="12"/>
      <c r="NK83" s="109"/>
      <c r="NL83" s="109"/>
      <c r="NN83" s="106"/>
      <c r="NX83" s="12"/>
      <c r="NY83" s="12"/>
      <c r="NZ83" s="109"/>
      <c r="OA83" s="109"/>
      <c r="OC83" s="106"/>
    </row>
    <row r="84" spans="6:393" x14ac:dyDescent="0.25">
      <c r="F84" s="5"/>
      <c r="G84" s="5"/>
      <c r="H84" s="5"/>
      <c r="I84" s="5"/>
      <c r="M84" s="5" t="str" cm="1">
        <f t="array" ref="M84">LOOKUP(2,1/($G$19:$G$35&lt;=$V84)/($H$19:$H$35&gt;=$V84),$F$19:$F$35)</f>
        <v>1H19</v>
      </c>
      <c r="N84" s="5" t="str" cm="1">
        <f t="array" ref="N84">LOOKUP(2,1/($G$8:$G$16&lt;=$V84)/($H$8:$H$16&gt;=$V84),$F$8:$F$16)</f>
        <v>FY19</v>
      </c>
      <c r="O84" s="5" t="str">
        <f>IFERROR(N84&amp;"-"&amp;COUNTIF($N$19:N84,N84),NA())</f>
        <v>FY19-2</v>
      </c>
      <c r="P84" s="5">
        <f>COUNTIF(V$19:V84,"&gt;="&amp;MAX($V:$V)-183)</f>
        <v>0</v>
      </c>
      <c r="Q84" s="5">
        <f>COUNTIF(V$19:V84,"&gt;="&amp;MAX($V:$V)-365)</f>
        <v>0</v>
      </c>
      <c r="R84" s="5" cm="1">
        <f t="array" ref="R84">LOOKUP(2,1/($G$46:$G$50&lt;=$V84)/($H$46:$H$50&gt;=$V84),$F$46:$F$50)</f>
        <v>0</v>
      </c>
      <c r="S84" s="5" cm="1">
        <f t="array" ref="S84">LOOKUP(2,1/($G$53:$G$56&lt;=$V84)/($H$53:$H$56&gt;=$V84),$F$53:$F$56)</f>
        <v>0</v>
      </c>
      <c r="T84" s="5" t="e">
        <f>IFERROR(IF($R84&gt;0,$R84&amp;"-"&amp;COUNTIF($R$19:$R84,$R84),NA()),NA())</f>
        <v>#N/A</v>
      </c>
      <c r="U84" s="5" t="e">
        <f>IFERROR(IF($S84&gt;0,$S84&amp;"-"&amp;COUNTIF($S$19:$S84,$S84),NA()),NA())</f>
        <v>#N/A</v>
      </c>
      <c r="V84" s="10">
        <v>43293</v>
      </c>
      <c r="W84" s="101">
        <v>26842498.410680223</v>
      </c>
      <c r="X84" s="101">
        <v>32272735.839160837</v>
      </c>
      <c r="Y84" s="102">
        <v>20000000</v>
      </c>
      <c r="AI84" s="18"/>
      <c r="AJ84" s="12"/>
      <c r="AK84" s="109"/>
      <c r="AL84" s="109"/>
      <c r="AN84" s="106"/>
      <c r="AO84" s="106"/>
      <c r="AP84" s="18" t="e">
        <f t="shared" si="252"/>
        <v>#N/A</v>
      </c>
      <c r="AQ84" s="12" t="e">
        <f t="shared" si="252"/>
        <v>#N/A</v>
      </c>
      <c r="AR84" s="109" t="e">
        <f t="shared" si="253"/>
        <v>#N/A</v>
      </c>
      <c r="AS84" s="109" t="e">
        <f t="shared" si="253"/>
        <v>#N/A</v>
      </c>
      <c r="AU84" s="106"/>
      <c r="BF84" s="18">
        <f t="shared" si="250"/>
        <v>38</v>
      </c>
      <c r="BG84" s="12">
        <f t="shared" si="250"/>
        <v>45099</v>
      </c>
      <c r="BH84" s="109">
        <f t="shared" si="251"/>
        <v>169.14758330609132</v>
      </c>
      <c r="BI84" s="109">
        <f t="shared" si="251"/>
        <v>100</v>
      </c>
      <c r="BK84" s="106"/>
      <c r="BL84" s="106"/>
      <c r="BM84" s="18">
        <f t="shared" si="254"/>
        <v>36</v>
      </c>
      <c r="BN84" s="12">
        <f t="shared" si="254"/>
        <v>45085</v>
      </c>
      <c r="BO84" s="109">
        <f t="shared" si="255"/>
        <v>56.400732701318518</v>
      </c>
      <c r="BP84" s="109">
        <f t="shared" si="255"/>
        <v>40</v>
      </c>
      <c r="BR84" s="106"/>
      <c r="CB84" s="18" t="e">
        <f t="shared" si="176"/>
        <v>#N/A</v>
      </c>
      <c r="CC84" s="12" t="e">
        <f t="shared" si="176"/>
        <v>#N/A</v>
      </c>
      <c r="CD84" s="109" t="e">
        <f t="shared" si="177"/>
        <v>#N/A</v>
      </c>
      <c r="CE84" s="109" t="e">
        <f t="shared" si="177"/>
        <v>#N/A</v>
      </c>
      <c r="CG84" s="106"/>
      <c r="CH84" s="106"/>
      <c r="CQ84" s="18" t="e">
        <f t="shared" si="178"/>
        <v>#N/A</v>
      </c>
      <c r="CR84" s="12" t="e">
        <f t="shared" si="178"/>
        <v>#N/A</v>
      </c>
      <c r="CS84" s="109" t="e">
        <f t="shared" si="179"/>
        <v>#N/A</v>
      </c>
      <c r="CT84" s="109" t="e">
        <f t="shared" si="179"/>
        <v>#N/A</v>
      </c>
      <c r="CV84" s="106"/>
      <c r="DF84" s="18" t="e">
        <f t="shared" si="180"/>
        <v>#N/A</v>
      </c>
      <c r="DG84" s="12" t="e">
        <f t="shared" si="180"/>
        <v>#N/A</v>
      </c>
      <c r="DH84" s="109" t="e">
        <f t="shared" si="181"/>
        <v>#N/A</v>
      </c>
      <c r="DI84" s="109" t="e">
        <f t="shared" si="181"/>
        <v>#N/A</v>
      </c>
      <c r="DK84" s="106"/>
      <c r="DL84" s="106"/>
      <c r="DU84" s="18" t="e">
        <f t="shared" si="182"/>
        <v>#N/A</v>
      </c>
      <c r="DV84" s="12" t="e">
        <f t="shared" si="182"/>
        <v>#N/A</v>
      </c>
      <c r="DW84" s="109" t="e">
        <f t="shared" si="183"/>
        <v>#N/A</v>
      </c>
      <c r="DX84" s="109" t="e">
        <f t="shared" si="183"/>
        <v>#N/A</v>
      </c>
      <c r="DZ84" s="106"/>
      <c r="EA84" s="106"/>
      <c r="EB84" s="12" t="e">
        <f t="shared" si="256"/>
        <v>#N/A</v>
      </c>
      <c r="EC84" s="12" t="e">
        <f t="shared" si="256"/>
        <v>#N/A</v>
      </c>
      <c r="ED84" s="109" t="e">
        <f t="shared" si="257"/>
        <v>#N/A</v>
      </c>
      <c r="EE84" s="109" t="e">
        <f t="shared" si="257"/>
        <v>#N/A</v>
      </c>
      <c r="EG84" s="106"/>
      <c r="EH84" s="106"/>
      <c r="EQ84" s="12" t="str">
        <f t="shared" si="184"/>
        <v>FY18-38</v>
      </c>
      <c r="ER84" s="12">
        <f t="shared" si="184"/>
        <v>43181</v>
      </c>
      <c r="ES84" s="109">
        <f t="shared" si="222"/>
        <v>52.311528797653949</v>
      </c>
      <c r="ET84" s="109">
        <f t="shared" si="222"/>
        <v>40</v>
      </c>
      <c r="EU84" s="106"/>
      <c r="EV84" s="106"/>
      <c r="EW84" s="106"/>
      <c r="FF84" s="12" t="str">
        <f t="shared" si="186"/>
        <v>FY19</v>
      </c>
      <c r="FG84" s="12">
        <f t="shared" si="186"/>
        <v>43545</v>
      </c>
      <c r="FH84" s="109">
        <f t="shared" si="223"/>
        <v>20.282530107061081</v>
      </c>
      <c r="FI84" s="109">
        <f t="shared" si="223"/>
        <v>12</v>
      </c>
      <c r="FK84" s="106"/>
      <c r="FL84" s="106"/>
      <c r="FM84" s="12" t="str">
        <f t="shared" si="258"/>
        <v>FY19</v>
      </c>
      <c r="FN84" s="12">
        <f t="shared" si="258"/>
        <v>43531</v>
      </c>
      <c r="FO84" s="109">
        <f t="shared" si="259"/>
        <v>13.444204963178414</v>
      </c>
      <c r="FP84" s="109">
        <f t="shared" si="259"/>
        <v>3</v>
      </c>
      <c r="FR84" s="106"/>
      <c r="FS84" s="106"/>
      <c r="GB84" s="12" t="str">
        <f t="shared" si="188"/>
        <v>FY20</v>
      </c>
      <c r="GC84" s="12">
        <f t="shared" si="188"/>
        <v>43909</v>
      </c>
      <c r="GD84" s="109">
        <f t="shared" si="224"/>
        <v>63.68030355731225</v>
      </c>
      <c r="GE84" s="109">
        <f t="shared" si="224"/>
        <v>60</v>
      </c>
      <c r="GG84" s="106"/>
      <c r="GH84" s="106"/>
      <c r="GI84" s="12" t="str">
        <f t="shared" si="260"/>
        <v>FY20</v>
      </c>
      <c r="GJ84" s="12">
        <f t="shared" si="260"/>
        <v>43895</v>
      </c>
      <c r="GK84" s="109">
        <f t="shared" si="261"/>
        <v>36.338271571906361</v>
      </c>
      <c r="GL84" s="109">
        <f t="shared" si="261"/>
        <v>20</v>
      </c>
      <c r="GN84" s="106"/>
      <c r="GO84" s="106"/>
      <c r="GX84" s="12" t="str">
        <f t="shared" si="190"/>
        <v>FY21</v>
      </c>
      <c r="GY84" s="12">
        <f t="shared" si="190"/>
        <v>44273</v>
      </c>
      <c r="GZ84" s="109">
        <f t="shared" si="225"/>
        <v>69.99746646397081</v>
      </c>
      <c r="HA84" s="109">
        <f t="shared" si="225"/>
        <v>50</v>
      </c>
      <c r="HC84" s="106"/>
      <c r="HD84" s="106"/>
      <c r="HM84" s="12" t="str">
        <f t="shared" si="192"/>
        <v>FY22</v>
      </c>
      <c r="HN84" s="12">
        <f t="shared" si="192"/>
        <v>44637</v>
      </c>
      <c r="HO84" s="109">
        <f t="shared" si="226"/>
        <v>40.906184493767107</v>
      </c>
      <c r="HP84" s="109">
        <f t="shared" si="226"/>
        <v>20</v>
      </c>
      <c r="HR84" s="106"/>
      <c r="HS84" s="106"/>
      <c r="HT84" s="12" t="str">
        <f t="shared" si="262"/>
        <v>FY22</v>
      </c>
      <c r="HU84" s="12">
        <f t="shared" si="262"/>
        <v>44623</v>
      </c>
      <c r="HV84" s="109">
        <f t="shared" si="263"/>
        <v>19.764375068409851</v>
      </c>
      <c r="HW84" s="109">
        <f t="shared" si="263"/>
        <v>3</v>
      </c>
      <c r="HY84" s="106"/>
      <c r="HZ84" s="106"/>
      <c r="II84" s="12" t="str">
        <f t="shared" si="239"/>
        <v>FY23</v>
      </c>
      <c r="IJ84" s="12">
        <f t="shared" si="240"/>
        <v>44868</v>
      </c>
      <c r="IK84" s="109">
        <f t="shared" si="241"/>
        <v>27.003392885375497</v>
      </c>
      <c r="IL84" s="109">
        <f t="shared" si="241"/>
        <v>8</v>
      </c>
      <c r="IN84" s="106"/>
      <c r="IO84" s="106"/>
      <c r="IP84" s="12" t="e">
        <f t="shared" si="244"/>
        <v>#N/A</v>
      </c>
      <c r="IQ84" s="12" t="e">
        <f t="shared" si="244"/>
        <v>#N/A</v>
      </c>
      <c r="IR84" s="109" t="e">
        <f t="shared" si="245"/>
        <v>#N/A</v>
      </c>
      <c r="IS84" s="109" t="e">
        <f t="shared" si="245"/>
        <v>#N/A</v>
      </c>
      <c r="IU84" s="106"/>
      <c r="IV84" s="106"/>
      <c r="IW84" s="16" t="s">
        <v>169</v>
      </c>
      <c r="IX84" s="12">
        <v>44567</v>
      </c>
      <c r="IY84" s="103">
        <v>76041502.462754637</v>
      </c>
      <c r="IZ84" s="104">
        <v>60000000</v>
      </c>
      <c r="JE84" s="12" t="str">
        <f t="shared" si="242"/>
        <v>Since FY21</v>
      </c>
      <c r="JF84" s="12">
        <f t="shared" si="242"/>
        <v>44133</v>
      </c>
      <c r="JG84" s="109">
        <f t="shared" si="243"/>
        <v>24.929902341137119</v>
      </c>
      <c r="JH84" s="109">
        <f t="shared" si="243"/>
        <v>8</v>
      </c>
      <c r="JI84" s="109"/>
      <c r="JJ84" s="40"/>
      <c r="JL84" s="106"/>
      <c r="JM84" s="106"/>
      <c r="JN84" s="12" t="str">
        <f t="shared" si="246"/>
        <v>Since FY21</v>
      </c>
      <c r="JO84" s="12">
        <f t="shared" si="246"/>
        <v>44119</v>
      </c>
      <c r="JP84" s="109">
        <f t="shared" si="247"/>
        <v>61.499423776223779</v>
      </c>
      <c r="JQ84" s="109">
        <f t="shared" si="247"/>
        <v>40</v>
      </c>
      <c r="JR84" s="109" t="e">
        <f t="shared" si="248"/>
        <v>#N/A</v>
      </c>
      <c r="JS84" s="109" t="e">
        <f t="shared" si="248"/>
        <v>#N/A</v>
      </c>
      <c r="JT84" s="109">
        <f t="shared" si="249"/>
        <v>179.41800000000001</v>
      </c>
      <c r="JU84" s="40">
        <v>150</v>
      </c>
      <c r="JW84" s="106"/>
      <c r="JX84" s="106"/>
      <c r="NI84" s="12"/>
      <c r="NJ84" s="12"/>
      <c r="NK84" s="109"/>
      <c r="NL84" s="109"/>
      <c r="NN84" s="106"/>
      <c r="NX84" s="12"/>
      <c r="NY84" s="12"/>
      <c r="NZ84" s="109"/>
      <c r="OA84" s="109"/>
      <c r="OC84" s="106"/>
    </row>
    <row r="85" spans="6:393" x14ac:dyDescent="0.25">
      <c r="F85" s="5"/>
      <c r="G85" s="5"/>
      <c r="H85" s="5"/>
      <c r="I85" s="5"/>
      <c r="M85" s="5" t="str" cm="1">
        <f t="array" ref="M85">LOOKUP(2,1/($G$19:$G$35&lt;=$V85)/($H$19:$H$35&gt;=$V85),$F$19:$F$35)</f>
        <v>1H19</v>
      </c>
      <c r="N85" s="5" t="str" cm="1">
        <f t="array" ref="N85">LOOKUP(2,1/($G$8:$G$16&lt;=$V85)/($H$8:$H$16&gt;=$V85),$F$8:$F$16)</f>
        <v>FY19</v>
      </c>
      <c r="O85" s="5" t="str">
        <f>IFERROR(N85&amp;"-"&amp;COUNTIF($N$19:N85,N85),NA())</f>
        <v>FY19-3</v>
      </c>
      <c r="P85" s="5">
        <f>COUNTIF(V$19:V85,"&gt;="&amp;MAX($V:$V)-183)</f>
        <v>0</v>
      </c>
      <c r="Q85" s="5">
        <f>COUNTIF(V$19:V85,"&gt;="&amp;MAX($V:$V)-365)</f>
        <v>0</v>
      </c>
      <c r="R85" s="5" cm="1">
        <f t="array" ref="R85">LOOKUP(2,1/($G$46:$G$50&lt;=$V85)/($H$46:$H$50&gt;=$V85),$F$46:$F$50)</f>
        <v>0</v>
      </c>
      <c r="S85" s="5" cm="1">
        <f t="array" ref="S85">LOOKUP(2,1/($G$53:$G$56&lt;=$V85)/($H$53:$H$56&gt;=$V85),$F$53:$F$56)</f>
        <v>0</v>
      </c>
      <c r="T85" s="5" t="e">
        <f>IFERROR(IF($R85&gt;0,$R85&amp;"-"&amp;COUNTIF($R$19:$R85,$R85),NA()),NA())</f>
        <v>#N/A</v>
      </c>
      <c r="U85" s="5" t="e">
        <f>IFERROR(IF($S85&gt;0,$S85&amp;"-"&amp;COUNTIF($S$19:$S85,$S85),NA()),NA())</f>
        <v>#N/A</v>
      </c>
      <c r="V85" s="10">
        <v>43300</v>
      </c>
      <c r="W85" s="101">
        <v>32449661.792752694</v>
      </c>
      <c r="X85" s="101">
        <v>39014228.373426571</v>
      </c>
      <c r="Y85" s="102">
        <v>30000000</v>
      </c>
      <c r="AI85" s="18"/>
      <c r="AJ85" s="12"/>
      <c r="AK85" s="109"/>
      <c r="AL85" s="109"/>
      <c r="AN85" s="106"/>
      <c r="AO85" s="106"/>
      <c r="AP85" s="18" t="e">
        <f t="shared" si="252"/>
        <v>#N/A</v>
      </c>
      <c r="AQ85" s="12" t="e">
        <f t="shared" si="252"/>
        <v>#N/A</v>
      </c>
      <c r="AR85" s="109" t="e">
        <f t="shared" si="253"/>
        <v>#N/A</v>
      </c>
      <c r="AS85" s="109" t="e">
        <f t="shared" si="253"/>
        <v>#N/A</v>
      </c>
      <c r="AU85" s="106"/>
      <c r="BF85" s="18">
        <f t="shared" si="250"/>
        <v>39</v>
      </c>
      <c r="BG85" s="12">
        <f t="shared" si="250"/>
        <v>45106</v>
      </c>
      <c r="BH85" s="109">
        <f t="shared" si="251"/>
        <v>19.52442312302496</v>
      </c>
      <c r="BI85" s="109">
        <f t="shared" si="251"/>
        <v>4</v>
      </c>
      <c r="BK85" s="106"/>
      <c r="BL85" s="106"/>
      <c r="BM85" s="18">
        <f t="shared" si="254"/>
        <v>37</v>
      </c>
      <c r="BN85" s="12">
        <f t="shared" si="254"/>
        <v>45092</v>
      </c>
      <c r="BO85" s="109">
        <f t="shared" si="255"/>
        <v>87.731429334205075</v>
      </c>
      <c r="BP85" s="109">
        <f t="shared" si="255"/>
        <v>60</v>
      </c>
      <c r="BR85" s="106"/>
      <c r="CB85" s="18" t="e">
        <f t="shared" si="176"/>
        <v>#N/A</v>
      </c>
      <c r="CC85" s="12" t="e">
        <f t="shared" si="176"/>
        <v>#N/A</v>
      </c>
      <c r="CD85" s="109" t="e">
        <f t="shared" si="177"/>
        <v>#N/A</v>
      </c>
      <c r="CE85" s="109" t="e">
        <f t="shared" si="177"/>
        <v>#N/A</v>
      </c>
      <c r="CG85" s="106"/>
      <c r="CH85" s="106"/>
      <c r="CQ85" s="18" t="e">
        <f t="shared" si="178"/>
        <v>#N/A</v>
      </c>
      <c r="CR85" s="12" t="e">
        <f t="shared" si="178"/>
        <v>#N/A</v>
      </c>
      <c r="CS85" s="109" t="e">
        <f t="shared" si="179"/>
        <v>#N/A</v>
      </c>
      <c r="CT85" s="109" t="e">
        <f t="shared" si="179"/>
        <v>#N/A</v>
      </c>
      <c r="CV85" s="106"/>
      <c r="DF85" s="18" t="e">
        <f t="shared" si="180"/>
        <v>#N/A</v>
      </c>
      <c r="DG85" s="12" t="e">
        <f t="shared" si="180"/>
        <v>#N/A</v>
      </c>
      <c r="DH85" s="109" t="e">
        <f t="shared" si="181"/>
        <v>#N/A</v>
      </c>
      <c r="DI85" s="109" t="e">
        <f t="shared" si="181"/>
        <v>#N/A</v>
      </c>
      <c r="DK85" s="106"/>
      <c r="DL85" s="106"/>
      <c r="DU85" s="18" t="e">
        <f t="shared" si="182"/>
        <v>#N/A</v>
      </c>
      <c r="DV85" s="12" t="e">
        <f t="shared" si="182"/>
        <v>#N/A</v>
      </c>
      <c r="DW85" s="109" t="e">
        <f t="shared" si="183"/>
        <v>#N/A</v>
      </c>
      <c r="DX85" s="109" t="e">
        <f t="shared" si="183"/>
        <v>#N/A</v>
      </c>
      <c r="DZ85" s="106"/>
      <c r="EA85" s="106"/>
      <c r="EB85" s="12" t="e">
        <f t="shared" si="256"/>
        <v>#N/A</v>
      </c>
      <c r="EC85" s="12" t="e">
        <f t="shared" si="256"/>
        <v>#N/A</v>
      </c>
      <c r="ED85" s="109" t="e">
        <f t="shared" si="257"/>
        <v>#N/A</v>
      </c>
      <c r="EE85" s="109" t="e">
        <f t="shared" si="257"/>
        <v>#N/A</v>
      </c>
      <c r="EG85" s="106"/>
      <c r="EH85" s="106"/>
      <c r="EQ85" s="12" t="str">
        <f t="shared" si="184"/>
        <v>FY18-39</v>
      </c>
      <c r="ER85" s="12">
        <f t="shared" si="184"/>
        <v>43188</v>
      </c>
      <c r="ES85" s="109">
        <f t="shared" si="222"/>
        <v>15.128946850094875</v>
      </c>
      <c r="ET85" s="109">
        <f t="shared" si="222"/>
        <v>3</v>
      </c>
      <c r="EU85" s="106"/>
      <c r="EV85" s="106"/>
      <c r="EW85" s="106"/>
      <c r="FF85" s="12" t="str">
        <f t="shared" si="186"/>
        <v>FY19</v>
      </c>
      <c r="FG85" s="12">
        <f t="shared" si="186"/>
        <v>43552</v>
      </c>
      <c r="FH85" s="109">
        <f t="shared" si="223"/>
        <v>26.225644903768799</v>
      </c>
      <c r="FI85" s="109">
        <f t="shared" si="223"/>
        <v>20</v>
      </c>
      <c r="FK85" s="106"/>
      <c r="FL85" s="106"/>
      <c r="FM85" s="12" t="str">
        <f t="shared" si="258"/>
        <v>FY19</v>
      </c>
      <c r="FN85" s="12">
        <f t="shared" si="258"/>
        <v>43538</v>
      </c>
      <c r="FO85" s="109">
        <f t="shared" si="259"/>
        <v>16.484335664335664</v>
      </c>
      <c r="FP85" s="109">
        <f t="shared" si="259"/>
        <v>8</v>
      </c>
      <c r="FR85" s="106"/>
      <c r="FS85" s="106"/>
      <c r="GB85" s="12" t="str">
        <f t="shared" si="188"/>
        <v>FY20</v>
      </c>
      <c r="GC85" s="12">
        <f t="shared" si="188"/>
        <v>43916</v>
      </c>
      <c r="GD85" s="109">
        <f t="shared" si="224"/>
        <v>82.611427667984188</v>
      </c>
      <c r="GE85" s="109">
        <f t="shared" si="224"/>
        <v>80</v>
      </c>
      <c r="GG85" s="106"/>
      <c r="GH85" s="106"/>
      <c r="GI85" s="12" t="str">
        <f t="shared" si="260"/>
        <v>FY20</v>
      </c>
      <c r="GJ85" s="12">
        <f t="shared" si="260"/>
        <v>43902</v>
      </c>
      <c r="GK85" s="109">
        <f t="shared" si="261"/>
        <v>47.382249437519008</v>
      </c>
      <c r="GL85" s="109">
        <f t="shared" si="261"/>
        <v>40</v>
      </c>
      <c r="GN85" s="106"/>
      <c r="GO85" s="106"/>
      <c r="GX85" s="12" t="str">
        <f t="shared" si="190"/>
        <v>FY21</v>
      </c>
      <c r="GY85" s="12">
        <f t="shared" si="190"/>
        <v>44280</v>
      </c>
      <c r="GZ85" s="109">
        <f t="shared" si="225"/>
        <v>23.50473821830343</v>
      </c>
      <c r="HA85" s="109">
        <f t="shared" si="225"/>
        <v>8</v>
      </c>
      <c r="HC85" s="106"/>
      <c r="HD85" s="106"/>
      <c r="HM85" s="12" t="str">
        <f t="shared" si="192"/>
        <v>FY22</v>
      </c>
      <c r="HN85" s="12">
        <f t="shared" si="192"/>
        <v>44644</v>
      </c>
      <c r="HO85" s="109">
        <f t="shared" si="226"/>
        <v>19.376209911827303</v>
      </c>
      <c r="HP85" s="109">
        <f t="shared" si="226"/>
        <v>3</v>
      </c>
      <c r="HR85" s="106"/>
      <c r="HS85" s="106"/>
      <c r="HT85" s="12" t="str">
        <f t="shared" si="262"/>
        <v>FY22</v>
      </c>
      <c r="HU85" s="12">
        <f t="shared" si="262"/>
        <v>44630</v>
      </c>
      <c r="HV85" s="109">
        <f t="shared" si="263"/>
        <v>26.335124840377009</v>
      </c>
      <c r="HW85" s="109">
        <f t="shared" si="263"/>
        <v>8</v>
      </c>
      <c r="HY85" s="106"/>
      <c r="HZ85" s="106"/>
      <c r="II85" s="12" t="str">
        <f t="shared" si="239"/>
        <v>FY23</v>
      </c>
      <c r="IJ85" s="12">
        <f t="shared" si="240"/>
        <v>44875</v>
      </c>
      <c r="IK85" s="109">
        <f t="shared" si="241"/>
        <v>44.321005290361803</v>
      </c>
      <c r="IL85" s="109">
        <f t="shared" si="241"/>
        <v>20</v>
      </c>
      <c r="IN85" s="106"/>
      <c r="IO85" s="106"/>
      <c r="IP85" s="12" t="e">
        <f t="shared" ref="IP85:IQ100" si="264">IF(OR(ISBLANK(IA21),$ID21&gt;=$IQ$66),NA(),IA21)</f>
        <v>#N/A</v>
      </c>
      <c r="IQ85" s="12" t="e">
        <f t="shared" si="264"/>
        <v>#N/A</v>
      </c>
      <c r="IR85" s="109" t="e">
        <f t="shared" ref="IR85:IS100" si="265">IF(OR(ISBLANK(IC21),$ID21&gt;=$IQ$66),NA(),IC21/1000000)</f>
        <v>#N/A</v>
      </c>
      <c r="IS85" s="109" t="e">
        <f t="shared" si="265"/>
        <v>#N/A</v>
      </c>
      <c r="IU85" s="106"/>
      <c r="IV85" s="106"/>
      <c r="IW85" s="16" t="s">
        <v>169</v>
      </c>
      <c r="IX85" s="12">
        <v>44574</v>
      </c>
      <c r="IY85" s="103">
        <v>18115088.35512314</v>
      </c>
      <c r="IZ85" s="104">
        <v>3000000</v>
      </c>
      <c r="JE85" s="12" t="str">
        <f t="shared" si="242"/>
        <v>Since FY21</v>
      </c>
      <c r="JF85" s="12">
        <f t="shared" si="242"/>
        <v>44140</v>
      </c>
      <c r="JG85" s="109">
        <f t="shared" si="243"/>
        <v>39.323627363940403</v>
      </c>
      <c r="JH85" s="109">
        <f t="shared" si="243"/>
        <v>20</v>
      </c>
      <c r="JI85" s="109"/>
      <c r="JJ85" s="40"/>
      <c r="JL85" s="106"/>
      <c r="JM85" s="106"/>
      <c r="JN85" s="12" t="str">
        <f t="shared" ref="JN85:JO100" si="266">IF(OR(ISBLANK(IW21),$IZ21&gt;=$JO$66),NA(),IW21)</f>
        <v>Since FY21</v>
      </c>
      <c r="JO85" s="12">
        <f t="shared" si="266"/>
        <v>44126</v>
      </c>
      <c r="JP85" s="109">
        <f t="shared" ref="JP85:JQ100" si="267">IF(OR(ISBLANK(IY21),$IZ21&gt;=$JO$66),NA(),IY21)/1000000</f>
        <v>19.054887686226817</v>
      </c>
      <c r="JQ85" s="109">
        <f t="shared" si="267"/>
        <v>3</v>
      </c>
      <c r="JR85" s="109" t="e">
        <f t="shared" ref="JR85:JS100" si="268">IF(OR(ISBLANK(IY21),$IZ21&lt;$JR$66),NA(),IY21)/1000000</f>
        <v>#N/A</v>
      </c>
      <c r="JS85" s="109" t="e">
        <f t="shared" si="268"/>
        <v>#N/A</v>
      </c>
      <c r="JT85" s="109">
        <f t="shared" si="249"/>
        <v>190.25700000000001</v>
      </c>
      <c r="JU85" s="40">
        <v>160</v>
      </c>
      <c r="JW85" s="106"/>
      <c r="JX85" s="106"/>
      <c r="NI85" s="12"/>
      <c r="NJ85" s="12"/>
      <c r="NK85" s="109"/>
      <c r="NL85" s="109"/>
      <c r="NN85" s="106"/>
      <c r="NX85" s="12"/>
      <c r="NY85" s="12"/>
      <c r="NZ85" s="109"/>
      <c r="OA85" s="109"/>
      <c r="OC85" s="106"/>
    </row>
    <row r="86" spans="6:393" x14ac:dyDescent="0.25">
      <c r="F86" s="5"/>
      <c r="G86" s="5"/>
      <c r="H86" s="5"/>
      <c r="I86" s="5"/>
      <c r="M86" s="5" t="str" cm="1">
        <f t="array" ref="M86">LOOKUP(2,1/($G$19:$G$35&lt;=$V86)/($H$19:$H$35&gt;=$V86),$F$19:$F$35)</f>
        <v>1H19</v>
      </c>
      <c r="N86" s="5" t="str" cm="1">
        <f t="array" ref="N86">LOOKUP(2,1/($G$8:$G$16&lt;=$V86)/($H$8:$H$16&gt;=$V86),$F$8:$F$16)</f>
        <v>FY19</v>
      </c>
      <c r="O86" s="5" t="str">
        <f>IFERROR(N86&amp;"-"&amp;COUNTIF($N$19:N86,N86),NA())</f>
        <v>FY19-4</v>
      </c>
      <c r="P86" s="5">
        <f>COUNTIF(V$19:V86,"&gt;="&amp;MAX($V:$V)-183)</f>
        <v>0</v>
      </c>
      <c r="Q86" s="5">
        <f>COUNTIF(V$19:V86,"&gt;="&amp;MAX($V:$V)-365)</f>
        <v>0</v>
      </c>
      <c r="R86" s="5" cm="1">
        <f t="array" ref="R86">LOOKUP(2,1/($G$46:$G$50&lt;=$V86)/($H$46:$H$50&gt;=$V86),$F$46:$F$50)</f>
        <v>0</v>
      </c>
      <c r="S86" s="5" cm="1">
        <f t="array" ref="S86">LOOKUP(2,1/($G$53:$G$56&lt;=$V86)/($H$53:$H$56&gt;=$V86),$F$53:$F$56)</f>
        <v>0</v>
      </c>
      <c r="T86" s="5" t="e">
        <f>IFERROR(IF($R86&gt;0,$R86&amp;"-"&amp;COUNTIF($R$19:$R86,$R86),NA()),NA())</f>
        <v>#N/A</v>
      </c>
      <c r="U86" s="5" t="e">
        <f>IFERROR(IF($S86&gt;0,$S86&amp;"-"&amp;COUNTIF($S$19:$S86,$S86),NA()),NA())</f>
        <v>#N/A</v>
      </c>
      <c r="V86" s="10">
        <v>43307</v>
      </c>
      <c r="W86" s="101">
        <v>38670652.25683406</v>
      </c>
      <c r="X86" s="101">
        <v>46493725.208391599</v>
      </c>
      <c r="Y86" s="102">
        <v>40000000</v>
      </c>
      <c r="AI86" s="18"/>
      <c r="AJ86" s="12"/>
      <c r="AK86" s="109"/>
      <c r="AL86" s="109"/>
      <c r="AP86" s="18" t="e">
        <f t="shared" si="252"/>
        <v>#N/A</v>
      </c>
      <c r="AQ86" s="12" t="e">
        <f t="shared" si="252"/>
        <v>#N/A</v>
      </c>
      <c r="AR86" s="109" t="e">
        <f t="shared" si="253"/>
        <v>#N/A</v>
      </c>
      <c r="AS86" s="109" t="e">
        <f t="shared" si="253"/>
        <v>#N/A</v>
      </c>
      <c r="BF86" s="18">
        <f t="shared" si="250"/>
        <v>40</v>
      </c>
      <c r="BG86" s="12">
        <f t="shared" si="250"/>
        <v>45113</v>
      </c>
      <c r="BH86" s="109">
        <f t="shared" si="251"/>
        <v>31.154789255748071</v>
      </c>
      <c r="BI86" s="109">
        <f t="shared" si="251"/>
        <v>12</v>
      </c>
      <c r="BM86" s="18" t="e">
        <f t="shared" si="254"/>
        <v>#N/A</v>
      </c>
      <c r="BN86" s="12" t="e">
        <f t="shared" si="254"/>
        <v>#N/A</v>
      </c>
      <c r="BO86" s="109" t="e">
        <f t="shared" si="255"/>
        <v>#N/A</v>
      </c>
      <c r="BP86" s="109" t="e">
        <f t="shared" si="255"/>
        <v>#N/A</v>
      </c>
      <c r="CB86" s="18" t="e">
        <f t="shared" si="176"/>
        <v>#N/A</v>
      </c>
      <c r="CC86" s="12" t="e">
        <f t="shared" si="176"/>
        <v>#N/A</v>
      </c>
      <c r="CD86" s="109" t="e">
        <f t="shared" si="177"/>
        <v>#N/A</v>
      </c>
      <c r="CE86" s="109" t="e">
        <f t="shared" si="177"/>
        <v>#N/A</v>
      </c>
      <c r="CQ86" s="18" t="e">
        <f t="shared" si="178"/>
        <v>#N/A</v>
      </c>
      <c r="CR86" s="12" t="e">
        <f t="shared" si="178"/>
        <v>#N/A</v>
      </c>
      <c r="CS86" s="109" t="e">
        <f t="shared" si="179"/>
        <v>#N/A</v>
      </c>
      <c r="CT86" s="109" t="e">
        <f t="shared" si="179"/>
        <v>#N/A</v>
      </c>
      <c r="DF86" s="18" t="e">
        <f t="shared" si="180"/>
        <v>#N/A</v>
      </c>
      <c r="DG86" s="12" t="e">
        <f t="shared" si="180"/>
        <v>#N/A</v>
      </c>
      <c r="DH86" s="109" t="e">
        <f t="shared" si="181"/>
        <v>#N/A</v>
      </c>
      <c r="DI86" s="109" t="e">
        <f t="shared" si="181"/>
        <v>#N/A</v>
      </c>
      <c r="DU86" s="18" t="e">
        <f t="shared" si="182"/>
        <v>#N/A</v>
      </c>
      <c r="DV86" s="12" t="e">
        <f t="shared" si="182"/>
        <v>#N/A</v>
      </c>
      <c r="DW86" s="109" t="e">
        <f t="shared" si="183"/>
        <v>#N/A</v>
      </c>
      <c r="DX86" s="109" t="e">
        <f t="shared" si="183"/>
        <v>#N/A</v>
      </c>
      <c r="EB86" s="12" t="e">
        <f t="shared" si="256"/>
        <v>#N/A</v>
      </c>
      <c r="EC86" s="12" t="e">
        <f t="shared" si="256"/>
        <v>#N/A</v>
      </c>
      <c r="ED86" s="109" t="e">
        <f t="shared" si="257"/>
        <v>#N/A</v>
      </c>
      <c r="EE86" s="109" t="e">
        <f t="shared" si="257"/>
        <v>#N/A</v>
      </c>
      <c r="EQ86" s="12" t="str">
        <f t="shared" si="184"/>
        <v>FY18-40</v>
      </c>
      <c r="ER86" s="12">
        <f t="shared" si="184"/>
        <v>43195</v>
      </c>
      <c r="ES86" s="109">
        <f t="shared" si="222"/>
        <v>18.375711785406242</v>
      </c>
      <c r="ET86" s="109">
        <f t="shared" si="222"/>
        <v>6</v>
      </c>
      <c r="FF86" s="12" t="str">
        <f t="shared" si="186"/>
        <v>FY19</v>
      </c>
      <c r="FG86" s="12">
        <f t="shared" si="186"/>
        <v>43559</v>
      </c>
      <c r="FH86" s="109">
        <f t="shared" si="223"/>
        <v>13.585177795655671</v>
      </c>
      <c r="FI86" s="109">
        <f t="shared" si="223"/>
        <v>3</v>
      </c>
      <c r="FM86" s="12" t="str">
        <f t="shared" si="258"/>
        <v>FY19</v>
      </c>
      <c r="FN86" s="12">
        <f t="shared" si="258"/>
        <v>43545</v>
      </c>
      <c r="FO86" s="109">
        <f t="shared" si="259"/>
        <v>20.282530107061081</v>
      </c>
      <c r="FP86" s="109">
        <f t="shared" si="259"/>
        <v>12</v>
      </c>
      <c r="GB86" s="12" t="str">
        <f t="shared" si="188"/>
        <v>FY20</v>
      </c>
      <c r="GC86" s="12">
        <f t="shared" si="188"/>
        <v>43923</v>
      </c>
      <c r="GD86" s="109">
        <f t="shared" si="224"/>
        <v>15.454267436910914</v>
      </c>
      <c r="GE86" s="109">
        <f t="shared" si="224"/>
        <v>3</v>
      </c>
      <c r="GI86" s="12" t="str">
        <f t="shared" si="260"/>
        <v>FY20</v>
      </c>
      <c r="GJ86" s="12">
        <f t="shared" si="260"/>
        <v>43909</v>
      </c>
      <c r="GK86" s="109">
        <f t="shared" si="261"/>
        <v>63.68030355731225</v>
      </c>
      <c r="GL86" s="109">
        <f t="shared" si="261"/>
        <v>60</v>
      </c>
      <c r="GX86" s="12" t="str">
        <f t="shared" si="190"/>
        <v>FY21</v>
      </c>
      <c r="GY86" s="12">
        <f t="shared" si="190"/>
        <v>44287</v>
      </c>
      <c r="GZ86" s="109">
        <f t="shared" si="225"/>
        <v>37.212500334448158</v>
      </c>
      <c r="HA86" s="109">
        <f t="shared" si="225"/>
        <v>20</v>
      </c>
      <c r="HM86" s="12" t="str">
        <f t="shared" si="192"/>
        <v>FY22</v>
      </c>
      <c r="HN86" s="12">
        <f t="shared" si="192"/>
        <v>44651</v>
      </c>
      <c r="HO86" s="109">
        <f t="shared" si="226"/>
        <v>27.161959987838248</v>
      </c>
      <c r="HP86" s="109">
        <f t="shared" si="226"/>
        <v>8</v>
      </c>
      <c r="HT86" s="12" t="str">
        <f t="shared" si="262"/>
        <v>FY22</v>
      </c>
      <c r="HU86" s="12">
        <f t="shared" si="262"/>
        <v>44637</v>
      </c>
      <c r="HV86" s="109">
        <f t="shared" si="263"/>
        <v>40.906184493767107</v>
      </c>
      <c r="HW86" s="109">
        <f t="shared" si="263"/>
        <v>20</v>
      </c>
      <c r="II86" s="12" t="str">
        <f t="shared" si="239"/>
        <v>FY23</v>
      </c>
      <c r="IJ86" s="12">
        <f t="shared" si="240"/>
        <v>44882</v>
      </c>
      <c r="IK86" s="109">
        <f t="shared" si="241"/>
        <v>51.026175372453629</v>
      </c>
      <c r="IL86" s="109">
        <f t="shared" si="241"/>
        <v>30</v>
      </c>
      <c r="IP86" s="12" t="str">
        <f t="shared" si="264"/>
        <v>FY23</v>
      </c>
      <c r="IQ86" s="12">
        <f t="shared" si="264"/>
        <v>44868</v>
      </c>
      <c r="IR86" s="109">
        <f t="shared" si="265"/>
        <v>27.003392885375497</v>
      </c>
      <c r="IS86" s="109">
        <f t="shared" si="265"/>
        <v>8</v>
      </c>
      <c r="IW86" s="16" t="s">
        <v>169</v>
      </c>
      <c r="IX86" s="12">
        <v>44581</v>
      </c>
      <c r="IY86" s="103">
        <v>23312285.071450286</v>
      </c>
      <c r="IZ86" s="104">
        <v>8000000</v>
      </c>
      <c r="JE86" s="12" t="str">
        <f t="shared" si="242"/>
        <v>Since FY21</v>
      </c>
      <c r="JF86" s="12">
        <f t="shared" si="242"/>
        <v>44147</v>
      </c>
      <c r="JG86" s="109">
        <f t="shared" si="243"/>
        <v>17.49003441775616</v>
      </c>
      <c r="JH86" s="109">
        <f t="shared" si="243"/>
        <v>3</v>
      </c>
      <c r="JI86" s="109"/>
      <c r="JJ86" s="40"/>
      <c r="JN86" s="12" t="str">
        <f t="shared" si="266"/>
        <v>Since FY21</v>
      </c>
      <c r="JO86" s="12">
        <f t="shared" si="266"/>
        <v>44133</v>
      </c>
      <c r="JP86" s="109">
        <f t="shared" si="267"/>
        <v>24.929902341137119</v>
      </c>
      <c r="JQ86" s="109">
        <f t="shared" si="267"/>
        <v>8</v>
      </c>
      <c r="JR86" s="109" t="e">
        <f t="shared" si="268"/>
        <v>#N/A</v>
      </c>
      <c r="JS86" s="109" t="e">
        <f t="shared" si="268"/>
        <v>#N/A</v>
      </c>
      <c r="JT86" s="109">
        <f t="shared" si="249"/>
        <v>201.096</v>
      </c>
      <c r="JU86" s="40">
        <v>170</v>
      </c>
      <c r="NI86" s="12"/>
      <c r="NJ86" s="12"/>
      <c r="NK86" s="109"/>
      <c r="NL86" s="109"/>
      <c r="NX86" s="12"/>
      <c r="NY86" s="12"/>
      <c r="NZ86" s="109"/>
      <c r="OA86" s="109"/>
    </row>
    <row r="87" spans="6:393" x14ac:dyDescent="0.25">
      <c r="F87" s="5"/>
      <c r="G87" s="5"/>
      <c r="H87" s="5"/>
      <c r="I87" s="5"/>
      <c r="M87" s="5" t="str" cm="1">
        <f t="array" ref="M87">LOOKUP(2,1/($G$19:$G$35&lt;=$V87)/($H$19:$H$35&gt;=$V87),$F$19:$F$35)</f>
        <v>1H19</v>
      </c>
      <c r="N87" s="5" t="str" cm="1">
        <f t="array" ref="N87">LOOKUP(2,1/($G$8:$G$16&lt;=$V87)/($H$8:$H$16&gt;=$V87),$F$8:$F$16)</f>
        <v>FY19</v>
      </c>
      <c r="O87" s="5" t="str">
        <f>IFERROR(N87&amp;"-"&amp;COUNTIF($N$19:N87,N87),NA())</f>
        <v>FY19-5</v>
      </c>
      <c r="P87" s="5">
        <f>COUNTIF(V$19:V87,"&gt;="&amp;MAX($V:$V)-183)</f>
        <v>0</v>
      </c>
      <c r="Q87" s="5">
        <f>COUNTIF(V$19:V87,"&gt;="&amp;MAX($V:$V)-365)</f>
        <v>0</v>
      </c>
      <c r="R87" s="5" cm="1">
        <f t="array" ref="R87">LOOKUP(2,1/($G$46:$G$50&lt;=$V87)/($H$46:$H$50&gt;=$V87),$F$46:$F$50)</f>
        <v>0</v>
      </c>
      <c r="S87" s="5" cm="1">
        <f t="array" ref="S87">LOOKUP(2,1/($G$53:$G$56&lt;=$V87)/($H$53:$H$56&gt;=$V87),$F$53:$F$56)</f>
        <v>0</v>
      </c>
      <c r="T87" s="5" t="e">
        <f>IFERROR(IF($R87&gt;0,$R87&amp;"-"&amp;COUNTIF($R$19:$R87,$R87),NA()),NA())</f>
        <v>#N/A</v>
      </c>
      <c r="U87" s="5" t="e">
        <f>IFERROR(IF($S87&gt;0,$S87&amp;"-"&amp;COUNTIF($S$19:$S87,$S87),NA()),NA())</f>
        <v>#N/A</v>
      </c>
      <c r="V87" s="10">
        <v>43314</v>
      </c>
      <c r="W87" s="101">
        <v>47637119.898283519</v>
      </c>
      <c r="X87" s="101">
        <v>57274109.253706284</v>
      </c>
      <c r="Y87" s="102">
        <v>50000000</v>
      </c>
      <c r="AI87" s="18"/>
      <c r="AJ87" s="12"/>
      <c r="AK87" s="109"/>
      <c r="AL87" s="109"/>
      <c r="AP87" s="18" t="e">
        <f t="shared" si="252"/>
        <v>#N/A</v>
      </c>
      <c r="AQ87" s="12" t="e">
        <f t="shared" si="252"/>
        <v>#N/A</v>
      </c>
      <c r="AR87" s="109" t="e">
        <f t="shared" si="253"/>
        <v>#N/A</v>
      </c>
      <c r="AS87" s="109" t="e">
        <f t="shared" si="253"/>
        <v>#N/A</v>
      </c>
      <c r="BF87" s="18">
        <f t="shared" si="250"/>
        <v>41</v>
      </c>
      <c r="BG87" s="12">
        <f t="shared" si="250"/>
        <v>45120</v>
      </c>
      <c r="BH87" s="109">
        <f t="shared" si="251"/>
        <v>40.570238531110391</v>
      </c>
      <c r="BI87" s="109">
        <f t="shared" si="251"/>
        <v>20</v>
      </c>
      <c r="BM87" s="18">
        <f t="shared" si="254"/>
        <v>39</v>
      </c>
      <c r="BN87" s="12">
        <f t="shared" si="254"/>
        <v>45106</v>
      </c>
      <c r="BO87" s="109">
        <f t="shared" si="255"/>
        <v>19.52442312302496</v>
      </c>
      <c r="BP87" s="109">
        <f t="shared" si="255"/>
        <v>4</v>
      </c>
      <c r="CB87" s="18" t="e">
        <f t="shared" si="176"/>
        <v>#N/A</v>
      </c>
      <c r="CC87" s="12" t="e">
        <f t="shared" si="176"/>
        <v>#N/A</v>
      </c>
      <c r="CD87" s="109" t="e">
        <f t="shared" si="177"/>
        <v>#N/A</v>
      </c>
      <c r="CE87" s="109" t="e">
        <f t="shared" si="177"/>
        <v>#N/A</v>
      </c>
      <c r="CQ87" s="18" t="e">
        <f t="shared" si="178"/>
        <v>#N/A</v>
      </c>
      <c r="CR87" s="12" t="e">
        <f t="shared" si="178"/>
        <v>#N/A</v>
      </c>
      <c r="CS87" s="109" t="e">
        <f t="shared" si="179"/>
        <v>#N/A</v>
      </c>
      <c r="CT87" s="109" t="e">
        <f t="shared" si="179"/>
        <v>#N/A</v>
      </c>
      <c r="DF87" s="18" t="e">
        <f t="shared" si="180"/>
        <v>#N/A</v>
      </c>
      <c r="DG87" s="12" t="e">
        <f t="shared" si="180"/>
        <v>#N/A</v>
      </c>
      <c r="DH87" s="109" t="e">
        <f t="shared" si="181"/>
        <v>#N/A</v>
      </c>
      <c r="DI87" s="109" t="e">
        <f t="shared" si="181"/>
        <v>#N/A</v>
      </c>
      <c r="DU87" s="18" t="e">
        <f t="shared" si="182"/>
        <v>#N/A</v>
      </c>
      <c r="DV87" s="12" t="e">
        <f t="shared" si="182"/>
        <v>#N/A</v>
      </c>
      <c r="DW87" s="109" t="e">
        <f t="shared" si="183"/>
        <v>#N/A</v>
      </c>
      <c r="DX87" s="109" t="e">
        <f t="shared" si="183"/>
        <v>#N/A</v>
      </c>
      <c r="EB87" s="12" t="e">
        <f t="shared" si="256"/>
        <v>#N/A</v>
      </c>
      <c r="EC87" s="12" t="e">
        <f t="shared" si="256"/>
        <v>#N/A</v>
      </c>
      <c r="ED87" s="109" t="e">
        <f t="shared" si="257"/>
        <v>#N/A</v>
      </c>
      <c r="EE87" s="109" t="e">
        <f t="shared" si="257"/>
        <v>#N/A</v>
      </c>
      <c r="EQ87" s="12" t="str">
        <f t="shared" si="184"/>
        <v>FY18-41</v>
      </c>
      <c r="ER87" s="12">
        <f t="shared" si="184"/>
        <v>43202</v>
      </c>
      <c r="ES87" s="109">
        <f t="shared" si="222"/>
        <v>12.839845696049679</v>
      </c>
      <c r="ET87" s="109">
        <f t="shared" si="222"/>
        <v>3</v>
      </c>
      <c r="FF87" s="12" t="str">
        <f t="shared" si="186"/>
        <v>FY19</v>
      </c>
      <c r="FG87" s="12">
        <f t="shared" si="186"/>
        <v>43566</v>
      </c>
      <c r="FH87" s="109">
        <f t="shared" si="223"/>
        <v>17.74406361779813</v>
      </c>
      <c r="FI87" s="109">
        <f t="shared" si="223"/>
        <v>8</v>
      </c>
      <c r="FM87" s="12" t="str">
        <f t="shared" si="258"/>
        <v>FY19</v>
      </c>
      <c r="FN87" s="12">
        <f t="shared" si="258"/>
        <v>43552</v>
      </c>
      <c r="FO87" s="109">
        <f t="shared" si="259"/>
        <v>26.225644903768799</v>
      </c>
      <c r="FP87" s="109">
        <f t="shared" si="259"/>
        <v>20</v>
      </c>
      <c r="GB87" s="12" t="str">
        <f t="shared" si="188"/>
        <v>FY20</v>
      </c>
      <c r="GC87" s="12">
        <f t="shared" si="188"/>
        <v>43930</v>
      </c>
      <c r="GD87" s="109">
        <f t="shared" si="224"/>
        <v>21.964242505320762</v>
      </c>
      <c r="GE87" s="109">
        <f t="shared" si="224"/>
        <v>8</v>
      </c>
      <c r="GI87" s="12" t="str">
        <f t="shared" si="260"/>
        <v>FY20</v>
      </c>
      <c r="GJ87" s="12">
        <f t="shared" si="260"/>
        <v>43916</v>
      </c>
      <c r="GK87" s="109">
        <f t="shared" si="261"/>
        <v>82.611427667984188</v>
      </c>
      <c r="GL87" s="109">
        <f t="shared" si="261"/>
        <v>80</v>
      </c>
      <c r="GX87" s="12" t="str">
        <f t="shared" si="190"/>
        <v>FY21</v>
      </c>
      <c r="GY87" s="12">
        <f t="shared" si="190"/>
        <v>44294</v>
      </c>
      <c r="GZ87" s="109">
        <f t="shared" si="225"/>
        <v>41.866552508361195</v>
      </c>
      <c r="HA87" s="109">
        <f t="shared" si="225"/>
        <v>30</v>
      </c>
      <c r="HM87" s="12" t="str">
        <f t="shared" si="192"/>
        <v>FY22</v>
      </c>
      <c r="HN87" s="12">
        <f t="shared" si="192"/>
        <v>44658</v>
      </c>
      <c r="HO87" s="109">
        <f t="shared" si="226"/>
        <v>42.925571784736995</v>
      </c>
      <c r="HP87" s="109">
        <f t="shared" si="226"/>
        <v>20</v>
      </c>
      <c r="HT87" s="12" t="str">
        <f t="shared" si="262"/>
        <v>FY22</v>
      </c>
      <c r="HU87" s="12">
        <f t="shared" si="262"/>
        <v>44644</v>
      </c>
      <c r="HV87" s="109">
        <f t="shared" si="263"/>
        <v>19.376209911827303</v>
      </c>
      <c r="HW87" s="109">
        <f t="shared" si="263"/>
        <v>3</v>
      </c>
      <c r="II87" s="12" t="str">
        <f t="shared" si="239"/>
        <v>FY23</v>
      </c>
      <c r="IJ87" s="12">
        <f t="shared" si="240"/>
        <v>44889</v>
      </c>
      <c r="IK87" s="109">
        <f t="shared" si="241"/>
        <v>71.266594101550623</v>
      </c>
      <c r="IL87" s="109">
        <f t="shared" si="241"/>
        <v>50</v>
      </c>
      <c r="IP87" s="12" t="str">
        <f t="shared" si="264"/>
        <v>FY23</v>
      </c>
      <c r="IQ87" s="12">
        <f t="shared" si="264"/>
        <v>44875</v>
      </c>
      <c r="IR87" s="109">
        <f t="shared" si="265"/>
        <v>44.321005290361803</v>
      </c>
      <c r="IS87" s="109">
        <f t="shared" si="265"/>
        <v>20</v>
      </c>
      <c r="IW87" s="16" t="s">
        <v>169</v>
      </c>
      <c r="IX87" s="12">
        <v>44588</v>
      </c>
      <c r="IY87" s="103">
        <v>34469990.878686532</v>
      </c>
      <c r="IZ87" s="104">
        <v>20000000</v>
      </c>
      <c r="JE87" s="12" t="str">
        <f t="shared" si="242"/>
        <v>Since FY21</v>
      </c>
      <c r="JF87" s="12">
        <f t="shared" si="242"/>
        <v>44154</v>
      </c>
      <c r="JG87" s="109">
        <f t="shared" si="243"/>
        <v>23.485624323502588</v>
      </c>
      <c r="JH87" s="109">
        <f t="shared" si="243"/>
        <v>8</v>
      </c>
      <c r="JI87" s="109"/>
      <c r="JJ87" s="40"/>
      <c r="JN87" s="12" t="str">
        <f t="shared" si="266"/>
        <v>Since FY21</v>
      </c>
      <c r="JO87" s="12">
        <f t="shared" si="266"/>
        <v>44140</v>
      </c>
      <c r="JP87" s="109">
        <f t="shared" si="267"/>
        <v>39.323627363940403</v>
      </c>
      <c r="JQ87" s="109">
        <f t="shared" si="267"/>
        <v>20</v>
      </c>
      <c r="JR87" s="109" t="e">
        <f t="shared" si="268"/>
        <v>#N/A</v>
      </c>
      <c r="JS87" s="109" t="e">
        <f t="shared" si="268"/>
        <v>#N/A</v>
      </c>
      <c r="JT87" s="109">
        <f t="shared" si="249"/>
        <v>211.935</v>
      </c>
      <c r="JU87" s="40">
        <v>180</v>
      </c>
      <c r="NI87" s="12"/>
      <c r="NJ87" s="12"/>
      <c r="NK87" s="109"/>
      <c r="NL87" s="109"/>
      <c r="NX87" s="12"/>
      <c r="NY87" s="12"/>
      <c r="NZ87" s="109"/>
      <c r="OA87" s="109"/>
    </row>
    <row r="88" spans="6:393" x14ac:dyDescent="0.25">
      <c r="F88" s="5"/>
      <c r="G88" s="5"/>
      <c r="H88" s="5"/>
      <c r="I88" s="5"/>
      <c r="M88" s="5" t="str" cm="1">
        <f t="array" ref="M88">LOOKUP(2,1/($G$19:$G$35&lt;=$V88)/($H$19:$H$35&gt;=$V88),$F$19:$F$35)</f>
        <v>1H19</v>
      </c>
      <c r="N88" s="5" t="str" cm="1">
        <f t="array" ref="N88">LOOKUP(2,1/($G$8:$G$16&lt;=$V88)/($H$8:$H$16&gt;=$V88),$F$8:$F$16)</f>
        <v>FY19</v>
      </c>
      <c r="O88" s="5" t="str">
        <f>IFERROR(N88&amp;"-"&amp;COUNTIF($N$19:N88,N88),NA())</f>
        <v>FY19-6</v>
      </c>
      <c r="P88" s="5">
        <f>COUNTIF(V$19:V88,"&gt;="&amp;MAX($V:$V)-183)</f>
        <v>0</v>
      </c>
      <c r="Q88" s="5">
        <f>COUNTIF(V$19:V88,"&gt;="&amp;MAX($V:$V)-365)</f>
        <v>0</v>
      </c>
      <c r="R88" s="5" cm="1">
        <f t="array" ref="R88">LOOKUP(2,1/($G$46:$G$50&lt;=$V88)/($H$46:$H$50&gt;=$V88),$F$46:$F$50)</f>
        <v>0</v>
      </c>
      <c r="S88" s="5" cm="1">
        <f t="array" ref="S88">LOOKUP(2,1/($G$53:$G$56&lt;=$V88)/($H$53:$H$56&gt;=$V88),$F$53:$F$56)</f>
        <v>0</v>
      </c>
      <c r="T88" s="5" t="e">
        <f>IFERROR(IF($R88&gt;0,$R88&amp;"-"&amp;COUNTIF($R$19:$R88,$R88),NA()),NA())</f>
        <v>#N/A</v>
      </c>
      <c r="U88" s="5" t="e">
        <f>IFERROR(IF($S88&gt;0,$S88&amp;"-"&amp;COUNTIF($S$19:$S88,$S88),NA()),NA())</f>
        <v>#N/A</v>
      </c>
      <c r="V88" s="10">
        <v>43321</v>
      </c>
      <c r="W88" s="101">
        <v>89658851.621106133</v>
      </c>
      <c r="X88" s="101">
        <v>107796837.30405591</v>
      </c>
      <c r="Y88" s="102">
        <v>80000000</v>
      </c>
      <c r="AI88" s="18"/>
      <c r="AJ88" s="12"/>
      <c r="AK88" s="109"/>
      <c r="AL88" s="109"/>
      <c r="AP88" s="18" t="e">
        <f t="shared" si="252"/>
        <v>#N/A</v>
      </c>
      <c r="AQ88" s="12" t="e">
        <f t="shared" si="252"/>
        <v>#N/A</v>
      </c>
      <c r="AR88" s="109" t="e">
        <f t="shared" si="253"/>
        <v>#N/A</v>
      </c>
      <c r="AS88" s="109" t="e">
        <f t="shared" si="253"/>
        <v>#N/A</v>
      </c>
      <c r="BF88" s="18">
        <f t="shared" si="250"/>
        <v>42</v>
      </c>
      <c r="BG88" s="12">
        <f t="shared" si="250"/>
        <v>45127</v>
      </c>
      <c r="BH88" s="109">
        <f t="shared" si="251"/>
        <v>60.8369621880789</v>
      </c>
      <c r="BI88" s="109">
        <f t="shared" si="251"/>
        <v>40</v>
      </c>
      <c r="BM88" s="18">
        <f t="shared" si="254"/>
        <v>40</v>
      </c>
      <c r="BN88" s="12">
        <f t="shared" si="254"/>
        <v>45113</v>
      </c>
      <c r="BO88" s="109">
        <f t="shared" si="255"/>
        <v>31.154789255748071</v>
      </c>
      <c r="BP88" s="109">
        <f t="shared" si="255"/>
        <v>12</v>
      </c>
      <c r="CB88" s="18" t="e">
        <f t="shared" si="176"/>
        <v>#N/A</v>
      </c>
      <c r="CC88" s="12" t="e">
        <f t="shared" si="176"/>
        <v>#N/A</v>
      </c>
      <c r="CD88" s="109" t="e">
        <f t="shared" si="177"/>
        <v>#N/A</v>
      </c>
      <c r="CE88" s="109" t="e">
        <f t="shared" si="177"/>
        <v>#N/A</v>
      </c>
      <c r="CQ88" s="18" t="e">
        <f t="shared" si="178"/>
        <v>#N/A</v>
      </c>
      <c r="CR88" s="12" t="e">
        <f t="shared" si="178"/>
        <v>#N/A</v>
      </c>
      <c r="CS88" s="109" t="e">
        <f t="shared" si="179"/>
        <v>#N/A</v>
      </c>
      <c r="CT88" s="109" t="e">
        <f t="shared" si="179"/>
        <v>#N/A</v>
      </c>
      <c r="DF88" s="18" t="e">
        <f t="shared" si="180"/>
        <v>#N/A</v>
      </c>
      <c r="DG88" s="12" t="e">
        <f t="shared" si="180"/>
        <v>#N/A</v>
      </c>
      <c r="DH88" s="109" t="e">
        <f t="shared" si="181"/>
        <v>#N/A</v>
      </c>
      <c r="DI88" s="109" t="e">
        <f t="shared" si="181"/>
        <v>#N/A</v>
      </c>
      <c r="DU88" s="18" t="e">
        <f t="shared" si="182"/>
        <v>#N/A</v>
      </c>
      <c r="DV88" s="12" t="e">
        <f t="shared" si="182"/>
        <v>#N/A</v>
      </c>
      <c r="DW88" s="109" t="e">
        <f t="shared" si="183"/>
        <v>#N/A</v>
      </c>
      <c r="DX88" s="109" t="e">
        <f t="shared" si="183"/>
        <v>#N/A</v>
      </c>
      <c r="EB88" s="12" t="e">
        <f t="shared" si="256"/>
        <v>#N/A</v>
      </c>
      <c r="EC88" s="12" t="e">
        <f t="shared" si="256"/>
        <v>#N/A</v>
      </c>
      <c r="ED88" s="109" t="e">
        <f t="shared" si="257"/>
        <v>#N/A</v>
      </c>
      <c r="EE88" s="109" t="e">
        <f t="shared" si="257"/>
        <v>#N/A</v>
      </c>
      <c r="EQ88" s="12" t="str">
        <f t="shared" si="184"/>
        <v>FY18-42</v>
      </c>
      <c r="ER88" s="12">
        <f t="shared" si="184"/>
        <v>43209</v>
      </c>
      <c r="ES88" s="109">
        <f t="shared" si="222"/>
        <v>17.183138970120783</v>
      </c>
      <c r="ET88" s="109">
        <f t="shared" si="222"/>
        <v>8</v>
      </c>
      <c r="FF88" s="12" t="str">
        <f t="shared" si="186"/>
        <v>FY19</v>
      </c>
      <c r="FG88" s="12">
        <f t="shared" si="186"/>
        <v>43573</v>
      </c>
      <c r="FH88" s="109">
        <f t="shared" si="223"/>
        <v>22.274509066155083</v>
      </c>
      <c r="FI88" s="109">
        <f t="shared" si="223"/>
        <v>12</v>
      </c>
      <c r="FM88" s="12" t="str">
        <f t="shared" si="258"/>
        <v>FY19</v>
      </c>
      <c r="FN88" s="12">
        <f t="shared" si="258"/>
        <v>43559</v>
      </c>
      <c r="FO88" s="109">
        <f t="shared" si="259"/>
        <v>13.585177795655671</v>
      </c>
      <c r="FP88" s="109">
        <f t="shared" si="259"/>
        <v>3</v>
      </c>
      <c r="GB88" s="12" t="str">
        <f t="shared" si="188"/>
        <v>FY20</v>
      </c>
      <c r="GC88" s="12">
        <f t="shared" si="188"/>
        <v>43937</v>
      </c>
      <c r="GD88" s="109">
        <f t="shared" si="224"/>
        <v>28.686509212526602</v>
      </c>
      <c r="GE88" s="109">
        <f t="shared" si="224"/>
        <v>12</v>
      </c>
      <c r="GI88" s="12" t="str">
        <f t="shared" si="260"/>
        <v>FY20</v>
      </c>
      <c r="GJ88" s="12">
        <f t="shared" si="260"/>
        <v>43923</v>
      </c>
      <c r="GK88" s="109">
        <f t="shared" si="261"/>
        <v>15.454267436910914</v>
      </c>
      <c r="GL88" s="109">
        <f t="shared" si="261"/>
        <v>3</v>
      </c>
      <c r="GX88" s="12" t="str">
        <f t="shared" si="190"/>
        <v>FY21</v>
      </c>
      <c r="GY88" s="12">
        <f t="shared" si="190"/>
        <v>44301</v>
      </c>
      <c r="GZ88" s="109">
        <f t="shared" si="225"/>
        <v>63.615309698996647</v>
      </c>
      <c r="HA88" s="109">
        <f t="shared" si="225"/>
        <v>50</v>
      </c>
      <c r="HM88" s="12" t="str">
        <f t="shared" si="192"/>
        <v>FY22</v>
      </c>
      <c r="HN88" s="12">
        <f t="shared" si="192"/>
        <v>44665</v>
      </c>
      <c r="HO88" s="109">
        <f t="shared" si="226"/>
        <v>20.606947765278193</v>
      </c>
      <c r="HP88" s="109">
        <f t="shared" si="226"/>
        <v>4</v>
      </c>
      <c r="HT88" s="12" t="str">
        <f t="shared" si="262"/>
        <v>FY22</v>
      </c>
      <c r="HU88" s="12">
        <f t="shared" si="262"/>
        <v>44651</v>
      </c>
      <c r="HV88" s="109">
        <f t="shared" si="263"/>
        <v>27.161959987838248</v>
      </c>
      <c r="HW88" s="109">
        <f t="shared" si="263"/>
        <v>8</v>
      </c>
      <c r="II88" s="12" t="str">
        <f t="shared" si="239"/>
        <v>FY23</v>
      </c>
      <c r="IJ88" s="12">
        <f t="shared" si="240"/>
        <v>44896</v>
      </c>
      <c r="IK88" s="109">
        <f t="shared" si="241"/>
        <v>25.213057950744904</v>
      </c>
      <c r="IL88" s="109">
        <f t="shared" si="241"/>
        <v>8</v>
      </c>
      <c r="IP88" s="12" t="str">
        <f t="shared" si="264"/>
        <v>FY23</v>
      </c>
      <c r="IQ88" s="12">
        <f t="shared" si="264"/>
        <v>44882</v>
      </c>
      <c r="IR88" s="109">
        <f t="shared" si="265"/>
        <v>51.026175372453629</v>
      </c>
      <c r="IS88" s="109">
        <f t="shared" si="265"/>
        <v>30</v>
      </c>
      <c r="IW88" s="16" t="s">
        <v>169</v>
      </c>
      <c r="IX88" s="12">
        <v>44595</v>
      </c>
      <c r="IY88" s="103">
        <v>56254159.197324418</v>
      </c>
      <c r="IZ88" s="104">
        <v>40000000</v>
      </c>
      <c r="JE88" s="12" t="str">
        <f>IF(ISBLANK(IW26),NA(),IW26)</f>
        <v>Since FY21</v>
      </c>
      <c r="JF88" s="12">
        <f t="shared" ref="JF88:JF151" si="269">IF(ISBLANK(IX26),NA(),IX26)</f>
        <v>44161</v>
      </c>
      <c r="JG88" s="109">
        <f t="shared" si="243"/>
        <v>40.190379811492861</v>
      </c>
      <c r="JH88" s="109">
        <f t="shared" si="243"/>
        <v>20</v>
      </c>
      <c r="JI88" s="109"/>
      <c r="JJ88" s="40"/>
      <c r="JN88" s="12" t="str">
        <f t="shared" si="266"/>
        <v>Since FY21</v>
      </c>
      <c r="JO88" s="12">
        <f t="shared" si="266"/>
        <v>44147</v>
      </c>
      <c r="JP88" s="109">
        <f t="shared" si="267"/>
        <v>17.49003441775616</v>
      </c>
      <c r="JQ88" s="109">
        <f t="shared" si="267"/>
        <v>3</v>
      </c>
      <c r="JR88" s="109" t="e">
        <f t="shared" si="268"/>
        <v>#N/A</v>
      </c>
      <c r="JS88" s="109" t="e">
        <f t="shared" si="268"/>
        <v>#N/A</v>
      </c>
      <c r="JT88" s="109">
        <f t="shared" si="249"/>
        <v>222.774</v>
      </c>
      <c r="JU88" s="40">
        <v>190</v>
      </c>
      <c r="NI88" s="12"/>
      <c r="NJ88" s="12"/>
      <c r="NK88" s="109"/>
      <c r="NL88" s="109"/>
      <c r="NX88" s="12"/>
      <c r="NY88" s="12"/>
      <c r="NZ88" s="109"/>
      <c r="OA88" s="109"/>
    </row>
    <row r="89" spans="6:393" x14ac:dyDescent="0.25">
      <c r="M89" s="5" t="str" cm="1">
        <f t="array" ref="M89">LOOKUP(2,1/($G$19:$G$35&lt;=$V89)/($H$19:$H$35&gt;=$V89),$F$19:$F$35)</f>
        <v>1H19</v>
      </c>
      <c r="N89" s="5" t="str" cm="1">
        <f t="array" ref="N89">LOOKUP(2,1/($G$8:$G$16&lt;=$V89)/($H$8:$H$16&gt;=$V89),$F$8:$F$16)</f>
        <v>FY19</v>
      </c>
      <c r="O89" s="5" t="str">
        <f>IFERROR(N89&amp;"-"&amp;COUNTIF($N$19:N89,N89),NA())</f>
        <v>FY19-7</v>
      </c>
      <c r="P89" s="5">
        <f>COUNTIF(V$19:V89,"&gt;="&amp;MAX($V:$V)-183)</f>
        <v>0</v>
      </c>
      <c r="Q89" s="5">
        <f>COUNTIF(V$19:V89,"&gt;="&amp;MAX($V:$V)-365)</f>
        <v>0</v>
      </c>
      <c r="R89" s="5" cm="1">
        <f t="array" ref="R89">LOOKUP(2,1/($G$46:$G$50&lt;=$V89)/($H$46:$H$50&gt;=$V89),$F$46:$F$50)</f>
        <v>0</v>
      </c>
      <c r="S89" s="5" cm="1">
        <f t="array" ref="S89">LOOKUP(2,1/($G$53:$G$56&lt;=$V89)/($H$53:$H$56&gt;=$V89),$F$53:$F$56)</f>
        <v>0</v>
      </c>
      <c r="T89" s="5" t="e">
        <f>IFERROR(IF($R89&gt;0,$R89&amp;"-"&amp;COUNTIF($R$19:$R89,$R89),NA()),NA())</f>
        <v>#N/A</v>
      </c>
      <c r="U89" s="5" t="e">
        <f>IFERROR(IF($S89&gt;0,$S89&amp;"-"&amp;COUNTIF($S$19:$S89,$S89),NA()),NA())</f>
        <v>#N/A</v>
      </c>
      <c r="V89" s="10">
        <v>43328</v>
      </c>
      <c r="W89" s="101">
        <v>169384236.4907819</v>
      </c>
      <c r="X89" s="101">
        <v>203650667.5328671</v>
      </c>
      <c r="Y89" s="102">
        <v>100000000</v>
      </c>
      <c r="AI89" s="18"/>
      <c r="AJ89" s="12"/>
      <c r="AK89" s="109"/>
      <c r="AL89" s="109"/>
      <c r="AP89" s="18" t="e">
        <f t="shared" si="252"/>
        <v>#N/A</v>
      </c>
      <c r="AQ89" s="12" t="e">
        <f t="shared" si="252"/>
        <v>#N/A</v>
      </c>
      <c r="AR89" s="109" t="e">
        <f t="shared" si="253"/>
        <v>#N/A</v>
      </c>
      <c r="AS89" s="109" t="e">
        <f t="shared" si="253"/>
        <v>#N/A</v>
      </c>
      <c r="BF89" s="18">
        <f t="shared" si="250"/>
        <v>43</v>
      </c>
      <c r="BG89" s="12">
        <f t="shared" si="250"/>
        <v>45134</v>
      </c>
      <c r="BH89" s="109">
        <f t="shared" si="251"/>
        <v>84.639629072681714</v>
      </c>
      <c r="BI89" s="109">
        <f t="shared" si="251"/>
        <v>60</v>
      </c>
      <c r="BM89" s="18">
        <f t="shared" si="254"/>
        <v>41</v>
      </c>
      <c r="BN89" s="12">
        <f t="shared" si="254"/>
        <v>45120</v>
      </c>
      <c r="BO89" s="109">
        <f t="shared" si="255"/>
        <v>40.570238531110391</v>
      </c>
      <c r="BP89" s="109">
        <f t="shared" si="255"/>
        <v>20</v>
      </c>
      <c r="CB89" s="18" t="e">
        <f t="shared" si="176"/>
        <v>#N/A</v>
      </c>
      <c r="CC89" s="12" t="e">
        <f t="shared" si="176"/>
        <v>#N/A</v>
      </c>
      <c r="CD89" s="109" t="e">
        <f t="shared" si="177"/>
        <v>#N/A</v>
      </c>
      <c r="CE89" s="109" t="e">
        <f t="shared" si="177"/>
        <v>#N/A</v>
      </c>
      <c r="CQ89" s="18" t="e">
        <f t="shared" si="178"/>
        <v>#N/A</v>
      </c>
      <c r="CR89" s="12" t="e">
        <f t="shared" si="178"/>
        <v>#N/A</v>
      </c>
      <c r="CS89" s="109" t="e">
        <f t="shared" si="179"/>
        <v>#N/A</v>
      </c>
      <c r="CT89" s="109" t="e">
        <f t="shared" si="179"/>
        <v>#N/A</v>
      </c>
      <c r="DF89" s="18" t="e">
        <f t="shared" si="180"/>
        <v>#N/A</v>
      </c>
      <c r="DG89" s="12" t="e">
        <f t="shared" si="180"/>
        <v>#N/A</v>
      </c>
      <c r="DH89" s="109" t="e">
        <f t="shared" si="181"/>
        <v>#N/A</v>
      </c>
      <c r="DI89" s="109" t="e">
        <f t="shared" si="181"/>
        <v>#N/A</v>
      </c>
      <c r="DU89" s="18" t="e">
        <f t="shared" si="182"/>
        <v>#N/A</v>
      </c>
      <c r="DV89" s="12" t="e">
        <f t="shared" si="182"/>
        <v>#N/A</v>
      </c>
      <c r="DW89" s="109" t="e">
        <f t="shared" si="183"/>
        <v>#N/A</v>
      </c>
      <c r="DX89" s="109" t="e">
        <f t="shared" si="183"/>
        <v>#N/A</v>
      </c>
      <c r="EB89" s="12" t="e">
        <f t="shared" si="256"/>
        <v>#N/A</v>
      </c>
      <c r="EC89" s="12" t="e">
        <f t="shared" si="256"/>
        <v>#N/A</v>
      </c>
      <c r="ED89" s="109" t="e">
        <f t="shared" si="257"/>
        <v>#N/A</v>
      </c>
      <c r="EE89" s="109" t="e">
        <f t="shared" si="257"/>
        <v>#N/A</v>
      </c>
      <c r="EQ89" s="12" t="str">
        <f t="shared" si="184"/>
        <v>FY18-43</v>
      </c>
      <c r="ER89" s="12">
        <f t="shared" si="184"/>
        <v>43216</v>
      </c>
      <c r="ES89" s="109">
        <f t="shared" si="222"/>
        <v>11.440443356643355</v>
      </c>
      <c r="ET89" s="109">
        <f t="shared" si="222"/>
        <v>3</v>
      </c>
      <c r="FF89" s="12" t="str">
        <f t="shared" si="186"/>
        <v>FY19</v>
      </c>
      <c r="FG89" s="12">
        <f t="shared" si="186"/>
        <v>43580</v>
      </c>
      <c r="FH89" s="109">
        <f t="shared" si="223"/>
        <v>22.688576025744165</v>
      </c>
      <c r="FI89" s="109">
        <f t="shared" si="223"/>
        <v>20</v>
      </c>
      <c r="FM89" s="12" t="str">
        <f t="shared" si="258"/>
        <v>FY19</v>
      </c>
      <c r="FN89" s="12">
        <f t="shared" si="258"/>
        <v>43566</v>
      </c>
      <c r="FO89" s="109">
        <f t="shared" si="259"/>
        <v>17.74406361779813</v>
      </c>
      <c r="FP89" s="109">
        <f t="shared" si="259"/>
        <v>8</v>
      </c>
      <c r="GB89" s="12" t="str">
        <f t="shared" si="188"/>
        <v>FY20</v>
      </c>
      <c r="GC89" s="12">
        <f t="shared" si="188"/>
        <v>43944</v>
      </c>
      <c r="GD89" s="109">
        <f t="shared" si="224"/>
        <v>40.886779446640311</v>
      </c>
      <c r="GE89" s="109">
        <f t="shared" si="224"/>
        <v>20</v>
      </c>
      <c r="GI89" s="12" t="str">
        <f t="shared" si="260"/>
        <v>FY20</v>
      </c>
      <c r="GJ89" s="12">
        <f t="shared" si="260"/>
        <v>43930</v>
      </c>
      <c r="GK89" s="109">
        <f t="shared" si="261"/>
        <v>21.964242505320762</v>
      </c>
      <c r="GL89" s="109">
        <f t="shared" si="261"/>
        <v>8</v>
      </c>
      <c r="GX89" s="12" t="str">
        <f t="shared" si="190"/>
        <v>FY21</v>
      </c>
      <c r="GY89" s="12">
        <f t="shared" si="190"/>
        <v>44308</v>
      </c>
      <c r="GZ89" s="109">
        <f t="shared" si="225"/>
        <v>118.500310611128</v>
      </c>
      <c r="HA89" s="109">
        <f t="shared" si="225"/>
        <v>80</v>
      </c>
      <c r="HM89" s="12" t="str">
        <f t="shared" si="192"/>
        <v>FY22</v>
      </c>
      <c r="HN89" s="12">
        <f t="shared" si="192"/>
        <v>44672</v>
      </c>
      <c r="HO89" s="109">
        <f t="shared" si="226"/>
        <v>24.23271170568562</v>
      </c>
      <c r="HP89" s="109">
        <f t="shared" si="226"/>
        <v>8</v>
      </c>
      <c r="HT89" s="12" t="str">
        <f t="shared" si="262"/>
        <v>FY22</v>
      </c>
      <c r="HU89" s="12">
        <f t="shared" si="262"/>
        <v>44658</v>
      </c>
      <c r="HV89" s="109">
        <f t="shared" si="263"/>
        <v>42.925571784736995</v>
      </c>
      <c r="HW89" s="109">
        <f t="shared" si="263"/>
        <v>20</v>
      </c>
      <c r="II89" s="12" t="str">
        <f t="shared" ref="II89:IJ112" si="270">IF(ISBLANK(IA27),NA(),IA27)</f>
        <v>FY23</v>
      </c>
      <c r="IJ89" s="12">
        <f t="shared" si="270"/>
        <v>44903</v>
      </c>
      <c r="IK89" s="109">
        <f t="shared" si="241"/>
        <v>38.341626147765275</v>
      </c>
      <c r="IL89" s="109">
        <f t="shared" si="241"/>
        <v>20</v>
      </c>
      <c r="IP89" s="12" t="str">
        <f t="shared" si="264"/>
        <v>FY23</v>
      </c>
      <c r="IQ89" s="12">
        <f t="shared" si="264"/>
        <v>44889</v>
      </c>
      <c r="IR89" s="109">
        <f t="shared" si="265"/>
        <v>71.266594101550623</v>
      </c>
      <c r="IS89" s="109">
        <f t="shared" si="265"/>
        <v>50</v>
      </c>
      <c r="IW89" s="16" t="s">
        <v>169</v>
      </c>
      <c r="IX89" s="12">
        <v>44602</v>
      </c>
      <c r="IY89" s="103">
        <v>79133284.037701428</v>
      </c>
      <c r="IZ89" s="104">
        <v>60000000</v>
      </c>
      <c r="JE89" s="12" t="str">
        <f t="shared" ref="JE89:JF152" si="271">IF(ISBLANK(IW27),NA(),IW27)</f>
        <v>Since FY21</v>
      </c>
      <c r="JF89" s="12">
        <f t="shared" si="269"/>
        <v>44168</v>
      </c>
      <c r="JG89" s="109">
        <f t="shared" si="243"/>
        <v>17.815226512617816</v>
      </c>
      <c r="JH89" s="109">
        <f t="shared" si="243"/>
        <v>3</v>
      </c>
      <c r="JI89" s="109"/>
      <c r="JJ89" s="40"/>
      <c r="JN89" s="12" t="str">
        <f t="shared" si="266"/>
        <v>Since FY21</v>
      </c>
      <c r="JO89" s="12">
        <f t="shared" si="266"/>
        <v>44154</v>
      </c>
      <c r="JP89" s="109">
        <f t="shared" si="267"/>
        <v>23.485624323502588</v>
      </c>
      <c r="JQ89" s="109">
        <f t="shared" si="267"/>
        <v>8</v>
      </c>
      <c r="JR89" s="109" t="e">
        <f t="shared" si="268"/>
        <v>#N/A</v>
      </c>
      <c r="JS89" s="109" t="e">
        <f t="shared" si="268"/>
        <v>#N/A</v>
      </c>
      <c r="JT89" s="109">
        <f t="shared" si="249"/>
        <v>233.61300000000003</v>
      </c>
      <c r="JU89" s="40">
        <v>200</v>
      </c>
      <c r="NI89" s="12"/>
      <c r="NJ89" s="12"/>
      <c r="NK89" s="109"/>
      <c r="NL89" s="109"/>
      <c r="NX89" s="12"/>
      <c r="NY89" s="12"/>
      <c r="NZ89" s="109"/>
      <c r="OA89" s="109"/>
    </row>
    <row r="90" spans="6:393" x14ac:dyDescent="0.25">
      <c r="M90" s="5" t="str" cm="1">
        <f t="array" ref="M90">LOOKUP(2,1/($G$19:$G$35&lt;=$V90)/($H$19:$H$35&gt;=$V90),$F$19:$F$35)</f>
        <v>1H19</v>
      </c>
      <c r="N90" s="5" t="str" cm="1">
        <f t="array" ref="N90">LOOKUP(2,1/($G$8:$G$16&lt;=$V90)/($H$8:$H$16&gt;=$V90),$F$8:$F$16)</f>
        <v>FY19</v>
      </c>
      <c r="O90" s="5" t="str">
        <f>IFERROR(N90&amp;"-"&amp;COUNTIF($N$19:N90,N90),NA())</f>
        <v>FY19-8</v>
      </c>
      <c r="P90" s="5">
        <f>COUNTIF(V$19:V90,"&gt;="&amp;MAX($V:$V)-183)</f>
        <v>0</v>
      </c>
      <c r="Q90" s="5">
        <f>COUNTIF(V$19:V90,"&gt;="&amp;MAX($V:$V)-365)</f>
        <v>0</v>
      </c>
      <c r="R90" s="5" cm="1">
        <f t="array" ref="R90">LOOKUP(2,1/($G$46:$G$50&lt;=$V90)/($H$46:$H$50&gt;=$V90),$F$46:$F$50)</f>
        <v>0</v>
      </c>
      <c r="S90" s="5" cm="1">
        <f t="array" ref="S90">LOOKUP(2,1/($G$53:$G$56&lt;=$V90)/($H$53:$H$56&gt;=$V90),$F$53:$F$56)</f>
        <v>0</v>
      </c>
      <c r="T90" s="5" t="e">
        <f>IFERROR(IF($R90&gt;0,$R90&amp;"-"&amp;COUNTIF($R$19:$R90,$R90),NA()),NA())</f>
        <v>#N/A</v>
      </c>
      <c r="U90" s="5" t="e">
        <f>IFERROR(IF($S90&gt;0,$S90&amp;"-"&amp;COUNTIF($S$19:$S90,$S90),NA()),NA())</f>
        <v>#N/A</v>
      </c>
      <c r="V90" s="10">
        <v>43335</v>
      </c>
      <c r="W90" s="101">
        <v>14031852.256834073</v>
      </c>
      <c r="X90" s="101">
        <v>16870495.968391608</v>
      </c>
      <c r="Y90" s="102">
        <v>3000000</v>
      </c>
      <c r="AI90" s="18"/>
      <c r="AJ90" s="12"/>
      <c r="AK90" s="109"/>
      <c r="AL90" s="109"/>
      <c r="AP90" s="18" t="e">
        <f t="shared" si="252"/>
        <v>#N/A</v>
      </c>
      <c r="AQ90" s="12" t="e">
        <f t="shared" si="252"/>
        <v>#N/A</v>
      </c>
      <c r="AR90" s="109" t="e">
        <f t="shared" si="253"/>
        <v>#N/A</v>
      </c>
      <c r="AS90" s="109" t="e">
        <f t="shared" si="253"/>
        <v>#N/A</v>
      </c>
      <c r="BF90" s="18">
        <f t="shared" si="250"/>
        <v>44</v>
      </c>
      <c r="BG90" s="12">
        <f t="shared" si="250"/>
        <v>45141</v>
      </c>
      <c r="BH90" s="109">
        <f t="shared" si="251"/>
        <v>156.82348817696416</v>
      </c>
      <c r="BI90" s="109">
        <f t="shared" si="251"/>
        <v>100</v>
      </c>
      <c r="BM90" s="18">
        <f t="shared" si="254"/>
        <v>42</v>
      </c>
      <c r="BN90" s="12">
        <f t="shared" si="254"/>
        <v>45127</v>
      </c>
      <c r="BO90" s="109">
        <f t="shared" si="255"/>
        <v>60.8369621880789</v>
      </c>
      <c r="BP90" s="109">
        <f t="shared" si="255"/>
        <v>40</v>
      </c>
      <c r="CB90" s="18" t="e">
        <f t="shared" si="176"/>
        <v>#N/A</v>
      </c>
      <c r="CC90" s="12" t="e">
        <f t="shared" si="176"/>
        <v>#N/A</v>
      </c>
      <c r="CD90" s="109" t="e">
        <f t="shared" si="177"/>
        <v>#N/A</v>
      </c>
      <c r="CE90" s="109" t="e">
        <f t="shared" si="177"/>
        <v>#N/A</v>
      </c>
      <c r="CQ90" s="18" t="e">
        <f t="shared" si="178"/>
        <v>#N/A</v>
      </c>
      <c r="CR90" s="12" t="e">
        <f t="shared" si="178"/>
        <v>#N/A</v>
      </c>
      <c r="CS90" s="109" t="e">
        <f t="shared" si="179"/>
        <v>#N/A</v>
      </c>
      <c r="CT90" s="109" t="e">
        <f t="shared" si="179"/>
        <v>#N/A</v>
      </c>
      <c r="DF90" s="18" t="e">
        <f t="shared" si="180"/>
        <v>#N/A</v>
      </c>
      <c r="DG90" s="12" t="e">
        <f t="shared" si="180"/>
        <v>#N/A</v>
      </c>
      <c r="DH90" s="109" t="e">
        <f t="shared" si="181"/>
        <v>#N/A</v>
      </c>
      <c r="DI90" s="109" t="e">
        <f t="shared" si="181"/>
        <v>#N/A</v>
      </c>
      <c r="DU90" s="18" t="e">
        <f t="shared" si="182"/>
        <v>#N/A</v>
      </c>
      <c r="DV90" s="12" t="e">
        <f t="shared" si="182"/>
        <v>#N/A</v>
      </c>
      <c r="DW90" s="109" t="e">
        <f t="shared" si="183"/>
        <v>#N/A</v>
      </c>
      <c r="DX90" s="109" t="e">
        <f t="shared" si="183"/>
        <v>#N/A</v>
      </c>
      <c r="EB90" s="12" t="e">
        <f t="shared" si="256"/>
        <v>#N/A</v>
      </c>
      <c r="EC90" s="12" t="e">
        <f t="shared" si="256"/>
        <v>#N/A</v>
      </c>
      <c r="ED90" s="109" t="e">
        <f t="shared" si="257"/>
        <v>#N/A</v>
      </c>
      <c r="EE90" s="109" t="e">
        <f t="shared" si="257"/>
        <v>#N/A</v>
      </c>
      <c r="EQ90" s="12" t="str">
        <f t="shared" si="184"/>
        <v>FY18-44</v>
      </c>
      <c r="ER90" s="12">
        <f t="shared" si="184"/>
        <v>43223</v>
      </c>
      <c r="ES90" s="109">
        <f t="shared" si="222"/>
        <v>15.861424030514938</v>
      </c>
      <c r="ET90" s="109">
        <f t="shared" si="222"/>
        <v>8</v>
      </c>
      <c r="FF90" s="12" t="str">
        <f t="shared" si="186"/>
        <v>FY19</v>
      </c>
      <c r="FG90" s="12">
        <f t="shared" si="186"/>
        <v>43587</v>
      </c>
      <c r="FH90" s="109">
        <f t="shared" si="223"/>
        <v>34.273410483321989</v>
      </c>
      <c r="FI90" s="109">
        <f t="shared" si="223"/>
        <v>30</v>
      </c>
      <c r="FM90" s="12" t="str">
        <f t="shared" si="258"/>
        <v>FY19</v>
      </c>
      <c r="FN90" s="12">
        <f t="shared" si="258"/>
        <v>43573</v>
      </c>
      <c r="FO90" s="109">
        <f t="shared" si="259"/>
        <v>22.274509066155083</v>
      </c>
      <c r="FP90" s="109">
        <f t="shared" si="259"/>
        <v>12</v>
      </c>
      <c r="GB90" s="12" t="str">
        <f t="shared" si="188"/>
        <v>FY20</v>
      </c>
      <c r="GC90" s="12">
        <f t="shared" si="188"/>
        <v>43951</v>
      </c>
      <c r="GD90" s="109">
        <f t="shared" si="224"/>
        <v>17.546634478564911</v>
      </c>
      <c r="GE90" s="109">
        <f t="shared" si="224"/>
        <v>3</v>
      </c>
      <c r="GI90" s="12" t="str">
        <f t="shared" si="260"/>
        <v>FY20</v>
      </c>
      <c r="GJ90" s="12">
        <f t="shared" si="260"/>
        <v>43937</v>
      </c>
      <c r="GK90" s="109">
        <f t="shared" si="261"/>
        <v>28.686509212526602</v>
      </c>
      <c r="GL90" s="109">
        <f t="shared" si="261"/>
        <v>12</v>
      </c>
      <c r="GX90" s="12" t="str">
        <f t="shared" si="190"/>
        <v>FY21</v>
      </c>
      <c r="GY90" s="12">
        <f t="shared" si="190"/>
        <v>44315</v>
      </c>
      <c r="GZ90" s="109">
        <f t="shared" si="225"/>
        <v>24.573953906962604</v>
      </c>
      <c r="HA90" s="109">
        <f t="shared" si="225"/>
        <v>8</v>
      </c>
      <c r="HM90" s="12" t="str">
        <f t="shared" si="192"/>
        <v>FY22</v>
      </c>
      <c r="HN90" s="12">
        <f t="shared" si="192"/>
        <v>44679</v>
      </c>
      <c r="HO90" s="109">
        <f t="shared" si="226"/>
        <v>39.401901124961988</v>
      </c>
      <c r="HP90" s="109">
        <f t="shared" si="226"/>
        <v>20</v>
      </c>
      <c r="HT90" s="12" t="str">
        <f t="shared" si="262"/>
        <v>FY22</v>
      </c>
      <c r="HU90" s="12">
        <f t="shared" si="262"/>
        <v>44665</v>
      </c>
      <c r="HV90" s="109">
        <f t="shared" si="263"/>
        <v>20.606947765278193</v>
      </c>
      <c r="HW90" s="109">
        <f t="shared" si="263"/>
        <v>4</v>
      </c>
      <c r="II90" s="12" t="str">
        <f t="shared" si="270"/>
        <v>FY23</v>
      </c>
      <c r="IJ90" s="12">
        <f t="shared" si="270"/>
        <v>44910</v>
      </c>
      <c r="IK90" s="109">
        <f t="shared" si="241"/>
        <v>50.094358163575549</v>
      </c>
      <c r="IL90" s="109">
        <f t="shared" si="241"/>
        <v>30</v>
      </c>
      <c r="IP90" s="12" t="str">
        <f t="shared" si="264"/>
        <v>FY23</v>
      </c>
      <c r="IQ90" s="12">
        <f t="shared" si="264"/>
        <v>44896</v>
      </c>
      <c r="IR90" s="109">
        <f t="shared" si="265"/>
        <v>25.213057950744904</v>
      </c>
      <c r="IS90" s="109">
        <f t="shared" si="265"/>
        <v>8</v>
      </c>
      <c r="IW90" s="16" t="s">
        <v>169</v>
      </c>
      <c r="IX90" s="12">
        <v>44609</v>
      </c>
      <c r="IY90" s="103">
        <v>115947240.37701429</v>
      </c>
      <c r="IZ90" s="104">
        <v>80000000</v>
      </c>
      <c r="JE90" s="12" t="str">
        <f t="shared" si="271"/>
        <v>Since FY21</v>
      </c>
      <c r="JF90" s="12">
        <f t="shared" si="269"/>
        <v>44175</v>
      </c>
      <c r="JG90" s="109">
        <f t="shared" si="243"/>
        <v>25.066381757373062</v>
      </c>
      <c r="JH90" s="109">
        <f t="shared" si="243"/>
        <v>8</v>
      </c>
      <c r="JI90" s="109"/>
      <c r="JJ90" s="40"/>
      <c r="JN90" s="12" t="str">
        <f t="shared" si="266"/>
        <v>Since FY21</v>
      </c>
      <c r="JO90" s="12">
        <f t="shared" si="266"/>
        <v>44161</v>
      </c>
      <c r="JP90" s="109">
        <f t="shared" si="267"/>
        <v>40.190379811492861</v>
      </c>
      <c r="JQ90" s="109">
        <f t="shared" si="267"/>
        <v>20</v>
      </c>
      <c r="JR90" s="109" t="e">
        <f t="shared" si="268"/>
        <v>#N/A</v>
      </c>
      <c r="JS90" s="109" t="e">
        <f t="shared" si="268"/>
        <v>#N/A</v>
      </c>
      <c r="JT90" s="40" t="e">
        <f>NA()</f>
        <v>#N/A</v>
      </c>
      <c r="JU90" s="40" t="e">
        <f>NA()</f>
        <v>#N/A</v>
      </c>
      <c r="NI90" s="12"/>
      <c r="NJ90" s="12"/>
      <c r="NK90" s="109"/>
      <c r="NL90" s="109"/>
      <c r="NX90" s="12"/>
      <c r="NY90" s="12"/>
      <c r="NZ90" s="109"/>
      <c r="OA90" s="109"/>
    </row>
    <row r="91" spans="6:393" x14ac:dyDescent="0.25">
      <c r="M91" s="5" t="str" cm="1">
        <f t="array" ref="M91">LOOKUP(2,1/($G$19:$G$35&lt;=$V91)/($H$19:$H$35&gt;=$V91),$F$19:$F$35)</f>
        <v>1H19</v>
      </c>
      <c r="N91" s="5" t="str" cm="1">
        <f t="array" ref="N91">LOOKUP(2,1/($G$8:$G$16&lt;=$V91)/($H$8:$H$16&gt;=$V91),$F$8:$F$16)</f>
        <v>FY19</v>
      </c>
      <c r="O91" s="5" t="str">
        <f>IFERROR(N91&amp;"-"&amp;COUNTIF($N$19:N91,N91),NA())</f>
        <v>FY19-9</v>
      </c>
      <c r="P91" s="5">
        <f>COUNTIF(V$19:V91,"&gt;="&amp;MAX($V:$V)-183)</f>
        <v>0</v>
      </c>
      <c r="Q91" s="5">
        <f>COUNTIF(V$19:V91,"&gt;="&amp;MAX($V:$V)-365)</f>
        <v>0</v>
      </c>
      <c r="R91" s="5" cm="1">
        <f t="array" ref="R91">LOOKUP(2,1/($G$46:$G$50&lt;=$V91)/($H$46:$H$50&gt;=$V91),$F$46:$F$50)</f>
        <v>0</v>
      </c>
      <c r="S91" s="5" cm="1">
        <f t="array" ref="S91">LOOKUP(2,1/($G$53:$G$56&lt;=$V91)/($H$53:$H$56&gt;=$V91),$F$53:$F$56)</f>
        <v>0</v>
      </c>
      <c r="T91" s="5" t="e">
        <f>IFERROR(IF($R91&gt;0,$R91&amp;"-"&amp;COUNTIF($R$19:$R91,$R91),NA()),NA())</f>
        <v>#N/A</v>
      </c>
      <c r="U91" s="5" t="e">
        <f>IFERROR(IF($S91&gt;0,$S91&amp;"-"&amp;COUNTIF($S$19:$S91,$S91),NA()),NA())</f>
        <v>#N/A</v>
      </c>
      <c r="V91" s="10">
        <v>43342</v>
      </c>
      <c r="W91" s="101">
        <v>16733295.359186264</v>
      </c>
      <c r="X91" s="101">
        <v>20118441.010349646</v>
      </c>
      <c r="Y91" s="102">
        <v>8000000</v>
      </c>
      <c r="AI91" s="18"/>
      <c r="AJ91" s="12"/>
      <c r="AK91" s="109"/>
      <c r="AL91" s="109"/>
      <c r="AP91" s="18" t="e">
        <f t="shared" si="252"/>
        <v>#N/A</v>
      </c>
      <c r="AQ91" s="12" t="e">
        <f t="shared" si="252"/>
        <v>#N/A</v>
      </c>
      <c r="AR91" s="109" t="e">
        <f t="shared" si="253"/>
        <v>#N/A</v>
      </c>
      <c r="AS91" s="109" t="e">
        <f t="shared" si="253"/>
        <v>#N/A</v>
      </c>
      <c r="BF91" s="18">
        <f t="shared" si="250"/>
        <v>45</v>
      </c>
      <c r="BG91" s="12">
        <f t="shared" si="250"/>
        <v>45148</v>
      </c>
      <c r="BH91" s="109">
        <f t="shared" si="251"/>
        <v>20.677774436090228</v>
      </c>
      <c r="BI91" s="109">
        <f t="shared" si="251"/>
        <v>4</v>
      </c>
      <c r="BM91" s="18">
        <f t="shared" si="254"/>
        <v>43</v>
      </c>
      <c r="BN91" s="12">
        <f t="shared" si="254"/>
        <v>45134</v>
      </c>
      <c r="BO91" s="109">
        <f t="shared" si="255"/>
        <v>84.639629072681714</v>
      </c>
      <c r="BP91" s="109">
        <f t="shared" si="255"/>
        <v>60</v>
      </c>
      <c r="CB91" s="18" t="e">
        <f t="shared" si="176"/>
        <v>#N/A</v>
      </c>
      <c r="CC91" s="12" t="e">
        <f t="shared" si="176"/>
        <v>#N/A</v>
      </c>
      <c r="CD91" s="109" t="e">
        <f t="shared" si="177"/>
        <v>#N/A</v>
      </c>
      <c r="CE91" s="109" t="e">
        <f t="shared" si="177"/>
        <v>#N/A</v>
      </c>
      <c r="CQ91" s="18" t="e">
        <f t="shared" si="178"/>
        <v>#N/A</v>
      </c>
      <c r="CR91" s="12" t="e">
        <f t="shared" si="178"/>
        <v>#N/A</v>
      </c>
      <c r="CS91" s="109" t="e">
        <f t="shared" si="179"/>
        <v>#N/A</v>
      </c>
      <c r="CT91" s="109" t="e">
        <f t="shared" si="179"/>
        <v>#N/A</v>
      </c>
      <c r="DF91" s="18" t="e">
        <f t="shared" si="180"/>
        <v>#N/A</v>
      </c>
      <c r="DG91" s="12" t="e">
        <f t="shared" si="180"/>
        <v>#N/A</v>
      </c>
      <c r="DH91" s="109" t="e">
        <f t="shared" si="181"/>
        <v>#N/A</v>
      </c>
      <c r="DI91" s="109" t="e">
        <f t="shared" si="181"/>
        <v>#N/A</v>
      </c>
      <c r="DU91" s="18" t="e">
        <f t="shared" si="182"/>
        <v>#N/A</v>
      </c>
      <c r="DV91" s="12" t="e">
        <f t="shared" si="182"/>
        <v>#N/A</v>
      </c>
      <c r="DW91" s="109" t="e">
        <f t="shared" si="183"/>
        <v>#N/A</v>
      </c>
      <c r="DX91" s="109" t="e">
        <f t="shared" si="183"/>
        <v>#N/A</v>
      </c>
      <c r="EB91" s="12" t="e">
        <f t="shared" si="256"/>
        <v>#N/A</v>
      </c>
      <c r="EC91" s="12" t="e">
        <f t="shared" si="256"/>
        <v>#N/A</v>
      </c>
      <c r="ED91" s="109" t="e">
        <f t="shared" si="257"/>
        <v>#N/A</v>
      </c>
      <c r="EE91" s="109" t="e">
        <f t="shared" si="257"/>
        <v>#N/A</v>
      </c>
      <c r="EQ91" s="12" t="str">
        <f t="shared" si="184"/>
        <v>FY18-45</v>
      </c>
      <c r="ER91" s="12">
        <f t="shared" si="184"/>
        <v>43230</v>
      </c>
      <c r="ES91" s="109">
        <f t="shared" si="222"/>
        <v>17.697270947234582</v>
      </c>
      <c r="ET91" s="109">
        <f t="shared" si="222"/>
        <v>12</v>
      </c>
      <c r="FF91" s="12" t="str">
        <f t="shared" si="186"/>
        <v>FY19</v>
      </c>
      <c r="FG91" s="12">
        <f t="shared" si="186"/>
        <v>43594</v>
      </c>
      <c r="FH91" s="109">
        <f t="shared" si="223"/>
        <v>12.230604616622315</v>
      </c>
      <c r="FI91" s="109">
        <f t="shared" si="223"/>
        <v>3</v>
      </c>
      <c r="FM91" s="12" t="str">
        <f t="shared" si="258"/>
        <v>FY19</v>
      </c>
      <c r="FN91" s="12">
        <f t="shared" si="258"/>
        <v>43580</v>
      </c>
      <c r="FO91" s="109">
        <f t="shared" si="259"/>
        <v>22.688576025744165</v>
      </c>
      <c r="FP91" s="109">
        <f t="shared" si="259"/>
        <v>20</v>
      </c>
      <c r="GB91" s="12" t="str">
        <f t="shared" si="188"/>
        <v>FY20</v>
      </c>
      <c r="GC91" s="12">
        <f t="shared" si="188"/>
        <v>43958</v>
      </c>
      <c r="GD91" s="109">
        <f t="shared" si="224"/>
        <v>22.952706354515055</v>
      </c>
      <c r="GE91" s="109">
        <f t="shared" si="224"/>
        <v>8</v>
      </c>
      <c r="GI91" s="12" t="str">
        <f t="shared" si="260"/>
        <v>FY20</v>
      </c>
      <c r="GJ91" s="12">
        <f t="shared" si="260"/>
        <v>43944</v>
      </c>
      <c r="GK91" s="109">
        <f t="shared" si="261"/>
        <v>40.886779446640311</v>
      </c>
      <c r="GL91" s="109">
        <f t="shared" si="261"/>
        <v>20</v>
      </c>
      <c r="GX91" s="12" t="str">
        <f t="shared" si="190"/>
        <v>FY21</v>
      </c>
      <c r="GY91" s="12">
        <f t="shared" si="190"/>
        <v>44322</v>
      </c>
      <c r="GZ91" s="109">
        <f t="shared" si="225"/>
        <v>37.110605290361804</v>
      </c>
      <c r="HA91" s="109">
        <f t="shared" si="225"/>
        <v>20</v>
      </c>
      <c r="HM91" s="12" t="str">
        <f t="shared" si="192"/>
        <v>FY22</v>
      </c>
      <c r="HN91" s="12">
        <f t="shared" si="192"/>
        <v>44686</v>
      </c>
      <c r="HO91" s="109">
        <f t="shared" si="226"/>
        <v>58.067244025539672</v>
      </c>
      <c r="HP91" s="109">
        <f t="shared" si="226"/>
        <v>40</v>
      </c>
      <c r="HT91" s="12" t="str">
        <f t="shared" si="262"/>
        <v>FY22</v>
      </c>
      <c r="HU91" s="12">
        <f t="shared" si="262"/>
        <v>44672</v>
      </c>
      <c r="HV91" s="109">
        <f t="shared" si="263"/>
        <v>24.23271170568562</v>
      </c>
      <c r="HW91" s="109">
        <f t="shared" si="263"/>
        <v>8</v>
      </c>
      <c r="II91" s="12" t="str">
        <f t="shared" si="270"/>
        <v>FY23</v>
      </c>
      <c r="IJ91" s="12">
        <f t="shared" si="270"/>
        <v>44917</v>
      </c>
      <c r="IK91" s="109">
        <f t="shared" si="241"/>
        <v>75.733957798723026</v>
      </c>
      <c r="IL91" s="109">
        <f t="shared" si="241"/>
        <v>50</v>
      </c>
      <c r="IP91" s="12" t="str">
        <f t="shared" si="264"/>
        <v>FY23</v>
      </c>
      <c r="IQ91" s="12">
        <f t="shared" si="264"/>
        <v>44903</v>
      </c>
      <c r="IR91" s="109">
        <f t="shared" si="265"/>
        <v>38.341626147765275</v>
      </c>
      <c r="IS91" s="109">
        <f t="shared" si="265"/>
        <v>20</v>
      </c>
      <c r="IW91" s="16" t="s">
        <v>169</v>
      </c>
      <c r="IX91" s="12">
        <v>44616</v>
      </c>
      <c r="IY91" s="103">
        <v>244631644.87686226</v>
      </c>
      <c r="IZ91" s="104">
        <v>120000000</v>
      </c>
      <c r="JE91" s="12" t="str">
        <f t="shared" si="271"/>
        <v>Since FY21</v>
      </c>
      <c r="JF91" s="12">
        <f t="shared" si="269"/>
        <v>44182</v>
      </c>
      <c r="JG91" s="109">
        <f t="shared" si="243"/>
        <v>40.397165825478872</v>
      </c>
      <c r="JH91" s="109">
        <f t="shared" si="243"/>
        <v>20</v>
      </c>
      <c r="JI91" s="109"/>
      <c r="JJ91" s="40"/>
      <c r="JN91" s="12" t="str">
        <f t="shared" si="266"/>
        <v>Since FY21</v>
      </c>
      <c r="JO91" s="12">
        <f t="shared" si="266"/>
        <v>44168</v>
      </c>
      <c r="JP91" s="109">
        <f t="shared" si="267"/>
        <v>17.815226512617816</v>
      </c>
      <c r="JQ91" s="109">
        <f t="shared" si="267"/>
        <v>3</v>
      </c>
      <c r="JR91" s="109" t="e">
        <f t="shared" si="268"/>
        <v>#N/A</v>
      </c>
      <c r="JS91" s="109" t="e">
        <f t="shared" si="268"/>
        <v>#N/A</v>
      </c>
      <c r="JT91" s="40" t="e">
        <f>NA()</f>
        <v>#N/A</v>
      </c>
      <c r="JU91" s="40" t="e">
        <f>NA()</f>
        <v>#N/A</v>
      </c>
      <c r="NI91" s="12"/>
      <c r="NJ91" s="12"/>
      <c r="NK91" s="109"/>
      <c r="NL91" s="109"/>
      <c r="NX91" s="12"/>
      <c r="NY91" s="12"/>
      <c r="NZ91" s="109"/>
      <c r="OA91" s="109"/>
    </row>
    <row r="92" spans="6:393" x14ac:dyDescent="0.25">
      <c r="M92" s="5" t="str" cm="1">
        <f t="array" ref="M92">LOOKUP(2,1/($G$19:$G$35&lt;=$V92)/($H$19:$H$35&gt;=$V92),$F$19:$F$35)</f>
        <v>1H19</v>
      </c>
      <c r="N92" s="5" t="str" cm="1">
        <f t="array" ref="N92">LOOKUP(2,1/($G$8:$G$16&lt;=$V92)/($H$8:$H$16&gt;=$V92),$F$8:$F$16)</f>
        <v>FY19</v>
      </c>
      <c r="O92" s="5" t="str">
        <f>IFERROR(N92&amp;"-"&amp;COUNTIF($N$19:N92,N92),NA())</f>
        <v>FY19-10</v>
      </c>
      <c r="P92" s="5">
        <f>COUNTIF(V$19:V92,"&gt;="&amp;MAX($V:$V)-183)</f>
        <v>0</v>
      </c>
      <c r="Q92" s="5">
        <f>COUNTIF(V$19:V92,"&gt;="&amp;MAX($V:$V)-365)</f>
        <v>0</v>
      </c>
      <c r="R92" s="5" cm="1">
        <f t="array" ref="R92">LOOKUP(2,1/($G$46:$G$50&lt;=$V92)/($H$46:$H$50&gt;=$V92),$F$46:$F$50)</f>
        <v>0</v>
      </c>
      <c r="S92" s="5" cm="1">
        <f t="array" ref="S92">LOOKUP(2,1/($G$53:$G$56&lt;=$V92)/($H$53:$H$56&gt;=$V92),$F$53:$F$56)</f>
        <v>0</v>
      </c>
      <c r="T92" s="5" t="e">
        <f>IFERROR(IF($R92&gt;0,$R92&amp;"-"&amp;COUNTIF($R$19:$R92,$R92),NA()),NA())</f>
        <v>#N/A</v>
      </c>
      <c r="U92" s="5" t="e">
        <f>IFERROR(IF($S92&gt;0,$S92&amp;"-"&amp;COUNTIF($S$19:$S92,$S92),NA()),NA())</f>
        <v>#N/A</v>
      </c>
      <c r="V92" s="10">
        <v>43349</v>
      </c>
      <c r="W92" s="101">
        <v>21606582.835346464</v>
      </c>
      <c r="X92" s="101">
        <v>25977594.542937055</v>
      </c>
      <c r="Y92" s="102">
        <v>12000000</v>
      </c>
      <c r="AI92" s="18"/>
      <c r="AJ92" s="12"/>
      <c r="AK92" s="109"/>
      <c r="AL92" s="109"/>
      <c r="AP92" s="18" t="e">
        <f t="shared" si="252"/>
        <v>#N/A</v>
      </c>
      <c r="AQ92" s="12" t="e">
        <f t="shared" si="252"/>
        <v>#N/A</v>
      </c>
      <c r="AR92" s="109" t="e">
        <f t="shared" si="253"/>
        <v>#N/A</v>
      </c>
      <c r="AS92" s="109" t="e">
        <f t="shared" si="253"/>
        <v>#N/A</v>
      </c>
      <c r="BF92" s="18">
        <f t="shared" si="250"/>
        <v>46</v>
      </c>
      <c r="BG92" s="12">
        <f t="shared" si="250"/>
        <v>45155</v>
      </c>
      <c r="BH92" s="109">
        <f t="shared" si="251"/>
        <v>30.840203334423013</v>
      </c>
      <c r="BI92" s="109">
        <f t="shared" si="251"/>
        <v>12</v>
      </c>
      <c r="BM92" s="18" t="e">
        <f t="shared" si="254"/>
        <v>#N/A</v>
      </c>
      <c r="BN92" s="12" t="e">
        <f t="shared" si="254"/>
        <v>#N/A</v>
      </c>
      <c r="BO92" s="109" t="e">
        <f t="shared" si="255"/>
        <v>#N/A</v>
      </c>
      <c r="BP92" s="109" t="e">
        <f t="shared" si="255"/>
        <v>#N/A</v>
      </c>
      <c r="CB92" s="18" t="e">
        <f t="shared" si="176"/>
        <v>#N/A</v>
      </c>
      <c r="CC92" s="12" t="e">
        <f t="shared" si="176"/>
        <v>#N/A</v>
      </c>
      <c r="CD92" s="109" t="e">
        <f t="shared" si="177"/>
        <v>#N/A</v>
      </c>
      <c r="CE92" s="109" t="e">
        <f t="shared" si="177"/>
        <v>#N/A</v>
      </c>
      <c r="CQ92" s="18" t="e">
        <f t="shared" si="178"/>
        <v>#N/A</v>
      </c>
      <c r="CR92" s="12" t="e">
        <f t="shared" si="178"/>
        <v>#N/A</v>
      </c>
      <c r="CS92" s="109" t="e">
        <f t="shared" si="179"/>
        <v>#N/A</v>
      </c>
      <c r="CT92" s="109" t="e">
        <f t="shared" si="179"/>
        <v>#N/A</v>
      </c>
      <c r="DF92" s="18" t="e">
        <f t="shared" si="180"/>
        <v>#N/A</v>
      </c>
      <c r="DG92" s="12" t="e">
        <f t="shared" si="180"/>
        <v>#N/A</v>
      </c>
      <c r="DH92" s="109" t="e">
        <f t="shared" si="181"/>
        <v>#N/A</v>
      </c>
      <c r="DI92" s="109" t="e">
        <f t="shared" si="181"/>
        <v>#N/A</v>
      </c>
      <c r="DU92" s="18" t="e">
        <f t="shared" si="182"/>
        <v>#N/A</v>
      </c>
      <c r="DV92" s="12" t="e">
        <f t="shared" si="182"/>
        <v>#N/A</v>
      </c>
      <c r="DW92" s="109" t="e">
        <f t="shared" si="183"/>
        <v>#N/A</v>
      </c>
      <c r="DX92" s="109" t="e">
        <f t="shared" si="183"/>
        <v>#N/A</v>
      </c>
      <c r="EB92" s="12" t="e">
        <f t="shared" si="256"/>
        <v>#N/A</v>
      </c>
      <c r="EC92" s="12" t="e">
        <f t="shared" si="256"/>
        <v>#N/A</v>
      </c>
      <c r="ED92" s="109" t="e">
        <f t="shared" si="257"/>
        <v>#N/A</v>
      </c>
      <c r="EE92" s="109" t="e">
        <f t="shared" si="257"/>
        <v>#N/A</v>
      </c>
      <c r="EQ92" s="12" t="str">
        <f t="shared" si="184"/>
        <v>FY18-46</v>
      </c>
      <c r="ER92" s="12">
        <f t="shared" si="184"/>
        <v>43237</v>
      </c>
      <c r="ES92" s="109">
        <f t="shared" si="222"/>
        <v>26.087560584869671</v>
      </c>
      <c r="ET92" s="109">
        <f t="shared" si="222"/>
        <v>20</v>
      </c>
      <c r="FF92" s="12" t="str">
        <f t="shared" si="186"/>
        <v>FY19</v>
      </c>
      <c r="FG92" s="12">
        <f t="shared" si="186"/>
        <v>43601</v>
      </c>
      <c r="FH92" s="109">
        <f t="shared" si="223"/>
        <v>16.70412154217464</v>
      </c>
      <c r="FI92" s="109">
        <f t="shared" si="223"/>
        <v>8</v>
      </c>
      <c r="FM92" s="12" t="str">
        <f t="shared" si="258"/>
        <v>FY19</v>
      </c>
      <c r="FN92" s="12">
        <f t="shared" si="258"/>
        <v>43587</v>
      </c>
      <c r="FO92" s="109">
        <f t="shared" si="259"/>
        <v>34.273410483321989</v>
      </c>
      <c r="FP92" s="109">
        <f t="shared" si="259"/>
        <v>30</v>
      </c>
      <c r="GB92" s="12" t="str">
        <f t="shared" si="188"/>
        <v>FY20</v>
      </c>
      <c r="GC92" s="12">
        <f t="shared" si="188"/>
        <v>43965</v>
      </c>
      <c r="GD92" s="109">
        <f t="shared" si="224"/>
        <v>17.170624749163878</v>
      </c>
      <c r="GE92" s="109">
        <f t="shared" si="224"/>
        <v>3</v>
      </c>
      <c r="GI92" s="12" t="str">
        <f t="shared" si="260"/>
        <v>FY20</v>
      </c>
      <c r="GJ92" s="12">
        <f t="shared" si="260"/>
        <v>43951</v>
      </c>
      <c r="GK92" s="109">
        <f t="shared" si="261"/>
        <v>17.546634478564911</v>
      </c>
      <c r="GL92" s="109">
        <f t="shared" si="261"/>
        <v>3</v>
      </c>
      <c r="GX92" s="12" t="str">
        <f t="shared" si="190"/>
        <v>FY21</v>
      </c>
      <c r="GY92" s="12">
        <f t="shared" si="190"/>
        <v>44329</v>
      </c>
      <c r="GZ92" s="109">
        <f t="shared" si="225"/>
        <v>47.890415810276679</v>
      </c>
      <c r="HA92" s="109">
        <f t="shared" si="225"/>
        <v>30</v>
      </c>
      <c r="HM92" s="12" t="str">
        <f t="shared" si="192"/>
        <v>FY22</v>
      </c>
      <c r="HN92" s="12">
        <f t="shared" si="192"/>
        <v>44693</v>
      </c>
      <c r="HO92" s="109">
        <f t="shared" si="226"/>
        <v>83.810205168744289</v>
      </c>
      <c r="HP92" s="109">
        <f t="shared" si="226"/>
        <v>60</v>
      </c>
      <c r="HT92" s="12" t="str">
        <f t="shared" si="262"/>
        <v>FY22</v>
      </c>
      <c r="HU92" s="12">
        <f t="shared" si="262"/>
        <v>44679</v>
      </c>
      <c r="HV92" s="109">
        <f t="shared" si="263"/>
        <v>39.401901124961988</v>
      </c>
      <c r="HW92" s="109">
        <f t="shared" si="263"/>
        <v>20</v>
      </c>
      <c r="II92" s="12" t="str">
        <f t="shared" si="270"/>
        <v>FY23</v>
      </c>
      <c r="IJ92" s="12">
        <f t="shared" si="270"/>
        <v>44924</v>
      </c>
      <c r="IK92" s="109">
        <f t="shared" si="241"/>
        <v>137.55484439039225</v>
      </c>
      <c r="IL92" s="109">
        <f t="shared" si="241"/>
        <v>100</v>
      </c>
      <c r="IP92" s="12" t="str">
        <f t="shared" si="264"/>
        <v>FY23</v>
      </c>
      <c r="IQ92" s="12">
        <f t="shared" si="264"/>
        <v>44910</v>
      </c>
      <c r="IR92" s="109">
        <f t="shared" si="265"/>
        <v>50.094358163575549</v>
      </c>
      <c r="IS92" s="109">
        <f t="shared" si="265"/>
        <v>30</v>
      </c>
      <c r="IW92" s="16" t="s">
        <v>169</v>
      </c>
      <c r="IX92" s="12">
        <v>44623</v>
      </c>
      <c r="IY92" s="103">
        <v>19764375.068409853</v>
      </c>
      <c r="IZ92" s="104">
        <v>3000000</v>
      </c>
      <c r="JE92" s="12" t="str">
        <f t="shared" si="271"/>
        <v>Since FY21</v>
      </c>
      <c r="JF92" s="12">
        <f t="shared" si="269"/>
        <v>44189</v>
      </c>
      <c r="JG92" s="109">
        <f t="shared" si="243"/>
        <v>19.022130495591366</v>
      </c>
      <c r="JH92" s="109">
        <f t="shared" si="243"/>
        <v>3</v>
      </c>
      <c r="JI92" s="109"/>
      <c r="JJ92" s="40"/>
      <c r="JN92" s="12" t="str">
        <f t="shared" si="266"/>
        <v>Since FY21</v>
      </c>
      <c r="JO92" s="12">
        <f t="shared" si="266"/>
        <v>44175</v>
      </c>
      <c r="JP92" s="109">
        <f t="shared" si="267"/>
        <v>25.066381757373062</v>
      </c>
      <c r="JQ92" s="109">
        <f t="shared" si="267"/>
        <v>8</v>
      </c>
      <c r="JR92" s="109" t="e">
        <f t="shared" si="268"/>
        <v>#N/A</v>
      </c>
      <c r="JS92" s="109" t="e">
        <f t="shared" si="268"/>
        <v>#N/A</v>
      </c>
      <c r="JT92" s="40" t="e">
        <f>NA()</f>
        <v>#N/A</v>
      </c>
      <c r="JU92" s="40" t="e">
        <f>NA()</f>
        <v>#N/A</v>
      </c>
      <c r="NI92" s="12"/>
      <c r="NJ92" s="12"/>
      <c r="NK92" s="109"/>
      <c r="NL92" s="109"/>
      <c r="NX92" s="12"/>
      <c r="NY92" s="12"/>
      <c r="NZ92" s="109"/>
      <c r="OA92" s="109"/>
    </row>
    <row r="93" spans="6:393" x14ac:dyDescent="0.25">
      <c r="M93" s="5" t="str" cm="1">
        <f t="array" ref="M93">LOOKUP(2,1/($G$19:$G$35&lt;=$V93)/($H$19:$H$35&gt;=$V93),$F$19:$F$35)</f>
        <v>1H19</v>
      </c>
      <c r="N93" s="5" t="str" cm="1">
        <f t="array" ref="N93">LOOKUP(2,1/($G$8:$G$16&lt;=$V93)/($H$8:$H$16&gt;=$V93),$F$8:$F$16)</f>
        <v>FY19</v>
      </c>
      <c r="O93" s="5" t="str">
        <f>IFERROR(N93&amp;"-"&amp;COUNTIF($N$19:N93,N93),NA())</f>
        <v>FY19-11</v>
      </c>
      <c r="P93" s="5">
        <f>COUNTIF(V$19:V93,"&gt;="&amp;MAX($V:$V)-183)</f>
        <v>0</v>
      </c>
      <c r="Q93" s="5">
        <f>COUNTIF(V$19:V93,"&gt;="&amp;MAX($V:$V)-365)</f>
        <v>0</v>
      </c>
      <c r="R93" s="5" cm="1">
        <f t="array" ref="R93">LOOKUP(2,1/($G$46:$G$50&lt;=$V93)/($H$46:$H$50&gt;=$V93),$F$46:$F$50)</f>
        <v>0</v>
      </c>
      <c r="S93" s="5" cm="1">
        <f t="array" ref="S93">LOOKUP(2,1/($G$53:$G$56&lt;=$V93)/($H$53:$H$56&gt;=$V93),$F$53:$F$56)</f>
        <v>0</v>
      </c>
      <c r="T93" s="5" t="e">
        <f>IFERROR(IF($R93&gt;0,$R93&amp;"-"&amp;COUNTIF($R$19:$R93,$R93),NA()),NA())</f>
        <v>#N/A</v>
      </c>
      <c r="U93" s="5" t="e">
        <f>IFERROR(IF($S93&gt;0,$S93&amp;"-"&amp;COUNTIF($S$19:$S93,$S93),NA()),NA())</f>
        <v>#N/A</v>
      </c>
      <c r="V93" s="10">
        <v>43356</v>
      </c>
      <c r="W93" s="101">
        <v>27308763.127781302</v>
      </c>
      <c r="X93" s="101">
        <v>32833325.908531465</v>
      </c>
      <c r="Y93" s="102">
        <v>20000000</v>
      </c>
      <c r="AI93" s="18"/>
      <c r="AJ93" s="12"/>
      <c r="AK93" s="109"/>
      <c r="AL93" s="109"/>
      <c r="AP93" s="18" t="e">
        <f t="shared" si="252"/>
        <v>#N/A</v>
      </c>
      <c r="AQ93" s="12" t="e">
        <f t="shared" si="252"/>
        <v>#N/A</v>
      </c>
      <c r="AR93" s="109" t="e">
        <f t="shared" si="253"/>
        <v>#N/A</v>
      </c>
      <c r="AS93" s="109" t="e">
        <f t="shared" si="253"/>
        <v>#N/A</v>
      </c>
      <c r="BF93" s="18">
        <f t="shared" si="250"/>
        <v>47</v>
      </c>
      <c r="BG93" s="12">
        <f t="shared" si="250"/>
        <v>45162</v>
      </c>
      <c r="BH93" s="109">
        <f t="shared" si="251"/>
        <v>42.995307072027899</v>
      </c>
      <c r="BI93" s="109">
        <f t="shared" si="251"/>
        <v>20</v>
      </c>
      <c r="BM93" s="18">
        <f t="shared" si="254"/>
        <v>45</v>
      </c>
      <c r="BN93" s="12">
        <f t="shared" si="254"/>
        <v>45148</v>
      </c>
      <c r="BO93" s="109">
        <f t="shared" si="255"/>
        <v>20.677774436090228</v>
      </c>
      <c r="BP93" s="109">
        <f t="shared" si="255"/>
        <v>4</v>
      </c>
      <c r="CB93" s="18" t="e">
        <f t="shared" si="176"/>
        <v>#N/A</v>
      </c>
      <c r="CC93" s="12" t="e">
        <f t="shared" si="176"/>
        <v>#N/A</v>
      </c>
      <c r="CD93" s="109" t="e">
        <f t="shared" si="177"/>
        <v>#N/A</v>
      </c>
      <c r="CE93" s="109" t="e">
        <f t="shared" si="177"/>
        <v>#N/A</v>
      </c>
      <c r="CQ93" s="18" t="e">
        <f t="shared" si="178"/>
        <v>#N/A</v>
      </c>
      <c r="CR93" s="12" t="e">
        <f t="shared" si="178"/>
        <v>#N/A</v>
      </c>
      <c r="CS93" s="109" t="e">
        <f t="shared" si="179"/>
        <v>#N/A</v>
      </c>
      <c r="CT93" s="109" t="e">
        <f t="shared" si="179"/>
        <v>#N/A</v>
      </c>
      <c r="DF93" s="18" t="e">
        <f t="shared" si="180"/>
        <v>#N/A</v>
      </c>
      <c r="DG93" s="12" t="e">
        <f t="shared" si="180"/>
        <v>#N/A</v>
      </c>
      <c r="DH93" s="109" t="e">
        <f t="shared" si="181"/>
        <v>#N/A</v>
      </c>
      <c r="DI93" s="109" t="e">
        <f t="shared" si="181"/>
        <v>#N/A</v>
      </c>
      <c r="DU93" s="18" t="e">
        <f t="shared" si="182"/>
        <v>#N/A</v>
      </c>
      <c r="DV93" s="12" t="e">
        <f t="shared" si="182"/>
        <v>#N/A</v>
      </c>
      <c r="DW93" s="109" t="e">
        <f t="shared" si="183"/>
        <v>#N/A</v>
      </c>
      <c r="DX93" s="109" t="e">
        <f t="shared" si="183"/>
        <v>#N/A</v>
      </c>
      <c r="EB93" s="12" t="e">
        <f t="shared" si="256"/>
        <v>#N/A</v>
      </c>
      <c r="EC93" s="12" t="e">
        <f t="shared" si="256"/>
        <v>#N/A</v>
      </c>
      <c r="ED93" s="109" t="e">
        <f t="shared" si="257"/>
        <v>#N/A</v>
      </c>
      <c r="EE93" s="109" t="e">
        <f t="shared" si="257"/>
        <v>#N/A</v>
      </c>
      <c r="EQ93" s="12" t="str">
        <f t="shared" si="184"/>
        <v>FY18-47</v>
      </c>
      <c r="ER93" s="12">
        <f t="shared" si="184"/>
        <v>43244</v>
      </c>
      <c r="ES93" s="109">
        <f t="shared" si="222"/>
        <v>36.432706166560699</v>
      </c>
      <c r="ET93" s="109">
        <f t="shared" si="222"/>
        <v>30</v>
      </c>
      <c r="FF93" s="12" t="str">
        <f t="shared" si="186"/>
        <v>FY19</v>
      </c>
      <c r="FG93" s="12">
        <f t="shared" si="186"/>
        <v>43608</v>
      </c>
      <c r="FH93" s="109">
        <f t="shared" si="223"/>
        <v>12.325589702333064</v>
      </c>
      <c r="FI93" s="109">
        <f t="shared" si="223"/>
        <v>3</v>
      </c>
      <c r="FM93" s="12" t="str">
        <f t="shared" si="258"/>
        <v>FY19</v>
      </c>
      <c r="FN93" s="12">
        <f t="shared" si="258"/>
        <v>43594</v>
      </c>
      <c r="FO93" s="109">
        <f t="shared" si="259"/>
        <v>12.230604616622315</v>
      </c>
      <c r="FP93" s="109">
        <f t="shared" si="259"/>
        <v>3</v>
      </c>
      <c r="GB93" s="12" t="str">
        <f t="shared" si="188"/>
        <v>FY20</v>
      </c>
      <c r="GC93" s="12">
        <f t="shared" si="188"/>
        <v>43972</v>
      </c>
      <c r="GD93" s="109">
        <f t="shared" si="224"/>
        <v>24.236348555792038</v>
      </c>
      <c r="GE93" s="109">
        <f t="shared" si="224"/>
        <v>8</v>
      </c>
      <c r="GI93" s="12" t="str">
        <f t="shared" si="260"/>
        <v>FY20</v>
      </c>
      <c r="GJ93" s="12">
        <f t="shared" si="260"/>
        <v>43958</v>
      </c>
      <c r="GK93" s="109">
        <f t="shared" si="261"/>
        <v>22.952706354515055</v>
      </c>
      <c r="GL93" s="109">
        <f t="shared" si="261"/>
        <v>8</v>
      </c>
      <c r="GX93" s="12" t="str">
        <f t="shared" si="190"/>
        <v>FY21</v>
      </c>
      <c r="GY93" s="12">
        <f t="shared" si="190"/>
        <v>44336</v>
      </c>
      <c r="GZ93" s="109">
        <f t="shared" si="225"/>
        <v>18.569740589844933</v>
      </c>
      <c r="HA93" s="109">
        <f t="shared" si="225"/>
        <v>3</v>
      </c>
      <c r="HM93" s="12" t="str">
        <f t="shared" si="192"/>
        <v>FY22</v>
      </c>
      <c r="HN93" s="12">
        <f t="shared" si="192"/>
        <v>44700</v>
      </c>
      <c r="HO93" s="109">
        <f t="shared" si="226"/>
        <v>116.72520401337792</v>
      </c>
      <c r="HP93" s="109">
        <f t="shared" si="226"/>
        <v>80</v>
      </c>
      <c r="HT93" s="12" t="str">
        <f t="shared" si="262"/>
        <v>FY22</v>
      </c>
      <c r="HU93" s="12">
        <f t="shared" si="262"/>
        <v>44686</v>
      </c>
      <c r="HV93" s="109">
        <f t="shared" si="263"/>
        <v>58.067244025539672</v>
      </c>
      <c r="HW93" s="109">
        <f t="shared" si="263"/>
        <v>40</v>
      </c>
      <c r="II93" s="12" t="str">
        <f t="shared" si="270"/>
        <v>FY23</v>
      </c>
      <c r="IJ93" s="12">
        <f t="shared" si="270"/>
        <v>44931</v>
      </c>
      <c r="IK93" s="109">
        <f t="shared" si="241"/>
        <v>20.659761872909698</v>
      </c>
      <c r="IL93" s="109">
        <f t="shared" si="241"/>
        <v>4</v>
      </c>
      <c r="IP93" s="12" t="str">
        <f t="shared" si="264"/>
        <v>FY23</v>
      </c>
      <c r="IQ93" s="12">
        <f t="shared" si="264"/>
        <v>44917</v>
      </c>
      <c r="IR93" s="109">
        <f t="shared" si="265"/>
        <v>75.733957798723026</v>
      </c>
      <c r="IS93" s="109">
        <f t="shared" si="265"/>
        <v>50</v>
      </c>
      <c r="IW93" s="16" t="s">
        <v>169</v>
      </c>
      <c r="IX93" s="12">
        <v>44630</v>
      </c>
      <c r="IY93" s="103">
        <v>26335124.84037701</v>
      </c>
      <c r="IZ93" s="104">
        <v>8000000</v>
      </c>
      <c r="JE93" s="12" t="str">
        <f t="shared" si="271"/>
        <v>Since FY21</v>
      </c>
      <c r="JF93" s="12">
        <f t="shared" si="269"/>
        <v>44196</v>
      </c>
      <c r="JG93" s="109">
        <f t="shared" si="243"/>
        <v>25.387217756156883</v>
      </c>
      <c r="JH93" s="109">
        <f t="shared" si="243"/>
        <v>8</v>
      </c>
      <c r="JI93" s="109"/>
      <c r="JJ93" s="40"/>
      <c r="JN93" s="12" t="str">
        <f t="shared" si="266"/>
        <v>Since FY21</v>
      </c>
      <c r="JO93" s="12">
        <f t="shared" si="266"/>
        <v>44182</v>
      </c>
      <c r="JP93" s="109">
        <f t="shared" si="267"/>
        <v>40.397165825478872</v>
      </c>
      <c r="JQ93" s="109">
        <f t="shared" si="267"/>
        <v>20</v>
      </c>
      <c r="JR93" s="109" t="e">
        <f t="shared" si="268"/>
        <v>#N/A</v>
      </c>
      <c r="JS93" s="109" t="e">
        <f t="shared" si="268"/>
        <v>#N/A</v>
      </c>
      <c r="JT93" s="40" t="e">
        <f>NA()</f>
        <v>#N/A</v>
      </c>
      <c r="JU93" s="40" t="e">
        <f>NA()</f>
        <v>#N/A</v>
      </c>
      <c r="NI93" s="12"/>
      <c r="NJ93" s="12"/>
      <c r="NK93" s="109"/>
      <c r="NL93" s="109"/>
      <c r="NX93" s="12"/>
      <c r="NY93" s="12"/>
      <c r="NZ93" s="109"/>
      <c r="OA93" s="109"/>
    </row>
    <row r="94" spans="6:393" x14ac:dyDescent="0.25">
      <c r="M94" s="5" t="str" cm="1">
        <f t="array" ref="M94">LOOKUP(2,1/($G$19:$G$35&lt;=$V94)/($H$19:$H$35&gt;=$V94),$F$19:$F$35)</f>
        <v>1H19</v>
      </c>
      <c r="N94" s="5" t="str" cm="1">
        <f t="array" ref="N94">LOOKUP(2,1/($G$8:$G$16&lt;=$V94)/($H$8:$H$16&gt;=$V94),$F$8:$F$16)</f>
        <v>FY19</v>
      </c>
      <c r="O94" s="5" t="str">
        <f>IFERROR(N94&amp;"-"&amp;COUNTIF($N$19:N94,N94),NA())</f>
        <v>FY19-12</v>
      </c>
      <c r="P94" s="5">
        <f>COUNTIF(V$19:V94,"&gt;="&amp;MAX($V:$V)-183)</f>
        <v>0</v>
      </c>
      <c r="Q94" s="5">
        <f>COUNTIF(V$19:V94,"&gt;="&amp;MAX($V:$V)-365)</f>
        <v>0</v>
      </c>
      <c r="R94" s="5" cm="1">
        <f t="array" ref="R94">LOOKUP(2,1/($G$46:$G$50&lt;=$V94)/($H$46:$H$50&gt;=$V94),$F$46:$F$50)</f>
        <v>0</v>
      </c>
      <c r="S94" s="5" cm="1">
        <f t="array" ref="S94">LOOKUP(2,1/($G$53:$G$56&lt;=$V94)/($H$53:$H$56&gt;=$V94),$F$53:$F$56)</f>
        <v>0</v>
      </c>
      <c r="T94" s="5" t="e">
        <f>IFERROR(IF($R94&gt;0,$R94&amp;"-"&amp;COUNTIF($R$19:$R94,$R94),NA()),NA())</f>
        <v>#N/A</v>
      </c>
      <c r="U94" s="5" t="e">
        <f>IFERROR(IF($S94&gt;0,$S94&amp;"-"&amp;COUNTIF($S$19:$S94,$S94),NA()),NA())</f>
        <v>#N/A</v>
      </c>
      <c r="V94" s="10">
        <v>43363</v>
      </c>
      <c r="W94" s="101">
        <v>36523512.523839787</v>
      </c>
      <c r="X94" s="101">
        <v>43912219.107412584</v>
      </c>
      <c r="Y94" s="102">
        <v>30000000</v>
      </c>
      <c r="AI94" s="18"/>
      <c r="AJ94" s="12"/>
      <c r="AK94" s="109"/>
      <c r="AL94" s="109"/>
      <c r="AP94" s="18" t="e">
        <f t="shared" si="252"/>
        <v>#N/A</v>
      </c>
      <c r="AQ94" s="12" t="e">
        <f t="shared" si="252"/>
        <v>#N/A</v>
      </c>
      <c r="AR94" s="109" t="e">
        <f t="shared" si="253"/>
        <v>#N/A</v>
      </c>
      <c r="AS94" s="109" t="e">
        <f t="shared" si="253"/>
        <v>#N/A</v>
      </c>
      <c r="BF94" s="18">
        <f t="shared" si="250"/>
        <v>48</v>
      </c>
      <c r="BG94" s="12">
        <f t="shared" si="250"/>
        <v>45169</v>
      </c>
      <c r="BH94" s="109">
        <f t="shared" si="251"/>
        <v>59.703342595619482</v>
      </c>
      <c r="BI94" s="109">
        <f t="shared" si="251"/>
        <v>40</v>
      </c>
      <c r="BM94" s="18">
        <f t="shared" si="254"/>
        <v>46</v>
      </c>
      <c r="BN94" s="12">
        <f t="shared" si="254"/>
        <v>45155</v>
      </c>
      <c r="BO94" s="109">
        <f t="shared" si="255"/>
        <v>30.840203334423013</v>
      </c>
      <c r="BP94" s="109">
        <f t="shared" si="255"/>
        <v>12</v>
      </c>
      <c r="CB94" s="18" t="e">
        <f t="shared" si="176"/>
        <v>#N/A</v>
      </c>
      <c r="CC94" s="12" t="e">
        <f t="shared" si="176"/>
        <v>#N/A</v>
      </c>
      <c r="CD94" s="109" t="e">
        <f t="shared" si="177"/>
        <v>#N/A</v>
      </c>
      <c r="CE94" s="109" t="e">
        <f t="shared" si="177"/>
        <v>#N/A</v>
      </c>
      <c r="CQ94" s="18" t="e">
        <f t="shared" si="178"/>
        <v>#N/A</v>
      </c>
      <c r="CR94" s="12" t="e">
        <f t="shared" si="178"/>
        <v>#N/A</v>
      </c>
      <c r="CS94" s="109" t="e">
        <f t="shared" si="179"/>
        <v>#N/A</v>
      </c>
      <c r="CT94" s="109" t="e">
        <f t="shared" si="179"/>
        <v>#N/A</v>
      </c>
      <c r="DF94" s="18" t="e">
        <f t="shared" si="180"/>
        <v>#N/A</v>
      </c>
      <c r="DG94" s="12" t="e">
        <f t="shared" si="180"/>
        <v>#N/A</v>
      </c>
      <c r="DH94" s="109" t="e">
        <f t="shared" si="181"/>
        <v>#N/A</v>
      </c>
      <c r="DI94" s="109" t="e">
        <f t="shared" si="181"/>
        <v>#N/A</v>
      </c>
      <c r="DU94" s="18" t="e">
        <f t="shared" si="182"/>
        <v>#N/A</v>
      </c>
      <c r="DV94" s="12" t="e">
        <f t="shared" si="182"/>
        <v>#N/A</v>
      </c>
      <c r="DW94" s="109" t="e">
        <f t="shared" si="183"/>
        <v>#N/A</v>
      </c>
      <c r="DX94" s="109" t="e">
        <f t="shared" si="183"/>
        <v>#N/A</v>
      </c>
      <c r="EB94" s="12" t="e">
        <f t="shared" si="256"/>
        <v>#N/A</v>
      </c>
      <c r="EC94" s="12" t="e">
        <f t="shared" si="256"/>
        <v>#N/A</v>
      </c>
      <c r="ED94" s="109" t="e">
        <f t="shared" si="257"/>
        <v>#N/A</v>
      </c>
      <c r="EE94" s="109" t="e">
        <f t="shared" si="257"/>
        <v>#N/A</v>
      </c>
      <c r="EQ94" s="12" t="str">
        <f t="shared" si="184"/>
        <v>FY18-48</v>
      </c>
      <c r="ER94" s="12">
        <f t="shared" si="184"/>
        <v>43251</v>
      </c>
      <c r="ES94" s="109">
        <f t="shared" si="222"/>
        <v>46.219221614748875</v>
      </c>
      <c r="ET94" s="109">
        <f t="shared" si="222"/>
        <v>40</v>
      </c>
      <c r="FF94" s="12" t="str">
        <f t="shared" si="186"/>
        <v>FY19</v>
      </c>
      <c r="FG94" s="12">
        <f t="shared" si="186"/>
        <v>43615</v>
      </c>
      <c r="FH94" s="109">
        <f t="shared" si="223"/>
        <v>15.336385914969984</v>
      </c>
      <c r="FI94" s="109">
        <f t="shared" si="223"/>
        <v>8</v>
      </c>
      <c r="FM94" s="12" t="str">
        <f t="shared" si="258"/>
        <v>FY19</v>
      </c>
      <c r="FN94" s="12">
        <f t="shared" si="258"/>
        <v>43601</v>
      </c>
      <c r="FO94" s="109">
        <f t="shared" si="259"/>
        <v>16.70412154217464</v>
      </c>
      <c r="FP94" s="109">
        <f t="shared" si="259"/>
        <v>8</v>
      </c>
      <c r="GB94" s="12" t="str">
        <f t="shared" si="188"/>
        <v>FY20</v>
      </c>
      <c r="GC94" s="12">
        <f t="shared" si="188"/>
        <v>43979</v>
      </c>
      <c r="GD94" s="109">
        <f t="shared" si="224"/>
        <v>37.016112131346915</v>
      </c>
      <c r="GE94" s="109">
        <f t="shared" si="224"/>
        <v>15</v>
      </c>
      <c r="GI94" s="12" t="str">
        <f t="shared" si="260"/>
        <v>FY20</v>
      </c>
      <c r="GJ94" s="12">
        <f t="shared" si="260"/>
        <v>43965</v>
      </c>
      <c r="GK94" s="109">
        <f t="shared" si="261"/>
        <v>17.170624749163878</v>
      </c>
      <c r="GL94" s="109">
        <f t="shared" si="261"/>
        <v>3</v>
      </c>
      <c r="GX94" s="12" t="str">
        <f t="shared" si="190"/>
        <v>FY21</v>
      </c>
      <c r="GY94" s="12">
        <f t="shared" si="190"/>
        <v>44343</v>
      </c>
      <c r="GZ94" s="109">
        <f t="shared" si="225"/>
        <v>25.429040072970505</v>
      </c>
      <c r="HA94" s="109">
        <f t="shared" si="225"/>
        <v>8</v>
      </c>
      <c r="HM94" s="12" t="str">
        <f t="shared" si="192"/>
        <v>FY22</v>
      </c>
      <c r="HN94" s="12">
        <f t="shared" si="192"/>
        <v>44707</v>
      </c>
      <c r="HO94" s="109">
        <f t="shared" si="226"/>
        <v>21.016983155974454</v>
      </c>
      <c r="HP94" s="109">
        <f t="shared" si="226"/>
        <v>4</v>
      </c>
      <c r="HT94" s="12" t="str">
        <f t="shared" si="262"/>
        <v>FY22</v>
      </c>
      <c r="HU94" s="12">
        <f t="shared" si="262"/>
        <v>44693</v>
      </c>
      <c r="HV94" s="109">
        <f t="shared" si="263"/>
        <v>83.810205168744289</v>
      </c>
      <c r="HW94" s="109">
        <f t="shared" si="263"/>
        <v>60</v>
      </c>
      <c r="II94" s="12" t="str">
        <f t="shared" si="270"/>
        <v>FY23</v>
      </c>
      <c r="IJ94" s="12">
        <f t="shared" si="270"/>
        <v>44938</v>
      </c>
      <c r="IK94" s="109">
        <f t="shared" si="241"/>
        <v>22.177022316813623</v>
      </c>
      <c r="IL94" s="109">
        <f t="shared" si="241"/>
        <v>4</v>
      </c>
      <c r="IP94" s="12" t="e">
        <f t="shared" si="264"/>
        <v>#N/A</v>
      </c>
      <c r="IQ94" s="12" t="e">
        <f t="shared" si="264"/>
        <v>#N/A</v>
      </c>
      <c r="IR94" s="109" t="e">
        <f t="shared" si="265"/>
        <v>#N/A</v>
      </c>
      <c r="IS94" s="109" t="e">
        <f t="shared" si="265"/>
        <v>#N/A</v>
      </c>
      <c r="IW94" s="16" t="s">
        <v>169</v>
      </c>
      <c r="IX94" s="12">
        <v>44637</v>
      </c>
      <c r="IY94" s="103">
        <v>40906184.493767105</v>
      </c>
      <c r="IZ94" s="104">
        <v>20000000</v>
      </c>
      <c r="JE94" s="12" t="str">
        <f t="shared" si="271"/>
        <v>Since FY21</v>
      </c>
      <c r="JF94" s="12">
        <f t="shared" si="269"/>
        <v>44203</v>
      </c>
      <c r="JG94" s="109">
        <f t="shared" si="243"/>
        <v>17.082868713894804</v>
      </c>
      <c r="JH94" s="109">
        <f t="shared" si="243"/>
        <v>3</v>
      </c>
      <c r="JI94" s="109"/>
      <c r="JJ94" s="40"/>
      <c r="JN94" s="12" t="str">
        <f t="shared" si="266"/>
        <v>Since FY21</v>
      </c>
      <c r="JO94" s="12">
        <f t="shared" si="266"/>
        <v>44189</v>
      </c>
      <c r="JP94" s="109">
        <f t="shared" si="267"/>
        <v>19.022130495591366</v>
      </c>
      <c r="JQ94" s="109">
        <f t="shared" si="267"/>
        <v>3</v>
      </c>
      <c r="JR94" s="109" t="e">
        <f t="shared" si="268"/>
        <v>#N/A</v>
      </c>
      <c r="JS94" s="109" t="e">
        <f t="shared" si="268"/>
        <v>#N/A</v>
      </c>
      <c r="JT94" s="40" t="e">
        <f>NA()</f>
        <v>#N/A</v>
      </c>
      <c r="JU94" s="40" t="e">
        <f>NA()</f>
        <v>#N/A</v>
      </c>
      <c r="NI94" s="12"/>
      <c r="NJ94" s="12"/>
      <c r="NK94" s="109"/>
      <c r="NL94" s="109"/>
      <c r="NX94" s="12"/>
      <c r="NY94" s="12"/>
      <c r="NZ94" s="109"/>
      <c r="OA94" s="109"/>
    </row>
    <row r="95" spans="6:393" x14ac:dyDescent="0.25">
      <c r="M95" s="5" t="str" cm="1">
        <f t="array" ref="M95">LOOKUP(2,1/($G$19:$G$35&lt;=$V95)/($H$19:$H$35&gt;=$V95),$F$19:$F$35)</f>
        <v>1H19</v>
      </c>
      <c r="N95" s="5" t="str" cm="1">
        <f t="array" ref="N95">LOOKUP(2,1/($G$8:$G$16&lt;=$V95)/($H$8:$H$16&gt;=$V95),$F$8:$F$16)</f>
        <v>FY19</v>
      </c>
      <c r="O95" s="5" t="str">
        <f>IFERROR(N95&amp;"-"&amp;COUNTIF($N$19:N95,N95),NA())</f>
        <v>FY19-13</v>
      </c>
      <c r="P95" s="5">
        <f>COUNTIF(V$19:V95,"&gt;="&amp;MAX($V:$V)-183)</f>
        <v>0</v>
      </c>
      <c r="Q95" s="5">
        <f>COUNTIF(V$19:V95,"&gt;="&amp;MAX($V:$V)-365)</f>
        <v>0</v>
      </c>
      <c r="R95" s="5" cm="1">
        <f t="array" ref="R95">LOOKUP(2,1/($G$46:$G$50&lt;=$V95)/($H$46:$H$50&gt;=$V95),$F$46:$F$50)</f>
        <v>0</v>
      </c>
      <c r="S95" s="5" cm="1">
        <f t="array" ref="S95">LOOKUP(2,1/($G$53:$G$56&lt;=$V95)/($H$53:$H$56&gt;=$V95),$F$53:$F$56)</f>
        <v>0</v>
      </c>
      <c r="T95" s="5" t="e">
        <f>IFERROR(IF($R95&gt;0,$R95&amp;"-"&amp;COUNTIF($R$19:$R95,$R95),NA()),NA())</f>
        <v>#N/A</v>
      </c>
      <c r="U95" s="5" t="e">
        <f>IFERROR(IF($S95&gt;0,$S95&amp;"-"&amp;COUNTIF($S$19:$S95,$S95),NA()),NA())</f>
        <v>#N/A</v>
      </c>
      <c r="V95" s="10">
        <v>43370</v>
      </c>
      <c r="W95" s="101">
        <v>12986396.185632547</v>
      </c>
      <c r="X95" s="101">
        <v>15613544.133986013</v>
      </c>
      <c r="Y95" s="102">
        <v>3000000</v>
      </c>
      <c r="AI95" s="18"/>
      <c r="AJ95" s="12"/>
      <c r="AK95" s="109"/>
      <c r="AL95" s="109"/>
      <c r="AP95" s="18" t="e">
        <f t="shared" si="252"/>
        <v>#N/A</v>
      </c>
      <c r="AQ95" s="12" t="e">
        <f t="shared" si="252"/>
        <v>#N/A</v>
      </c>
      <c r="AR95" s="109" t="e">
        <f t="shared" si="253"/>
        <v>#N/A</v>
      </c>
      <c r="AS95" s="109" t="e">
        <f t="shared" si="253"/>
        <v>#N/A</v>
      </c>
      <c r="BF95" s="18">
        <f t="shared" ref="BF95:BG99" si="272">AW53</f>
        <v>49</v>
      </c>
      <c r="BG95" s="12">
        <f t="shared" si="272"/>
        <v>45176</v>
      </c>
      <c r="BH95" s="109">
        <f t="shared" ref="BH95:BI99" si="273">AY53/1000000</f>
        <v>20.222166067342272</v>
      </c>
      <c r="BI95" s="109">
        <f t="shared" si="273"/>
        <v>4</v>
      </c>
      <c r="BM95" s="18">
        <f t="shared" si="254"/>
        <v>47</v>
      </c>
      <c r="BN95" s="12">
        <f t="shared" si="254"/>
        <v>45162</v>
      </c>
      <c r="BO95" s="109">
        <f t="shared" si="255"/>
        <v>42.995307072027899</v>
      </c>
      <c r="BP95" s="109">
        <f t="shared" si="255"/>
        <v>20</v>
      </c>
      <c r="CB95" s="18" t="e">
        <f t="shared" si="176"/>
        <v>#N/A</v>
      </c>
      <c r="CC95" s="12" t="e">
        <f t="shared" si="176"/>
        <v>#N/A</v>
      </c>
      <c r="CD95" s="109" t="e">
        <f t="shared" si="177"/>
        <v>#N/A</v>
      </c>
      <c r="CE95" s="109" t="e">
        <f t="shared" si="177"/>
        <v>#N/A</v>
      </c>
      <c r="CQ95" s="18" t="e">
        <f t="shared" si="178"/>
        <v>#N/A</v>
      </c>
      <c r="CR95" s="12" t="e">
        <f t="shared" si="178"/>
        <v>#N/A</v>
      </c>
      <c r="CS95" s="109" t="e">
        <f t="shared" si="179"/>
        <v>#N/A</v>
      </c>
      <c r="CT95" s="109" t="e">
        <f t="shared" si="179"/>
        <v>#N/A</v>
      </c>
      <c r="DF95" s="18" t="e">
        <f t="shared" si="180"/>
        <v>#N/A</v>
      </c>
      <c r="DG95" s="12" t="e">
        <f t="shared" si="180"/>
        <v>#N/A</v>
      </c>
      <c r="DH95" s="109" t="e">
        <f t="shared" si="181"/>
        <v>#N/A</v>
      </c>
      <c r="DI95" s="109" t="e">
        <f t="shared" si="181"/>
        <v>#N/A</v>
      </c>
      <c r="DU95" s="18" t="e">
        <f t="shared" si="182"/>
        <v>#N/A</v>
      </c>
      <c r="DV95" s="12" t="e">
        <f t="shared" si="182"/>
        <v>#N/A</v>
      </c>
      <c r="DW95" s="109" t="e">
        <f t="shared" si="183"/>
        <v>#N/A</v>
      </c>
      <c r="DX95" s="109" t="e">
        <f t="shared" si="183"/>
        <v>#N/A</v>
      </c>
      <c r="EB95" s="12" t="e">
        <f t="shared" si="256"/>
        <v>#N/A</v>
      </c>
      <c r="EC95" s="12" t="e">
        <f t="shared" si="256"/>
        <v>#N/A</v>
      </c>
      <c r="ED95" s="109" t="e">
        <f t="shared" si="257"/>
        <v>#N/A</v>
      </c>
      <c r="EE95" s="109" t="e">
        <f t="shared" si="257"/>
        <v>#N/A</v>
      </c>
      <c r="EQ95" s="12" t="str">
        <f t="shared" si="184"/>
        <v>FY18-49</v>
      </c>
      <c r="ER95" s="12">
        <f t="shared" si="184"/>
        <v>43258</v>
      </c>
      <c r="ES95" s="109">
        <f t="shared" si="222"/>
        <v>56.921146598855671</v>
      </c>
      <c r="ET95" s="109">
        <f t="shared" si="222"/>
        <v>50</v>
      </c>
      <c r="FF95" s="12" t="str">
        <f t="shared" si="186"/>
        <v>FY19</v>
      </c>
      <c r="FG95" s="12">
        <f t="shared" si="186"/>
        <v>43622</v>
      </c>
      <c r="FH95" s="109">
        <f t="shared" si="223"/>
        <v>18.797418899684388</v>
      </c>
      <c r="FI95" s="109">
        <f t="shared" si="223"/>
        <v>12</v>
      </c>
      <c r="FM95" s="12" t="str">
        <f t="shared" si="258"/>
        <v>FY19</v>
      </c>
      <c r="FN95" s="12">
        <f t="shared" si="258"/>
        <v>43608</v>
      </c>
      <c r="FO95" s="109">
        <f t="shared" si="259"/>
        <v>12.325589702333064</v>
      </c>
      <c r="FP95" s="109">
        <f t="shared" si="259"/>
        <v>3</v>
      </c>
      <c r="GB95" s="12" t="str">
        <f t="shared" si="188"/>
        <v>FY20</v>
      </c>
      <c r="GC95" s="12">
        <f t="shared" si="188"/>
        <v>43986</v>
      </c>
      <c r="GD95" s="109">
        <f t="shared" si="224"/>
        <v>18.06607941623594</v>
      </c>
      <c r="GE95" s="109">
        <f t="shared" si="224"/>
        <v>3</v>
      </c>
      <c r="GI95" s="12" t="str">
        <f t="shared" si="260"/>
        <v>FY20</v>
      </c>
      <c r="GJ95" s="12">
        <f t="shared" si="260"/>
        <v>43972</v>
      </c>
      <c r="GK95" s="109">
        <f t="shared" si="261"/>
        <v>24.236348555792038</v>
      </c>
      <c r="GL95" s="109">
        <f t="shared" si="261"/>
        <v>8</v>
      </c>
      <c r="GX95" s="12" t="str">
        <f t="shared" si="190"/>
        <v>FY21</v>
      </c>
      <c r="GY95" s="12">
        <f t="shared" si="190"/>
        <v>44350</v>
      </c>
      <c r="GZ95" s="109">
        <f t="shared" si="225"/>
        <v>17.730661964122834</v>
      </c>
      <c r="HA95" s="109">
        <f t="shared" si="225"/>
        <v>3</v>
      </c>
      <c r="HM95" s="12" t="str">
        <f t="shared" si="192"/>
        <v>FY22</v>
      </c>
      <c r="HN95" s="12">
        <f t="shared" si="192"/>
        <v>44714</v>
      </c>
      <c r="HO95" s="109">
        <f t="shared" si="226"/>
        <v>21.125759318941927</v>
      </c>
      <c r="HP95" s="109">
        <f t="shared" si="226"/>
        <v>4</v>
      </c>
      <c r="HT95" s="12" t="str">
        <f t="shared" si="262"/>
        <v>FY22</v>
      </c>
      <c r="HU95" s="12">
        <f t="shared" si="262"/>
        <v>44700</v>
      </c>
      <c r="HV95" s="109">
        <f t="shared" si="263"/>
        <v>116.72520401337792</v>
      </c>
      <c r="HW95" s="109">
        <f t="shared" si="263"/>
        <v>80</v>
      </c>
      <c r="II95" s="12" t="str">
        <f t="shared" si="270"/>
        <v>FY23</v>
      </c>
      <c r="IJ95" s="12">
        <f t="shared" si="270"/>
        <v>44945</v>
      </c>
      <c r="IK95" s="109">
        <f t="shared" si="241"/>
        <v>28.696273517786555</v>
      </c>
      <c r="IL95" s="109">
        <f t="shared" si="241"/>
        <v>8</v>
      </c>
      <c r="IP95" s="12" t="str">
        <f t="shared" si="264"/>
        <v>FY23</v>
      </c>
      <c r="IQ95" s="12">
        <f t="shared" si="264"/>
        <v>44931</v>
      </c>
      <c r="IR95" s="109">
        <f t="shared" si="265"/>
        <v>20.659761872909698</v>
      </c>
      <c r="IS95" s="109">
        <f t="shared" si="265"/>
        <v>4</v>
      </c>
      <c r="IW95" s="16" t="s">
        <v>169</v>
      </c>
      <c r="IX95" s="12">
        <v>44644</v>
      </c>
      <c r="IY95" s="103">
        <v>19376209.911827303</v>
      </c>
      <c r="IZ95" s="104">
        <v>3000000</v>
      </c>
      <c r="JE95" s="12" t="str">
        <f t="shared" si="271"/>
        <v>Since FY21</v>
      </c>
      <c r="JF95" s="12">
        <f t="shared" si="269"/>
        <v>44210</v>
      </c>
      <c r="JG95" s="109">
        <f t="shared" si="243"/>
        <v>24.054723502584363</v>
      </c>
      <c r="JH95" s="109">
        <f t="shared" si="243"/>
        <v>8</v>
      </c>
      <c r="JI95" s="109"/>
      <c r="JJ95" s="40"/>
      <c r="JN95" s="12" t="str">
        <f t="shared" si="266"/>
        <v>Since FY21</v>
      </c>
      <c r="JO95" s="12">
        <f t="shared" si="266"/>
        <v>44196</v>
      </c>
      <c r="JP95" s="109">
        <f t="shared" si="267"/>
        <v>25.387217756156883</v>
      </c>
      <c r="JQ95" s="109">
        <f t="shared" si="267"/>
        <v>8</v>
      </c>
      <c r="JR95" s="109" t="e">
        <f t="shared" si="268"/>
        <v>#N/A</v>
      </c>
      <c r="JS95" s="109" t="e">
        <f t="shared" si="268"/>
        <v>#N/A</v>
      </c>
      <c r="JT95" s="40" t="e">
        <f>NA()</f>
        <v>#N/A</v>
      </c>
      <c r="JU95" s="40" t="e">
        <f>NA()</f>
        <v>#N/A</v>
      </c>
      <c r="NI95" s="12"/>
      <c r="NJ95" s="12"/>
      <c r="NK95" s="109"/>
      <c r="NL95" s="109"/>
      <c r="NX95" s="12"/>
      <c r="NY95" s="12"/>
      <c r="NZ95" s="109"/>
      <c r="OA95" s="109"/>
    </row>
    <row r="96" spans="6:393" x14ac:dyDescent="0.25">
      <c r="M96" s="5" t="str" cm="1">
        <f t="array" ref="M96">LOOKUP(2,1/($G$19:$G$35&lt;=$V96)/($H$19:$H$35&gt;=$V96),$F$19:$F$35)</f>
        <v>1H19</v>
      </c>
      <c r="N96" s="5" t="str" cm="1">
        <f t="array" ref="N96">LOOKUP(2,1/($G$8:$G$16&lt;=$V96)/($H$8:$H$16&gt;=$V96),$F$8:$F$16)</f>
        <v>FY19</v>
      </c>
      <c r="O96" s="5" t="str">
        <f>IFERROR(N96&amp;"-"&amp;COUNTIF($N$19:N96,N96),NA())</f>
        <v>FY19-14</v>
      </c>
      <c r="P96" s="5">
        <f>COUNTIF(V$19:V96,"&gt;="&amp;MAX($V:$V)-183)</f>
        <v>0</v>
      </c>
      <c r="Q96" s="5">
        <f>COUNTIF(V$19:V96,"&gt;="&amp;MAX($V:$V)-365)</f>
        <v>0</v>
      </c>
      <c r="R96" s="5" cm="1">
        <f t="array" ref="R96">LOOKUP(2,1/($G$46:$G$50&lt;=$V96)/($H$46:$H$50&gt;=$V96),$F$46:$F$50)</f>
        <v>0</v>
      </c>
      <c r="S96" s="5" cm="1">
        <f t="array" ref="S96">LOOKUP(2,1/($G$53:$G$56&lt;=$V96)/($H$53:$H$56&gt;=$V96),$F$53:$F$56)</f>
        <v>0</v>
      </c>
      <c r="T96" s="5" t="e">
        <f>IFERROR(IF($R96&gt;0,$R96&amp;"-"&amp;COUNTIF($R$19:$R96,$R96),NA()),NA())</f>
        <v>#N/A</v>
      </c>
      <c r="U96" s="5" t="e">
        <f>IFERROR(IF($S96&gt;0,$S96&amp;"-"&amp;COUNTIF($S$19:$S96,$S96),NA()),NA())</f>
        <v>#N/A</v>
      </c>
      <c r="V96" s="10">
        <v>43377</v>
      </c>
      <c r="W96" s="101">
        <v>17248674.888747614</v>
      </c>
      <c r="X96" s="101">
        <v>20738081.818741258</v>
      </c>
      <c r="Y96" s="102">
        <v>8000000</v>
      </c>
      <c r="AI96" s="18"/>
      <c r="AJ96" s="12"/>
      <c r="AK96" s="109"/>
      <c r="AL96" s="109"/>
      <c r="AP96" s="18" t="e">
        <f t="shared" si="252"/>
        <v>#N/A</v>
      </c>
      <c r="AQ96" s="12" t="e">
        <f t="shared" si="252"/>
        <v>#N/A</v>
      </c>
      <c r="AR96" s="109" t="e">
        <f t="shared" si="253"/>
        <v>#N/A</v>
      </c>
      <c r="AS96" s="109" t="e">
        <f t="shared" si="253"/>
        <v>#N/A</v>
      </c>
      <c r="BF96" s="18">
        <f t="shared" si="272"/>
        <v>50</v>
      </c>
      <c r="BG96" s="12">
        <f t="shared" si="272"/>
        <v>45183</v>
      </c>
      <c r="BH96" s="109">
        <f t="shared" si="273"/>
        <v>32.237415277323748</v>
      </c>
      <c r="BI96" s="109">
        <f t="shared" si="273"/>
        <v>12</v>
      </c>
      <c r="BM96" s="18">
        <f t="shared" si="254"/>
        <v>48</v>
      </c>
      <c r="BN96" s="12">
        <f t="shared" si="254"/>
        <v>45169</v>
      </c>
      <c r="BO96" s="109">
        <f t="shared" si="255"/>
        <v>59.703342595619482</v>
      </c>
      <c r="BP96" s="109">
        <f t="shared" si="255"/>
        <v>40</v>
      </c>
      <c r="CB96" s="18" t="e">
        <f t="shared" si="176"/>
        <v>#N/A</v>
      </c>
      <c r="CC96" s="12" t="e">
        <f t="shared" si="176"/>
        <v>#N/A</v>
      </c>
      <c r="CD96" s="109" t="e">
        <f t="shared" si="177"/>
        <v>#N/A</v>
      </c>
      <c r="CE96" s="109" t="e">
        <f t="shared" si="177"/>
        <v>#N/A</v>
      </c>
      <c r="CQ96" s="18" t="e">
        <f t="shared" si="178"/>
        <v>#N/A</v>
      </c>
      <c r="CR96" s="12" t="e">
        <f t="shared" si="178"/>
        <v>#N/A</v>
      </c>
      <c r="CS96" s="109" t="e">
        <f t="shared" si="179"/>
        <v>#N/A</v>
      </c>
      <c r="CT96" s="109" t="e">
        <f t="shared" si="179"/>
        <v>#N/A</v>
      </c>
      <c r="DF96" s="18" t="e">
        <f t="shared" si="180"/>
        <v>#N/A</v>
      </c>
      <c r="DG96" s="12" t="e">
        <f t="shared" si="180"/>
        <v>#N/A</v>
      </c>
      <c r="DH96" s="109" t="e">
        <f t="shared" si="181"/>
        <v>#N/A</v>
      </c>
      <c r="DI96" s="109" t="e">
        <f t="shared" si="181"/>
        <v>#N/A</v>
      </c>
      <c r="DU96" s="18" t="e">
        <f t="shared" si="182"/>
        <v>#N/A</v>
      </c>
      <c r="DV96" s="12" t="e">
        <f t="shared" si="182"/>
        <v>#N/A</v>
      </c>
      <c r="DW96" s="109" t="e">
        <f t="shared" si="183"/>
        <v>#N/A</v>
      </c>
      <c r="DX96" s="109" t="e">
        <f t="shared" si="183"/>
        <v>#N/A</v>
      </c>
      <c r="EB96" s="12" t="e">
        <f t="shared" si="256"/>
        <v>#N/A</v>
      </c>
      <c r="EC96" s="12" t="e">
        <f t="shared" si="256"/>
        <v>#N/A</v>
      </c>
      <c r="ED96" s="109" t="e">
        <f t="shared" si="257"/>
        <v>#N/A</v>
      </c>
      <c r="EE96" s="109" t="e">
        <f t="shared" si="257"/>
        <v>#N/A</v>
      </c>
      <c r="EQ96" s="12" t="str">
        <f t="shared" si="184"/>
        <v>FY18-50</v>
      </c>
      <c r="ER96" s="12">
        <f t="shared" si="184"/>
        <v>43265</v>
      </c>
      <c r="ES96" s="109">
        <f t="shared" si="222"/>
        <v>12.004837380801014</v>
      </c>
      <c r="ET96" s="109">
        <f t="shared" si="222"/>
        <v>3</v>
      </c>
      <c r="FF96" s="12" t="str">
        <f t="shared" si="186"/>
        <v>FY19</v>
      </c>
      <c r="FG96" s="12">
        <f t="shared" si="186"/>
        <v>43629</v>
      </c>
      <c r="FH96" s="109">
        <f t="shared" si="223"/>
        <v>22.750507333374586</v>
      </c>
      <c r="FI96" s="109">
        <f t="shared" si="223"/>
        <v>20</v>
      </c>
      <c r="FM96" s="12" t="str">
        <f t="shared" si="258"/>
        <v>FY19</v>
      </c>
      <c r="FN96" s="12">
        <f t="shared" si="258"/>
        <v>43615</v>
      </c>
      <c r="FO96" s="109">
        <f t="shared" si="259"/>
        <v>15.336385914969984</v>
      </c>
      <c r="FP96" s="109">
        <f t="shared" si="259"/>
        <v>8</v>
      </c>
      <c r="GB96" s="12" t="str">
        <f t="shared" si="188"/>
        <v>FY20</v>
      </c>
      <c r="GC96" s="12">
        <f t="shared" si="188"/>
        <v>43993</v>
      </c>
      <c r="GD96" s="109">
        <f t="shared" si="224"/>
        <v>24.991572879294623</v>
      </c>
      <c r="GE96" s="109">
        <f t="shared" si="224"/>
        <v>8</v>
      </c>
      <c r="GI96" s="12" t="str">
        <f t="shared" si="260"/>
        <v>FY20</v>
      </c>
      <c r="GJ96" s="12">
        <f t="shared" si="260"/>
        <v>43979</v>
      </c>
      <c r="GK96" s="109">
        <f t="shared" si="261"/>
        <v>37.016112131346915</v>
      </c>
      <c r="GL96" s="109">
        <f t="shared" si="261"/>
        <v>15</v>
      </c>
      <c r="GX96" s="12" t="str">
        <f t="shared" si="190"/>
        <v>FY21</v>
      </c>
      <c r="GY96" s="12">
        <f t="shared" si="190"/>
        <v>44357</v>
      </c>
      <c r="GZ96" s="109">
        <f t="shared" si="225"/>
        <v>23.443848707813927</v>
      </c>
      <c r="HA96" s="109">
        <f t="shared" si="225"/>
        <v>8</v>
      </c>
      <c r="HM96" s="12" t="str">
        <f t="shared" si="192"/>
        <v>FY22</v>
      </c>
      <c r="HN96" s="12">
        <f t="shared" si="192"/>
        <v>44721</v>
      </c>
      <c r="HO96" s="109">
        <f t="shared" si="226"/>
        <v>27.291882760717545</v>
      </c>
      <c r="HP96" s="109">
        <f t="shared" si="226"/>
        <v>8</v>
      </c>
      <c r="HT96" s="12" t="str">
        <f t="shared" si="262"/>
        <v>FY22</v>
      </c>
      <c r="HU96" s="12">
        <f t="shared" si="262"/>
        <v>44707</v>
      </c>
      <c r="HV96" s="109">
        <f t="shared" si="263"/>
        <v>21.016983155974454</v>
      </c>
      <c r="HW96" s="109">
        <f t="shared" si="263"/>
        <v>4</v>
      </c>
      <c r="II96" s="12" t="str">
        <f t="shared" si="270"/>
        <v>FY23</v>
      </c>
      <c r="IJ96" s="12">
        <f t="shared" si="270"/>
        <v>44952</v>
      </c>
      <c r="IK96" s="109">
        <f t="shared" si="241"/>
        <v>41.97672252964427</v>
      </c>
      <c r="IL96" s="109">
        <f t="shared" si="241"/>
        <v>20</v>
      </c>
      <c r="IP96" s="12" t="str">
        <f t="shared" si="264"/>
        <v>FY23</v>
      </c>
      <c r="IQ96" s="12">
        <f t="shared" si="264"/>
        <v>44938</v>
      </c>
      <c r="IR96" s="109">
        <f t="shared" si="265"/>
        <v>22.177022316813623</v>
      </c>
      <c r="IS96" s="109">
        <f t="shared" si="265"/>
        <v>4</v>
      </c>
      <c r="IW96" s="16" t="s">
        <v>169</v>
      </c>
      <c r="IX96" s="12">
        <v>44651</v>
      </c>
      <c r="IY96" s="103">
        <v>27161959.98783825</v>
      </c>
      <c r="IZ96" s="104">
        <v>8000000</v>
      </c>
      <c r="JE96" s="12" t="str">
        <f t="shared" si="271"/>
        <v>Since FY21</v>
      </c>
      <c r="JF96" s="12">
        <f t="shared" si="269"/>
        <v>44217</v>
      </c>
      <c r="JG96" s="109">
        <f t="shared" si="243"/>
        <v>39.055239160839157</v>
      </c>
      <c r="JH96" s="109">
        <f t="shared" si="243"/>
        <v>20</v>
      </c>
      <c r="JI96" s="109"/>
      <c r="JJ96" s="40"/>
      <c r="JN96" s="12" t="str">
        <f t="shared" si="266"/>
        <v>Since FY21</v>
      </c>
      <c r="JO96" s="12">
        <f t="shared" si="266"/>
        <v>44203</v>
      </c>
      <c r="JP96" s="109">
        <f t="shared" si="267"/>
        <v>17.082868713894804</v>
      </c>
      <c r="JQ96" s="109">
        <f t="shared" si="267"/>
        <v>3</v>
      </c>
      <c r="JR96" s="109" t="e">
        <f t="shared" si="268"/>
        <v>#N/A</v>
      </c>
      <c r="JS96" s="109" t="e">
        <f t="shared" si="268"/>
        <v>#N/A</v>
      </c>
      <c r="JT96" s="40" t="e">
        <f>NA()</f>
        <v>#N/A</v>
      </c>
      <c r="JU96" s="40" t="e">
        <f>NA()</f>
        <v>#N/A</v>
      </c>
      <c r="NI96" s="12"/>
      <c r="NJ96" s="12"/>
      <c r="NK96" s="109"/>
      <c r="NL96" s="109"/>
      <c r="NX96" s="12"/>
      <c r="NY96" s="12"/>
      <c r="NZ96" s="109"/>
      <c r="OA96" s="109"/>
    </row>
    <row r="97" spans="13:391" x14ac:dyDescent="0.25">
      <c r="M97" s="5" t="str" cm="1">
        <f t="array" ref="M97">LOOKUP(2,1/($G$19:$G$35&lt;=$V97)/($H$19:$H$35&gt;=$V97),$F$19:$F$35)</f>
        <v>1H19</v>
      </c>
      <c r="N97" s="5" t="str" cm="1">
        <f t="array" ref="N97">LOOKUP(2,1/($G$8:$G$16&lt;=$V97)/($H$8:$H$16&gt;=$V97),$F$8:$F$16)</f>
        <v>FY19</v>
      </c>
      <c r="O97" s="5" t="str">
        <f>IFERROR(N97&amp;"-"&amp;COUNTIF($N$19:N97,N97),NA())</f>
        <v>FY19-15</v>
      </c>
      <c r="P97" s="5">
        <f>COUNTIF(V$19:V97,"&gt;="&amp;MAX($V:$V)-183)</f>
        <v>0</v>
      </c>
      <c r="Q97" s="5">
        <f>COUNTIF(V$19:V97,"&gt;="&amp;MAX($V:$V)-365)</f>
        <v>0</v>
      </c>
      <c r="R97" s="5" cm="1">
        <f t="array" ref="R97">LOOKUP(2,1/($G$46:$G$50&lt;=$V97)/($H$46:$H$50&gt;=$V97),$F$46:$F$50)</f>
        <v>0</v>
      </c>
      <c r="S97" s="5" cm="1">
        <f t="array" ref="S97">LOOKUP(2,1/($G$53:$G$56&lt;=$V97)/($H$53:$H$56&gt;=$V97),$F$53:$F$56)</f>
        <v>0</v>
      </c>
      <c r="T97" s="5" t="e">
        <f>IFERROR(IF($R97&gt;0,$R97&amp;"-"&amp;COUNTIF($R$19:$R97,$R97),NA()),NA())</f>
        <v>#N/A</v>
      </c>
      <c r="U97" s="5" t="e">
        <f>IFERROR(IF($S97&gt;0,$S97&amp;"-"&amp;COUNTIF($S$19:$S97,$S97),NA()),NA())</f>
        <v>#N/A</v>
      </c>
      <c r="V97" s="10">
        <v>43384</v>
      </c>
      <c r="W97" s="101">
        <v>22858246.916719638</v>
      </c>
      <c r="X97" s="101">
        <v>27482470.267972022</v>
      </c>
      <c r="Y97" s="102">
        <v>12000000</v>
      </c>
      <c r="AI97" s="18"/>
      <c r="AJ97" s="12"/>
      <c r="AK97" s="109"/>
      <c r="AL97" s="109"/>
      <c r="AP97" s="18" t="e">
        <f t="shared" ref="AP97:AQ101" si="274">IF(OR(ISBLANK(AA53),$AD53&gt;=$AQ$46),NA(),AA53)</f>
        <v>#N/A</v>
      </c>
      <c r="AQ97" s="12" t="e">
        <f t="shared" si="274"/>
        <v>#N/A</v>
      </c>
      <c r="AR97" s="109" t="e">
        <f t="shared" ref="AR97:AS101" si="275">IF(OR(ISBLANK(AC53),$AD53&gt;=$AQ$46),NA(),AC53/1000000)</f>
        <v>#N/A</v>
      </c>
      <c r="AS97" s="109" t="e">
        <f t="shared" si="275"/>
        <v>#N/A</v>
      </c>
      <c r="BF97" s="18">
        <f t="shared" si="272"/>
        <v>51</v>
      </c>
      <c r="BG97" s="12">
        <f t="shared" si="272"/>
        <v>45190</v>
      </c>
      <c r="BH97" s="109">
        <f t="shared" si="273"/>
        <v>41.746812901819773</v>
      </c>
      <c r="BI97" s="109">
        <f t="shared" si="273"/>
        <v>20</v>
      </c>
      <c r="BM97" s="18">
        <f t="shared" ref="BM97:BN101" si="276">IF(OR(ISBLANK(AW53),$AZ53&gt;=$BN$46),NA(),AW53)</f>
        <v>49</v>
      </c>
      <c r="BN97" s="12">
        <f t="shared" si="276"/>
        <v>45176</v>
      </c>
      <c r="BO97" s="109">
        <f t="shared" ref="BO97:BP101" si="277">IF(OR(ISBLANK(AY53),$AZ53&gt;=$BN$46),NA(),AY53/1000000)</f>
        <v>20.222166067342272</v>
      </c>
      <c r="BP97" s="109">
        <f t="shared" si="277"/>
        <v>4</v>
      </c>
      <c r="CB97" s="18" t="e">
        <f t="shared" si="176"/>
        <v>#N/A</v>
      </c>
      <c r="CC97" s="12" t="e">
        <f t="shared" si="176"/>
        <v>#N/A</v>
      </c>
      <c r="CD97" s="109" t="e">
        <f t="shared" si="177"/>
        <v>#N/A</v>
      </c>
      <c r="CE97" s="109" t="e">
        <f t="shared" si="177"/>
        <v>#N/A</v>
      </c>
      <c r="CQ97" s="18" t="e">
        <f t="shared" si="178"/>
        <v>#N/A</v>
      </c>
      <c r="CR97" s="12" t="e">
        <f t="shared" si="178"/>
        <v>#N/A</v>
      </c>
      <c r="CS97" s="109" t="e">
        <f t="shared" si="179"/>
        <v>#N/A</v>
      </c>
      <c r="CT97" s="109" t="e">
        <f t="shared" si="179"/>
        <v>#N/A</v>
      </c>
      <c r="DF97" s="18" t="e">
        <f t="shared" si="180"/>
        <v>#N/A</v>
      </c>
      <c r="DG97" s="12" t="e">
        <f t="shared" si="180"/>
        <v>#N/A</v>
      </c>
      <c r="DH97" s="109" t="e">
        <f t="shared" si="181"/>
        <v>#N/A</v>
      </c>
      <c r="DI97" s="109" t="e">
        <f t="shared" si="181"/>
        <v>#N/A</v>
      </c>
      <c r="DU97" s="18" t="e">
        <f t="shared" si="182"/>
        <v>#N/A</v>
      </c>
      <c r="DV97" s="12" t="e">
        <f t="shared" si="182"/>
        <v>#N/A</v>
      </c>
      <c r="DW97" s="109" t="e">
        <f t="shared" si="183"/>
        <v>#N/A</v>
      </c>
      <c r="DX97" s="109" t="e">
        <f t="shared" si="183"/>
        <v>#N/A</v>
      </c>
      <c r="EB97" s="12" t="e">
        <f t="shared" ref="EB97:EC101" si="278">IF(OR(ISBLANK(DM53),$DP53&gt;=$EC$46),NA(),DM53)</f>
        <v>#N/A</v>
      </c>
      <c r="EC97" s="12" t="e">
        <f t="shared" si="278"/>
        <v>#N/A</v>
      </c>
      <c r="ED97" s="109" t="e">
        <f t="shared" ref="ED97:EE101" si="279">IF(OR(ISBLANK(DO53),$DP53&gt;=$EC$46),NA(),DO53/1000000)</f>
        <v>#N/A</v>
      </c>
      <c r="EE97" s="109" t="e">
        <f t="shared" si="279"/>
        <v>#N/A</v>
      </c>
      <c r="EQ97" s="12" t="str">
        <f t="shared" si="184"/>
        <v>FY18-51</v>
      </c>
      <c r="ER97" s="12">
        <f t="shared" si="184"/>
        <v>43272</v>
      </c>
      <c r="ES97" s="109">
        <f t="shared" si="222"/>
        <v>11.422460775588046</v>
      </c>
      <c r="ET97" s="109">
        <f t="shared" si="222"/>
        <v>3</v>
      </c>
      <c r="FF97" s="12" t="str">
        <f t="shared" si="186"/>
        <v>FY19</v>
      </c>
      <c r="FG97" s="12">
        <f t="shared" si="186"/>
        <v>43636</v>
      </c>
      <c r="FH97" s="109">
        <f t="shared" si="223"/>
        <v>27.826067454669225</v>
      </c>
      <c r="FI97" s="109">
        <f t="shared" si="223"/>
        <v>30</v>
      </c>
      <c r="FM97" s="12" t="str">
        <f t="shared" ref="FM97:FN101" si="280">IF(OR(ISBLANK(EX53),$FA53&gt;=$FN$46),NA(),EX53)</f>
        <v>FY19</v>
      </c>
      <c r="FN97" s="12">
        <f t="shared" si="280"/>
        <v>43622</v>
      </c>
      <c r="FO97" s="109">
        <f t="shared" ref="FO97:FP101" si="281">IF(OR(ISBLANK(EZ53),$FA53&gt;=$FN$46),NA(),EZ53/1000000)</f>
        <v>18.797418899684388</v>
      </c>
      <c r="FP97" s="109">
        <f t="shared" si="281"/>
        <v>12</v>
      </c>
      <c r="GB97" s="12" t="str">
        <f t="shared" si="188"/>
        <v>FY20</v>
      </c>
      <c r="GC97" s="12">
        <f t="shared" si="188"/>
        <v>44000</v>
      </c>
      <c r="GD97" s="109">
        <f t="shared" si="224"/>
        <v>31.885473031316504</v>
      </c>
      <c r="GE97" s="109">
        <f t="shared" si="224"/>
        <v>15</v>
      </c>
      <c r="GI97" s="12" t="str">
        <f t="shared" ref="GI97:GJ101" si="282">IF(OR(ISBLANK(FT53),$FW53&gt;=$GJ$46),NA(),FT53)</f>
        <v>FY20</v>
      </c>
      <c r="GJ97" s="12">
        <f t="shared" si="282"/>
        <v>43986</v>
      </c>
      <c r="GK97" s="109">
        <f t="shared" ref="GK97:GL101" si="283">IF(OR(ISBLANK(FV53),$FW53&gt;=$GJ$46),NA(),FV53/1000000)</f>
        <v>18.06607941623594</v>
      </c>
      <c r="GL97" s="109">
        <f t="shared" si="283"/>
        <v>3</v>
      </c>
      <c r="GX97" s="12" t="str">
        <f t="shared" si="190"/>
        <v>FY21</v>
      </c>
      <c r="GY97" s="12">
        <f t="shared" si="190"/>
        <v>44364</v>
      </c>
      <c r="GZ97" s="109">
        <f t="shared" si="225"/>
        <v>36.861438491942835</v>
      </c>
      <c r="HA97" s="109">
        <f t="shared" si="225"/>
        <v>20</v>
      </c>
      <c r="HM97" s="12" t="str">
        <f t="shared" si="192"/>
        <v>FY22</v>
      </c>
      <c r="HN97" s="12">
        <f t="shared" si="192"/>
        <v>44728</v>
      </c>
      <c r="HO97" s="109">
        <f t="shared" si="226"/>
        <v>41.963661416844026</v>
      </c>
      <c r="HP97" s="109">
        <f t="shared" si="226"/>
        <v>20</v>
      </c>
      <c r="HT97" s="12" t="str">
        <f t="shared" ref="HT97:HU101" si="284">IF(OR(ISBLANK(HE53),$HH53&gt;=$HU$46),NA(),HE53)</f>
        <v>FY22</v>
      </c>
      <c r="HU97" s="12">
        <f t="shared" si="284"/>
        <v>44714</v>
      </c>
      <c r="HV97" s="109">
        <f t="shared" ref="HV97:HW101" si="285">IF(OR(ISBLANK(HG53),$HH53&gt;=$HU$46),NA(),HG53/1000000)</f>
        <v>21.125759318941927</v>
      </c>
      <c r="HW97" s="109">
        <f t="shared" si="285"/>
        <v>4</v>
      </c>
      <c r="II97" s="12" t="str">
        <f t="shared" si="270"/>
        <v>FY23</v>
      </c>
      <c r="IJ97" s="12">
        <f t="shared" si="270"/>
        <v>44959</v>
      </c>
      <c r="IK97" s="109">
        <f t="shared" si="241"/>
        <v>59.808873700212828</v>
      </c>
      <c r="IL97" s="109">
        <f t="shared" si="241"/>
        <v>40</v>
      </c>
      <c r="IP97" s="12" t="str">
        <f t="shared" si="264"/>
        <v>FY23</v>
      </c>
      <c r="IQ97" s="12">
        <f t="shared" si="264"/>
        <v>44945</v>
      </c>
      <c r="IR97" s="109">
        <f t="shared" si="265"/>
        <v>28.696273517786555</v>
      </c>
      <c r="IS97" s="109">
        <f t="shared" si="265"/>
        <v>8</v>
      </c>
      <c r="IW97" s="16" t="s">
        <v>169</v>
      </c>
      <c r="IX97" s="12">
        <v>44658</v>
      </c>
      <c r="IY97" s="103">
        <v>42925571.784736998</v>
      </c>
      <c r="IZ97" s="104">
        <v>20000000</v>
      </c>
      <c r="JE97" s="12" t="str">
        <f t="shared" si="271"/>
        <v>Since FY21</v>
      </c>
      <c r="JF97" s="12">
        <f t="shared" si="269"/>
        <v>44224</v>
      </c>
      <c r="JG97" s="109">
        <f t="shared" si="243"/>
        <v>22.19027935542718</v>
      </c>
      <c r="JH97" s="109">
        <f t="shared" si="243"/>
        <v>8</v>
      </c>
      <c r="JI97" s="109"/>
      <c r="JJ97" s="40"/>
      <c r="JN97" s="12" t="str">
        <f t="shared" si="266"/>
        <v>Since FY21</v>
      </c>
      <c r="JO97" s="12">
        <f t="shared" si="266"/>
        <v>44210</v>
      </c>
      <c r="JP97" s="109">
        <f t="shared" si="267"/>
        <v>24.054723502584363</v>
      </c>
      <c r="JQ97" s="109">
        <f t="shared" si="267"/>
        <v>8</v>
      </c>
      <c r="JR97" s="109" t="e">
        <f t="shared" si="268"/>
        <v>#N/A</v>
      </c>
      <c r="JS97" s="109" t="e">
        <f t="shared" si="268"/>
        <v>#N/A</v>
      </c>
      <c r="JT97" s="40" t="e">
        <f>NA()</f>
        <v>#N/A</v>
      </c>
      <c r="JU97" s="40" t="e">
        <f>NA()</f>
        <v>#N/A</v>
      </c>
      <c r="NI97" s="12"/>
      <c r="NJ97" s="12"/>
      <c r="NK97" s="109"/>
      <c r="NL97" s="109"/>
      <c r="NX97" s="12"/>
      <c r="NY97" s="12"/>
      <c r="NZ97" s="109"/>
      <c r="OA97" s="109"/>
    </row>
    <row r="98" spans="13:391" x14ac:dyDescent="0.25">
      <c r="M98" s="5" t="str" cm="1">
        <f t="array" ref="M98">LOOKUP(2,1/($G$19:$G$35&lt;=$V98)/($H$19:$H$35&gt;=$V98),$F$19:$F$35)</f>
        <v>1H19</v>
      </c>
      <c r="N98" s="5" t="str" cm="1">
        <f t="array" ref="N98">LOOKUP(2,1/($G$8:$G$16&lt;=$V98)/($H$8:$H$16&gt;=$V98),$F$8:$F$16)</f>
        <v>FY19</v>
      </c>
      <c r="O98" s="5" t="str">
        <f>IFERROR(N98&amp;"-"&amp;COUNTIF($N$19:N98,N98),NA())</f>
        <v>FY19-16</v>
      </c>
      <c r="P98" s="5">
        <f>COUNTIF(V$19:V98,"&gt;="&amp;MAX($V:$V)-183)</f>
        <v>0</v>
      </c>
      <c r="Q98" s="5">
        <f>COUNTIF(V$19:V98,"&gt;="&amp;MAX($V:$V)-365)</f>
        <v>0</v>
      </c>
      <c r="R98" s="5" cm="1">
        <f t="array" ref="R98">LOOKUP(2,1/($G$46:$G$50&lt;=$V98)/($H$46:$H$50&gt;=$V98),$F$46:$F$50)</f>
        <v>0</v>
      </c>
      <c r="S98" s="5" cm="1">
        <f t="array" ref="S98">LOOKUP(2,1/($G$53:$G$56&lt;=$V98)/($H$53:$H$56&gt;=$V98),$F$53:$F$56)</f>
        <v>0</v>
      </c>
      <c r="T98" s="5" t="e">
        <f>IFERROR(IF($R98&gt;0,$R98&amp;"-"&amp;COUNTIF($R$19:$R98,$R98),NA()),NA())</f>
        <v>#N/A</v>
      </c>
      <c r="U98" s="5" t="e">
        <f>IFERROR(IF($S98&gt;0,$S98&amp;"-"&amp;COUNTIF($S$19:$S98,$S98),NA()),NA())</f>
        <v>#N/A</v>
      </c>
      <c r="V98" s="10">
        <v>43391</v>
      </c>
      <c r="W98" s="101">
        <v>29451650.349650346</v>
      </c>
      <c r="X98" s="101">
        <v>35409719.215384617</v>
      </c>
      <c r="Y98" s="102">
        <v>20000000</v>
      </c>
      <c r="AI98" s="18"/>
      <c r="AJ98" s="12"/>
      <c r="AK98" s="109"/>
      <c r="AL98" s="109"/>
      <c r="AP98" s="18" t="e">
        <f t="shared" si="274"/>
        <v>#N/A</v>
      </c>
      <c r="AQ98" s="12" t="e">
        <f t="shared" si="274"/>
        <v>#N/A</v>
      </c>
      <c r="AR98" s="109" t="e">
        <f t="shared" si="275"/>
        <v>#N/A</v>
      </c>
      <c r="AS98" s="109" t="e">
        <f t="shared" si="275"/>
        <v>#N/A</v>
      </c>
      <c r="BF98" s="18">
        <f t="shared" si="272"/>
        <v>52</v>
      </c>
      <c r="BG98" s="12">
        <f t="shared" si="272"/>
        <v>45197</v>
      </c>
      <c r="BH98" s="109">
        <f t="shared" si="273"/>
        <v>56.641298899422473</v>
      </c>
      <c r="BI98" s="109">
        <f t="shared" si="273"/>
        <v>40</v>
      </c>
      <c r="BM98" s="18">
        <f t="shared" si="276"/>
        <v>50</v>
      </c>
      <c r="BN98" s="12">
        <f t="shared" si="276"/>
        <v>45183</v>
      </c>
      <c r="BO98" s="109">
        <f t="shared" si="277"/>
        <v>32.237415277323748</v>
      </c>
      <c r="BP98" s="109">
        <f t="shared" si="277"/>
        <v>12</v>
      </c>
      <c r="CB98" s="18" t="e">
        <f t="shared" si="176"/>
        <v>#N/A</v>
      </c>
      <c r="CC98" s="12" t="e">
        <f t="shared" si="176"/>
        <v>#N/A</v>
      </c>
      <c r="CD98" s="109" t="e">
        <f t="shared" si="177"/>
        <v>#N/A</v>
      </c>
      <c r="CE98" s="109" t="e">
        <f t="shared" si="177"/>
        <v>#N/A</v>
      </c>
      <c r="CQ98" s="18" t="e">
        <f t="shared" si="178"/>
        <v>#N/A</v>
      </c>
      <c r="CR98" s="12" t="e">
        <f t="shared" si="178"/>
        <v>#N/A</v>
      </c>
      <c r="CS98" s="109" t="e">
        <f t="shared" si="179"/>
        <v>#N/A</v>
      </c>
      <c r="CT98" s="109" t="e">
        <f t="shared" si="179"/>
        <v>#N/A</v>
      </c>
      <c r="DF98" s="18" t="e">
        <f t="shared" si="180"/>
        <v>#N/A</v>
      </c>
      <c r="DG98" s="12" t="e">
        <f t="shared" si="180"/>
        <v>#N/A</v>
      </c>
      <c r="DH98" s="109" t="e">
        <f t="shared" si="181"/>
        <v>#N/A</v>
      </c>
      <c r="DI98" s="109" t="e">
        <f t="shared" si="181"/>
        <v>#N/A</v>
      </c>
      <c r="DU98" s="18" t="e">
        <f t="shared" si="182"/>
        <v>#N/A</v>
      </c>
      <c r="DV98" s="12" t="e">
        <f t="shared" si="182"/>
        <v>#N/A</v>
      </c>
      <c r="DW98" s="109" t="e">
        <f t="shared" si="183"/>
        <v>#N/A</v>
      </c>
      <c r="DX98" s="109" t="e">
        <f t="shared" si="183"/>
        <v>#N/A</v>
      </c>
      <c r="EB98" s="12" t="e">
        <f t="shared" si="278"/>
        <v>#N/A</v>
      </c>
      <c r="EC98" s="12" t="e">
        <f t="shared" si="278"/>
        <v>#N/A</v>
      </c>
      <c r="ED98" s="109" t="e">
        <f t="shared" si="279"/>
        <v>#N/A</v>
      </c>
      <c r="EE98" s="109" t="e">
        <f t="shared" si="279"/>
        <v>#N/A</v>
      </c>
      <c r="EQ98" s="12" t="str">
        <f t="shared" si="184"/>
        <v>FY18-52</v>
      </c>
      <c r="ER98" s="12">
        <f t="shared" si="184"/>
        <v>43279</v>
      </c>
      <c r="ES98" s="109">
        <f t="shared" si="222"/>
        <v>16.82988989192625</v>
      </c>
      <c r="ET98" s="109">
        <f t="shared" si="222"/>
        <v>8</v>
      </c>
      <c r="FF98" s="12" t="str">
        <f t="shared" si="186"/>
        <v>FY19</v>
      </c>
      <c r="FG98" s="12">
        <f t="shared" si="186"/>
        <v>43643</v>
      </c>
      <c r="FH98" s="109">
        <f t="shared" si="223"/>
        <v>37.957462714276872</v>
      </c>
      <c r="FI98" s="109">
        <f t="shared" si="223"/>
        <v>40</v>
      </c>
      <c r="FM98" s="12" t="str">
        <f t="shared" si="280"/>
        <v>FY19</v>
      </c>
      <c r="FN98" s="12">
        <f t="shared" si="280"/>
        <v>43629</v>
      </c>
      <c r="FO98" s="109">
        <f t="shared" si="281"/>
        <v>22.750507333374586</v>
      </c>
      <c r="FP98" s="109">
        <f t="shared" si="281"/>
        <v>20</v>
      </c>
      <c r="GB98" s="12" t="str">
        <f t="shared" si="188"/>
        <v>FY20</v>
      </c>
      <c r="GC98" s="12">
        <f t="shared" si="188"/>
        <v>44007</v>
      </c>
      <c r="GD98" s="109">
        <f t="shared" si="224"/>
        <v>48.173921070234115</v>
      </c>
      <c r="GE98" s="109">
        <f t="shared" si="224"/>
        <v>30</v>
      </c>
      <c r="GI98" s="12" t="str">
        <f t="shared" si="282"/>
        <v>FY20</v>
      </c>
      <c r="GJ98" s="12">
        <f t="shared" si="282"/>
        <v>43993</v>
      </c>
      <c r="GK98" s="109">
        <f t="shared" si="283"/>
        <v>24.991572879294623</v>
      </c>
      <c r="GL98" s="109">
        <f t="shared" si="283"/>
        <v>8</v>
      </c>
      <c r="GX98" s="12" t="str">
        <f t="shared" si="190"/>
        <v>FY21</v>
      </c>
      <c r="GY98" s="12">
        <f t="shared" si="190"/>
        <v>44371</v>
      </c>
      <c r="GZ98" s="109">
        <f t="shared" si="225"/>
        <v>55.754455457585884</v>
      </c>
      <c r="HA98" s="109">
        <f t="shared" si="225"/>
        <v>40</v>
      </c>
      <c r="HM98" s="12" t="str">
        <f t="shared" si="192"/>
        <v>FY22</v>
      </c>
      <c r="HN98" s="12">
        <f t="shared" si="192"/>
        <v>44735</v>
      </c>
      <c r="HO98" s="109">
        <f t="shared" si="226"/>
        <v>57.463937245363326</v>
      </c>
      <c r="HP98" s="109">
        <f t="shared" si="226"/>
        <v>40</v>
      </c>
      <c r="HT98" s="12" t="str">
        <f t="shared" si="284"/>
        <v>FY22</v>
      </c>
      <c r="HU98" s="12">
        <f t="shared" si="284"/>
        <v>44721</v>
      </c>
      <c r="HV98" s="109">
        <f t="shared" si="285"/>
        <v>27.291882760717545</v>
      </c>
      <c r="HW98" s="109">
        <f t="shared" si="285"/>
        <v>8</v>
      </c>
      <c r="II98" s="12" t="str">
        <f t="shared" si="270"/>
        <v>FY23</v>
      </c>
      <c r="IJ98" s="12">
        <f t="shared" si="270"/>
        <v>44966</v>
      </c>
      <c r="IK98" s="109">
        <f t="shared" si="241"/>
        <v>20.069480449984798</v>
      </c>
      <c r="IL98" s="109">
        <f t="shared" si="241"/>
        <v>4</v>
      </c>
      <c r="IP98" s="12" t="str">
        <f t="shared" si="264"/>
        <v>FY23</v>
      </c>
      <c r="IQ98" s="12">
        <f t="shared" si="264"/>
        <v>44952</v>
      </c>
      <c r="IR98" s="109">
        <f t="shared" si="265"/>
        <v>41.97672252964427</v>
      </c>
      <c r="IS98" s="109">
        <f t="shared" si="265"/>
        <v>20</v>
      </c>
      <c r="IW98" s="16" t="s">
        <v>169</v>
      </c>
      <c r="IX98" s="12">
        <v>44665</v>
      </c>
      <c r="IY98" s="103">
        <v>20606947.765278194</v>
      </c>
      <c r="IZ98" s="104">
        <v>4000000</v>
      </c>
      <c r="JE98" s="12" t="str">
        <f t="shared" si="271"/>
        <v>Since FY21</v>
      </c>
      <c r="JF98" s="12">
        <f t="shared" si="269"/>
        <v>44231</v>
      </c>
      <c r="JG98" s="109">
        <f t="shared" si="243"/>
        <v>36.953457707509884</v>
      </c>
      <c r="JH98" s="109">
        <f t="shared" si="243"/>
        <v>20</v>
      </c>
      <c r="JI98" s="109"/>
      <c r="JJ98" s="40"/>
      <c r="JN98" s="12" t="str">
        <f t="shared" si="266"/>
        <v>Since FY21</v>
      </c>
      <c r="JO98" s="12">
        <f t="shared" si="266"/>
        <v>44217</v>
      </c>
      <c r="JP98" s="109">
        <f t="shared" si="267"/>
        <v>39.055239160839157</v>
      </c>
      <c r="JQ98" s="109">
        <f t="shared" si="267"/>
        <v>20</v>
      </c>
      <c r="JR98" s="109" t="e">
        <f t="shared" si="268"/>
        <v>#N/A</v>
      </c>
      <c r="JS98" s="109" t="e">
        <f t="shared" si="268"/>
        <v>#N/A</v>
      </c>
      <c r="JT98" s="40" t="e">
        <f>NA()</f>
        <v>#N/A</v>
      </c>
      <c r="JU98" s="40" t="e">
        <f>NA()</f>
        <v>#N/A</v>
      </c>
      <c r="NI98" s="12"/>
      <c r="NJ98" s="12"/>
      <c r="NK98" s="109"/>
      <c r="NL98" s="109"/>
      <c r="NX98" s="12"/>
      <c r="NY98" s="12"/>
      <c r="NZ98" s="109"/>
      <c r="OA98" s="109"/>
    </row>
    <row r="99" spans="13:391" x14ac:dyDescent="0.25">
      <c r="M99" s="5" t="str" cm="1">
        <f t="array" ref="M99">LOOKUP(2,1/($G$19:$G$35&lt;=$V99)/($H$19:$H$35&gt;=$V99),$F$19:$F$35)</f>
        <v>1H19</v>
      </c>
      <c r="N99" s="5" t="str" cm="1">
        <f t="array" ref="N99">LOOKUP(2,1/($G$8:$G$16&lt;=$V99)/($H$8:$H$16&gt;=$V99),$F$8:$F$16)</f>
        <v>FY19</v>
      </c>
      <c r="O99" s="5" t="str">
        <f>IFERROR(N99&amp;"-"&amp;COUNTIF($N$19:N99,N99),NA())</f>
        <v>FY19-17</v>
      </c>
      <c r="P99" s="5">
        <f>COUNTIF(V$19:V99,"&gt;="&amp;MAX($V:$V)-183)</f>
        <v>0</v>
      </c>
      <c r="Q99" s="5">
        <f>COUNTIF(V$19:V99,"&gt;="&amp;MAX($V:$V)-365)</f>
        <v>0</v>
      </c>
      <c r="R99" s="5" cm="1">
        <f t="array" ref="R99">LOOKUP(2,1/($G$46:$G$50&lt;=$V99)/($H$46:$H$50&gt;=$V99),$F$46:$F$50)</f>
        <v>0</v>
      </c>
      <c r="S99" s="5" cm="1">
        <f t="array" ref="S99">LOOKUP(2,1/($G$53:$G$56&lt;=$V99)/($H$53:$H$56&gt;=$V99),$F$53:$F$56)</f>
        <v>0</v>
      </c>
      <c r="T99" s="5" t="e">
        <f>IFERROR(IF($R99&gt;0,$R99&amp;"-"&amp;COUNTIF($R$19:$R99,$R99),NA()),NA())</f>
        <v>#N/A</v>
      </c>
      <c r="U99" s="5" t="e">
        <f>IFERROR(IF($S99&gt;0,$S99&amp;"-"&amp;COUNTIF($S$19:$S99,$S99),NA()),NA())</f>
        <v>#N/A</v>
      </c>
      <c r="V99" s="10">
        <v>43398</v>
      </c>
      <c r="W99" s="101">
        <v>34304900.19071836</v>
      </c>
      <c r="X99" s="101">
        <v>41244781.499300689</v>
      </c>
      <c r="Y99" s="102">
        <v>30000000</v>
      </c>
      <c r="AI99" s="18"/>
      <c r="AJ99" s="12"/>
      <c r="AK99" s="109"/>
      <c r="AL99" s="109"/>
      <c r="AP99" s="18" t="e">
        <f t="shared" si="274"/>
        <v>#N/A</v>
      </c>
      <c r="AQ99" s="12" t="e">
        <f t="shared" si="274"/>
        <v>#N/A</v>
      </c>
      <c r="AR99" s="109" t="e">
        <f t="shared" si="275"/>
        <v>#N/A</v>
      </c>
      <c r="AS99" s="109" t="e">
        <f t="shared" si="275"/>
        <v>#N/A</v>
      </c>
      <c r="BF99" s="18">
        <f t="shared" si="272"/>
        <v>53</v>
      </c>
      <c r="BG99" s="12">
        <f t="shared" si="272"/>
        <v>45204</v>
      </c>
      <c r="BH99" s="109">
        <f t="shared" si="273"/>
        <v>85.3851064618067</v>
      </c>
      <c r="BI99" s="109">
        <f t="shared" si="273"/>
        <v>60</v>
      </c>
      <c r="BM99" s="18">
        <f t="shared" si="276"/>
        <v>51</v>
      </c>
      <c r="BN99" s="12">
        <f t="shared" si="276"/>
        <v>45190</v>
      </c>
      <c r="BO99" s="109">
        <f t="shared" si="277"/>
        <v>41.746812901819773</v>
      </c>
      <c r="BP99" s="109">
        <f t="shared" si="277"/>
        <v>20</v>
      </c>
      <c r="CB99" s="18" t="e">
        <f t="shared" si="176"/>
        <v>#N/A</v>
      </c>
      <c r="CC99" s="12" t="e">
        <f t="shared" si="176"/>
        <v>#N/A</v>
      </c>
      <c r="CD99" s="109" t="e">
        <f t="shared" si="177"/>
        <v>#N/A</v>
      </c>
      <c r="CE99" s="109" t="e">
        <f t="shared" si="177"/>
        <v>#N/A</v>
      </c>
      <c r="CQ99" s="18" t="e">
        <f t="shared" si="178"/>
        <v>#N/A</v>
      </c>
      <c r="CR99" s="12" t="e">
        <f t="shared" si="178"/>
        <v>#N/A</v>
      </c>
      <c r="CS99" s="109" t="e">
        <f t="shared" si="179"/>
        <v>#N/A</v>
      </c>
      <c r="CT99" s="109" t="e">
        <f t="shared" si="179"/>
        <v>#N/A</v>
      </c>
      <c r="DF99" s="18" t="e">
        <f t="shared" si="180"/>
        <v>#N/A</v>
      </c>
      <c r="DG99" s="12" t="e">
        <f t="shared" si="180"/>
        <v>#N/A</v>
      </c>
      <c r="DH99" s="109" t="e">
        <f t="shared" si="181"/>
        <v>#N/A</v>
      </c>
      <c r="DI99" s="109" t="e">
        <f t="shared" si="181"/>
        <v>#N/A</v>
      </c>
      <c r="DU99" s="18" t="e">
        <f t="shared" si="182"/>
        <v>#N/A</v>
      </c>
      <c r="DV99" s="12" t="e">
        <f t="shared" si="182"/>
        <v>#N/A</v>
      </c>
      <c r="DW99" s="109" t="e">
        <f t="shared" si="183"/>
        <v>#N/A</v>
      </c>
      <c r="DX99" s="109" t="e">
        <f t="shared" si="183"/>
        <v>#N/A</v>
      </c>
      <c r="EB99" s="12" t="e">
        <f t="shared" si="278"/>
        <v>#N/A</v>
      </c>
      <c r="EC99" s="12" t="e">
        <f t="shared" si="278"/>
        <v>#N/A</v>
      </c>
      <c r="ED99" s="109" t="e">
        <f t="shared" si="279"/>
        <v>#N/A</v>
      </c>
      <c r="EE99" s="109" t="e">
        <f t="shared" si="279"/>
        <v>#N/A</v>
      </c>
      <c r="EQ99" s="12"/>
      <c r="ER99" s="12"/>
      <c r="ES99" s="109"/>
      <c r="ET99" s="109"/>
      <c r="FF99" s="12"/>
      <c r="FG99" s="12"/>
      <c r="FH99" s="109"/>
      <c r="FI99" s="109"/>
      <c r="FM99" s="12" t="str">
        <f t="shared" si="280"/>
        <v>FY19</v>
      </c>
      <c r="FN99" s="12">
        <f t="shared" si="280"/>
        <v>43636</v>
      </c>
      <c r="FO99" s="109">
        <f t="shared" si="281"/>
        <v>27.826067454669225</v>
      </c>
      <c r="FP99" s="109">
        <f t="shared" si="281"/>
        <v>30</v>
      </c>
      <c r="GB99" s="12"/>
      <c r="GC99" s="12"/>
      <c r="GD99" s="109"/>
      <c r="GE99" s="109"/>
      <c r="GI99" s="12" t="str">
        <f t="shared" si="282"/>
        <v>FY20</v>
      </c>
      <c r="GJ99" s="12">
        <f t="shared" si="282"/>
        <v>44000</v>
      </c>
      <c r="GK99" s="109">
        <f t="shared" si="283"/>
        <v>31.885473031316504</v>
      </c>
      <c r="GL99" s="109">
        <f t="shared" si="283"/>
        <v>15</v>
      </c>
      <c r="GX99" s="12"/>
      <c r="GY99" s="12"/>
      <c r="GZ99" s="109"/>
      <c r="HA99" s="109"/>
      <c r="HM99" s="12" t="str">
        <f>HE57</f>
        <v>FY22</v>
      </c>
      <c r="HN99" s="12">
        <f>HF57</f>
        <v>44742</v>
      </c>
      <c r="HO99" s="109">
        <f>HG57/1000000</f>
        <v>77.836461903314074</v>
      </c>
      <c r="HP99" s="109">
        <f>HH57/1000000</f>
        <v>60</v>
      </c>
      <c r="HT99" s="12" t="str">
        <f t="shared" si="284"/>
        <v>FY22</v>
      </c>
      <c r="HU99" s="12">
        <f t="shared" si="284"/>
        <v>44728</v>
      </c>
      <c r="HV99" s="109">
        <f t="shared" si="285"/>
        <v>41.963661416844026</v>
      </c>
      <c r="HW99" s="109">
        <f t="shared" si="285"/>
        <v>20</v>
      </c>
      <c r="II99" s="12" t="str">
        <f t="shared" si="270"/>
        <v>FY23</v>
      </c>
      <c r="IJ99" s="12">
        <f t="shared" si="270"/>
        <v>44973</v>
      </c>
      <c r="IK99" s="109">
        <f t="shared" si="241"/>
        <v>27.295176771055036</v>
      </c>
      <c r="IL99" s="109">
        <f t="shared" si="241"/>
        <v>8</v>
      </c>
      <c r="IP99" s="12" t="str">
        <f t="shared" si="264"/>
        <v>FY23</v>
      </c>
      <c r="IQ99" s="12">
        <f t="shared" si="264"/>
        <v>44959</v>
      </c>
      <c r="IR99" s="109">
        <f t="shared" si="265"/>
        <v>59.808873700212828</v>
      </c>
      <c r="IS99" s="109">
        <f t="shared" si="265"/>
        <v>40</v>
      </c>
      <c r="IW99" s="16" t="s">
        <v>169</v>
      </c>
      <c r="IX99" s="12">
        <v>44672</v>
      </c>
      <c r="IY99" s="103">
        <v>24232711.705685619</v>
      </c>
      <c r="IZ99" s="104">
        <v>8000000</v>
      </c>
      <c r="JE99" s="12" t="str">
        <f t="shared" si="271"/>
        <v>Since FY21</v>
      </c>
      <c r="JF99" s="12">
        <f t="shared" si="269"/>
        <v>44238</v>
      </c>
      <c r="JG99" s="109">
        <f t="shared" si="243"/>
        <v>48.994890605047111</v>
      </c>
      <c r="JH99" s="109">
        <f t="shared" si="243"/>
        <v>30</v>
      </c>
      <c r="JI99" s="109"/>
      <c r="JJ99" s="40"/>
      <c r="JN99" s="12" t="str">
        <f t="shared" si="266"/>
        <v>Since FY21</v>
      </c>
      <c r="JO99" s="12">
        <f t="shared" si="266"/>
        <v>44224</v>
      </c>
      <c r="JP99" s="109">
        <f t="shared" si="267"/>
        <v>22.19027935542718</v>
      </c>
      <c r="JQ99" s="109">
        <f t="shared" si="267"/>
        <v>8</v>
      </c>
      <c r="JR99" s="109" t="e">
        <f t="shared" si="268"/>
        <v>#N/A</v>
      </c>
      <c r="JS99" s="109" t="e">
        <f t="shared" si="268"/>
        <v>#N/A</v>
      </c>
      <c r="JT99" s="40" t="e">
        <f>NA()</f>
        <v>#N/A</v>
      </c>
      <c r="JU99" s="40" t="e">
        <f>NA()</f>
        <v>#N/A</v>
      </c>
      <c r="NI99" s="12"/>
      <c r="NJ99" s="12"/>
      <c r="NK99" s="109"/>
      <c r="NL99" s="109"/>
      <c r="NX99" s="12"/>
      <c r="NY99" s="12"/>
      <c r="NZ99" s="109"/>
      <c r="OA99" s="109"/>
    </row>
    <row r="100" spans="13:391" x14ac:dyDescent="0.25">
      <c r="M100" s="5" t="str" cm="1">
        <f t="array" ref="M100">LOOKUP(2,1/($G$19:$G$35&lt;=$V100)/($H$19:$H$35&gt;=$V100),$F$19:$F$35)</f>
        <v>1H19</v>
      </c>
      <c r="N100" s="5" t="str" cm="1">
        <f t="array" ref="N100">LOOKUP(2,1/($G$8:$G$16&lt;=$V100)/($H$8:$H$16&gt;=$V100),$F$8:$F$16)</f>
        <v>FY19</v>
      </c>
      <c r="O100" s="5" t="str">
        <f>IFERROR(N100&amp;"-"&amp;COUNTIF($N$19:N100,N100),NA())</f>
        <v>FY19-18</v>
      </c>
      <c r="P100" s="5">
        <f>COUNTIF(V$19:V100,"&gt;="&amp;MAX($V:$V)-183)</f>
        <v>0</v>
      </c>
      <c r="Q100" s="5">
        <f>COUNTIF(V$19:V100,"&gt;="&amp;MAX($V:$V)-365)</f>
        <v>0</v>
      </c>
      <c r="R100" s="5" cm="1">
        <f t="array" ref="R100">LOOKUP(2,1/($G$46:$G$50&lt;=$V100)/($H$46:$H$50&gt;=$V100),$F$46:$F$50)</f>
        <v>0</v>
      </c>
      <c r="S100" s="5" cm="1">
        <f t="array" ref="S100">LOOKUP(2,1/($G$53:$G$56&lt;=$V100)/($H$53:$H$56&gt;=$V100),$F$53:$F$56)</f>
        <v>0</v>
      </c>
      <c r="T100" s="5" t="e">
        <f>IFERROR(IF($R100&gt;0,$R100&amp;"-"&amp;COUNTIF($R$19:$R100,$R100),NA()),NA())</f>
        <v>#N/A</v>
      </c>
      <c r="U100" s="5" t="e">
        <f>IFERROR(IF($S100&gt;0,$S100&amp;"-"&amp;COUNTIF($S$19:$S100,$S100),NA()),NA())</f>
        <v>#N/A</v>
      </c>
      <c r="V100" s="10">
        <v>43405</v>
      </c>
      <c r="W100" s="101">
        <v>42745877.177368082</v>
      </c>
      <c r="X100" s="101">
        <v>51393368.130349651</v>
      </c>
      <c r="Y100" s="102">
        <v>40000000</v>
      </c>
      <c r="AI100" s="18"/>
      <c r="AJ100" s="12"/>
      <c r="AK100" s="109"/>
      <c r="AL100" s="109"/>
      <c r="AP100" s="18" t="e">
        <f t="shared" si="274"/>
        <v>#N/A</v>
      </c>
      <c r="AQ100" s="12" t="e">
        <f t="shared" si="274"/>
        <v>#N/A</v>
      </c>
      <c r="AR100" s="109" t="e">
        <f t="shared" si="275"/>
        <v>#N/A</v>
      </c>
      <c r="AS100" s="109" t="e">
        <f t="shared" si="275"/>
        <v>#N/A</v>
      </c>
      <c r="BF100" s="18"/>
      <c r="BG100" s="12"/>
      <c r="BH100" s="109"/>
      <c r="BI100" s="109"/>
      <c r="BM100" s="18">
        <f t="shared" si="276"/>
        <v>52</v>
      </c>
      <c r="BN100" s="12">
        <f t="shared" si="276"/>
        <v>45197</v>
      </c>
      <c r="BO100" s="109">
        <f t="shared" si="277"/>
        <v>56.641298899422473</v>
      </c>
      <c r="BP100" s="109">
        <f t="shared" si="277"/>
        <v>40</v>
      </c>
      <c r="CB100" s="18"/>
      <c r="CC100" s="12"/>
      <c r="CD100" s="109"/>
      <c r="CE100" s="109"/>
      <c r="CQ100" s="18"/>
      <c r="CR100" s="12"/>
      <c r="CS100" s="109"/>
      <c r="CT100" s="109"/>
      <c r="DF100" s="18"/>
      <c r="DG100" s="12"/>
      <c r="DH100" s="109"/>
      <c r="DI100" s="109"/>
      <c r="DU100" s="18"/>
      <c r="DV100" s="12"/>
      <c r="DW100" s="109"/>
      <c r="DX100" s="109"/>
      <c r="EB100" s="12" t="e">
        <f t="shared" si="278"/>
        <v>#N/A</v>
      </c>
      <c r="EC100" s="12" t="e">
        <f t="shared" si="278"/>
        <v>#N/A</v>
      </c>
      <c r="ED100" s="109" t="e">
        <f t="shared" si="279"/>
        <v>#N/A</v>
      </c>
      <c r="EE100" s="109" t="e">
        <f t="shared" si="279"/>
        <v>#N/A</v>
      </c>
      <c r="EQ100" s="12"/>
      <c r="ER100" s="12"/>
      <c r="ES100" s="109"/>
      <c r="ET100" s="109"/>
      <c r="FF100" s="12"/>
      <c r="FG100" s="12"/>
      <c r="FH100" s="109"/>
      <c r="FI100" s="109"/>
      <c r="FM100" s="12" t="str">
        <f t="shared" si="280"/>
        <v>FY19</v>
      </c>
      <c r="FN100" s="12">
        <f t="shared" si="280"/>
        <v>43643</v>
      </c>
      <c r="FO100" s="109">
        <f t="shared" si="281"/>
        <v>37.957462714276872</v>
      </c>
      <c r="FP100" s="109">
        <f t="shared" si="281"/>
        <v>40</v>
      </c>
      <c r="GB100" s="12"/>
      <c r="GC100" s="12"/>
      <c r="GD100" s="109"/>
      <c r="GE100" s="109"/>
      <c r="GI100" s="12" t="str">
        <f t="shared" si="282"/>
        <v>FY20</v>
      </c>
      <c r="GJ100" s="12">
        <f t="shared" si="282"/>
        <v>44007</v>
      </c>
      <c r="GK100" s="109">
        <f t="shared" si="283"/>
        <v>48.173921070234115</v>
      </c>
      <c r="GL100" s="109">
        <f t="shared" si="283"/>
        <v>30</v>
      </c>
      <c r="GX100" s="12"/>
      <c r="GY100" s="12"/>
      <c r="GZ100" s="109"/>
      <c r="HA100" s="109"/>
      <c r="HM100" s="12"/>
      <c r="HN100" s="12"/>
      <c r="HO100" s="109"/>
      <c r="HP100" s="109"/>
      <c r="HT100" s="12" t="str">
        <f t="shared" si="284"/>
        <v>FY22</v>
      </c>
      <c r="HU100" s="12">
        <f t="shared" si="284"/>
        <v>44735</v>
      </c>
      <c r="HV100" s="109">
        <f t="shared" si="285"/>
        <v>57.463937245363326</v>
      </c>
      <c r="HW100" s="109">
        <f t="shared" si="285"/>
        <v>40</v>
      </c>
      <c r="II100" s="12" t="str">
        <f t="shared" si="270"/>
        <v>FY23</v>
      </c>
      <c r="IJ100" s="12">
        <f t="shared" si="270"/>
        <v>44980</v>
      </c>
      <c r="IK100" s="109">
        <f t="shared" si="241"/>
        <v>43.788940346609913</v>
      </c>
      <c r="IL100" s="109">
        <f t="shared" si="241"/>
        <v>20</v>
      </c>
      <c r="IP100" s="12" t="str">
        <f t="shared" si="264"/>
        <v>FY23</v>
      </c>
      <c r="IQ100" s="12">
        <f t="shared" si="264"/>
        <v>44966</v>
      </c>
      <c r="IR100" s="109">
        <f t="shared" si="265"/>
        <v>20.069480449984798</v>
      </c>
      <c r="IS100" s="109">
        <f t="shared" si="265"/>
        <v>4</v>
      </c>
      <c r="IW100" s="16" t="s">
        <v>169</v>
      </c>
      <c r="IX100" s="12">
        <v>44679</v>
      </c>
      <c r="IY100" s="103">
        <v>39401901.124961987</v>
      </c>
      <c r="IZ100" s="104">
        <v>20000000</v>
      </c>
      <c r="JE100" s="12" t="str">
        <f t="shared" si="271"/>
        <v>Since FY21</v>
      </c>
      <c r="JF100" s="12">
        <f t="shared" si="269"/>
        <v>44245</v>
      </c>
      <c r="JG100" s="109">
        <f t="shared" si="243"/>
        <v>78.306876740650651</v>
      </c>
      <c r="JH100" s="109">
        <f t="shared" si="243"/>
        <v>50</v>
      </c>
      <c r="JI100" s="109"/>
      <c r="JJ100" s="40"/>
      <c r="JN100" s="12" t="str">
        <f t="shared" si="266"/>
        <v>Since FY21</v>
      </c>
      <c r="JO100" s="12">
        <f t="shared" si="266"/>
        <v>44231</v>
      </c>
      <c r="JP100" s="109">
        <f t="shared" si="267"/>
        <v>36.953457707509884</v>
      </c>
      <c r="JQ100" s="109">
        <f t="shared" si="267"/>
        <v>20</v>
      </c>
      <c r="JR100" s="109" t="e">
        <f t="shared" si="268"/>
        <v>#N/A</v>
      </c>
      <c r="JS100" s="109" t="e">
        <f t="shared" si="268"/>
        <v>#N/A</v>
      </c>
      <c r="JT100" s="40" t="e">
        <f>NA()</f>
        <v>#N/A</v>
      </c>
      <c r="JU100" s="40" t="e">
        <f>NA()</f>
        <v>#N/A</v>
      </c>
      <c r="NI100" s="12"/>
      <c r="NJ100" s="12"/>
      <c r="NK100" s="109"/>
      <c r="NL100" s="109"/>
      <c r="NX100" s="12"/>
      <c r="NY100" s="12"/>
      <c r="NZ100" s="109"/>
      <c r="OA100" s="109"/>
    </row>
    <row r="101" spans="13:391" x14ac:dyDescent="0.25">
      <c r="M101" s="5" t="str" cm="1">
        <f t="array" ref="M101">LOOKUP(2,1/($G$19:$G$35&lt;=$V101)/($H$19:$H$35&gt;=$V101),$F$19:$F$35)</f>
        <v>1H19</v>
      </c>
      <c r="N101" s="5" t="str" cm="1">
        <f t="array" ref="N101">LOOKUP(2,1/($G$8:$G$16&lt;=$V101)/($H$8:$H$16&gt;=$V101),$F$8:$F$16)</f>
        <v>FY19</v>
      </c>
      <c r="O101" s="5" t="str">
        <f>IFERROR(N101&amp;"-"&amp;COUNTIF($N$19:N101,N101),NA())</f>
        <v>FY19-19</v>
      </c>
      <c r="P101" s="5">
        <f>COUNTIF(V$19:V101,"&gt;="&amp;MAX($V:$V)-183)</f>
        <v>0</v>
      </c>
      <c r="Q101" s="5">
        <f>COUNTIF(V$19:V101,"&gt;="&amp;MAX($V:$V)-365)</f>
        <v>0</v>
      </c>
      <c r="R101" s="5" cm="1">
        <f t="array" ref="R101">LOOKUP(2,1/($G$46:$G$50&lt;=$V101)/($H$46:$H$50&gt;=$V101),$F$46:$F$50)</f>
        <v>0</v>
      </c>
      <c r="S101" s="5" cm="1">
        <f t="array" ref="S101">LOOKUP(2,1/($G$53:$G$56&lt;=$V101)/($H$53:$H$56&gt;=$V101),$F$53:$F$56)</f>
        <v>0</v>
      </c>
      <c r="T101" s="5" t="e">
        <f>IFERROR(IF($R101&gt;0,$R101&amp;"-"&amp;COUNTIF($R$19:$R101,$R101),NA()),NA())</f>
        <v>#N/A</v>
      </c>
      <c r="U101" s="5" t="e">
        <f>IFERROR(IF($S101&gt;0,$S101&amp;"-"&amp;COUNTIF($S$19:$S101,$S101),NA()),NA())</f>
        <v>#N/A</v>
      </c>
      <c r="V101" s="10">
        <v>43412</v>
      </c>
      <c r="W101" s="101">
        <v>70047528.035600752</v>
      </c>
      <c r="X101" s="101">
        <v>84218142.957202792</v>
      </c>
      <c r="Y101" s="102">
        <v>60000000</v>
      </c>
      <c r="AI101" s="18"/>
      <c r="AJ101" s="12"/>
      <c r="AK101" s="109"/>
      <c r="AL101" s="109"/>
      <c r="AP101" s="18" t="e">
        <f t="shared" si="274"/>
        <v>#N/A</v>
      </c>
      <c r="AQ101" s="12" t="e">
        <f t="shared" si="274"/>
        <v>#N/A</v>
      </c>
      <c r="AR101" s="109" t="e">
        <f t="shared" si="275"/>
        <v>#N/A</v>
      </c>
      <c r="AS101" s="109" t="e">
        <f t="shared" si="275"/>
        <v>#N/A</v>
      </c>
      <c r="BF101" s="18"/>
      <c r="BG101" s="12"/>
      <c r="BH101" s="109"/>
      <c r="BI101" s="109"/>
      <c r="BM101" s="18">
        <f t="shared" si="276"/>
        <v>53</v>
      </c>
      <c r="BN101" s="12">
        <f t="shared" si="276"/>
        <v>45204</v>
      </c>
      <c r="BO101" s="109">
        <f t="shared" si="277"/>
        <v>85.3851064618067</v>
      </c>
      <c r="BP101" s="109">
        <f t="shared" si="277"/>
        <v>60</v>
      </c>
      <c r="CB101" s="18"/>
      <c r="CC101" s="12"/>
      <c r="CD101" s="109"/>
      <c r="CE101" s="109"/>
      <c r="CQ101" s="18"/>
      <c r="CR101" s="12"/>
      <c r="CS101" s="109"/>
      <c r="CT101" s="109"/>
      <c r="DF101" s="18"/>
      <c r="DG101" s="12"/>
      <c r="DH101" s="109"/>
      <c r="DI101" s="109"/>
      <c r="DU101" s="18"/>
      <c r="DV101" s="12"/>
      <c r="DW101" s="109"/>
      <c r="DX101" s="109"/>
      <c r="EB101" s="12" t="e">
        <f t="shared" si="278"/>
        <v>#N/A</v>
      </c>
      <c r="EC101" s="12" t="e">
        <f t="shared" si="278"/>
        <v>#N/A</v>
      </c>
      <c r="ED101" s="109" t="e">
        <f t="shared" si="279"/>
        <v>#N/A</v>
      </c>
      <c r="EE101" s="109" t="e">
        <f t="shared" si="279"/>
        <v>#N/A</v>
      </c>
      <c r="EQ101" s="12"/>
      <c r="ER101" s="12"/>
      <c r="ES101" s="109"/>
      <c r="ET101" s="109"/>
      <c r="FF101" s="12"/>
      <c r="FG101" s="12"/>
      <c r="FH101" s="109"/>
      <c r="FI101" s="109"/>
      <c r="FM101" s="12" t="e">
        <f t="shared" si="280"/>
        <v>#N/A</v>
      </c>
      <c r="FN101" s="12" t="e">
        <f t="shared" si="280"/>
        <v>#N/A</v>
      </c>
      <c r="FO101" s="109" t="e">
        <f t="shared" si="281"/>
        <v>#N/A</v>
      </c>
      <c r="FP101" s="109" t="e">
        <f t="shared" si="281"/>
        <v>#N/A</v>
      </c>
      <c r="GB101" s="12"/>
      <c r="GC101" s="12"/>
      <c r="GD101" s="109"/>
      <c r="GE101" s="109"/>
      <c r="GI101" s="12" t="e">
        <f t="shared" si="282"/>
        <v>#N/A</v>
      </c>
      <c r="GJ101" s="12" t="e">
        <f t="shared" si="282"/>
        <v>#N/A</v>
      </c>
      <c r="GK101" s="109" t="e">
        <f t="shared" si="283"/>
        <v>#N/A</v>
      </c>
      <c r="GL101" s="109" t="e">
        <f t="shared" si="283"/>
        <v>#N/A</v>
      </c>
      <c r="GX101" s="12"/>
      <c r="GY101" s="12"/>
      <c r="GZ101" s="109"/>
      <c r="HA101" s="109"/>
      <c r="HM101" s="12"/>
      <c r="HN101" s="12"/>
      <c r="HO101" s="109"/>
      <c r="HP101" s="109"/>
      <c r="HT101" s="12" t="str">
        <f t="shared" si="284"/>
        <v>FY22</v>
      </c>
      <c r="HU101" s="12">
        <f t="shared" si="284"/>
        <v>44742</v>
      </c>
      <c r="HV101" s="109">
        <f t="shared" si="285"/>
        <v>77.836461903314074</v>
      </c>
      <c r="HW101" s="109">
        <f t="shared" si="285"/>
        <v>60</v>
      </c>
      <c r="II101" s="12" t="str">
        <f t="shared" si="270"/>
        <v>FY23</v>
      </c>
      <c r="IJ101" s="12">
        <f t="shared" si="270"/>
        <v>44987</v>
      </c>
      <c r="IK101" s="109">
        <f t="shared" si="241"/>
        <v>60.656023107327449</v>
      </c>
      <c r="IL101" s="109">
        <f t="shared" si="241"/>
        <v>40</v>
      </c>
      <c r="IP101" s="12" t="str">
        <f t="shared" ref="IP101:IQ116" si="286">IF(OR(ISBLANK(IA37),$ID37&gt;=$IQ$66),NA(),IA37)</f>
        <v>FY23</v>
      </c>
      <c r="IQ101" s="12">
        <f t="shared" si="286"/>
        <v>44973</v>
      </c>
      <c r="IR101" s="109">
        <f t="shared" ref="IR101:IS116" si="287">IF(OR(ISBLANK(IC37),$ID37&gt;=$IQ$66),NA(),IC37/1000000)</f>
        <v>27.295176771055036</v>
      </c>
      <c r="IS101" s="109">
        <f t="shared" si="287"/>
        <v>8</v>
      </c>
      <c r="IW101" s="16" t="s">
        <v>169</v>
      </c>
      <c r="IX101" s="12">
        <v>44686</v>
      </c>
      <c r="IY101" s="103">
        <v>58067244.025539674</v>
      </c>
      <c r="IZ101" s="104">
        <v>40000000</v>
      </c>
      <c r="JE101" s="12" t="str">
        <f t="shared" si="271"/>
        <v>Since FY21</v>
      </c>
      <c r="JF101" s="12">
        <f t="shared" si="269"/>
        <v>44252</v>
      </c>
      <c r="JG101" s="109">
        <f t="shared" si="243"/>
        <v>22.972673761021586</v>
      </c>
      <c r="JH101" s="109">
        <f t="shared" si="243"/>
        <v>8</v>
      </c>
      <c r="JI101" s="109"/>
      <c r="JJ101" s="40"/>
      <c r="JN101" s="12" t="str">
        <f t="shared" ref="JN101:JO116" si="288">IF(OR(ISBLANK(IW37),$IZ37&gt;=$JO$66),NA(),IW37)</f>
        <v>Since FY21</v>
      </c>
      <c r="JO101" s="12">
        <f t="shared" si="288"/>
        <v>44238</v>
      </c>
      <c r="JP101" s="109">
        <f t="shared" ref="JP101:JQ116" si="289">IF(OR(ISBLANK(IY37),$IZ37&gt;=$JO$66),NA(),IY37)/1000000</f>
        <v>48.994890605047111</v>
      </c>
      <c r="JQ101" s="109">
        <f t="shared" si="289"/>
        <v>30</v>
      </c>
      <c r="JR101" s="109" t="e">
        <f t="shared" ref="JR101:JS116" si="290">IF(OR(ISBLANK(IY37),$IZ37&lt;$JR$66),NA(),IY37)/1000000</f>
        <v>#N/A</v>
      </c>
      <c r="JS101" s="109" t="e">
        <f t="shared" si="290"/>
        <v>#N/A</v>
      </c>
      <c r="JT101" s="40" t="e">
        <f>NA()</f>
        <v>#N/A</v>
      </c>
      <c r="JU101" s="40" t="e">
        <f>NA()</f>
        <v>#N/A</v>
      </c>
      <c r="NI101" s="12"/>
      <c r="NJ101" s="12"/>
      <c r="NK101" s="109"/>
      <c r="NL101" s="109"/>
      <c r="NX101" s="12"/>
      <c r="NY101" s="12"/>
      <c r="NZ101" s="109"/>
      <c r="OA101" s="109"/>
    </row>
    <row r="102" spans="13:391" x14ac:dyDescent="0.25">
      <c r="M102" s="5" t="str" cm="1">
        <f t="array" ref="M102">LOOKUP(2,1/($G$19:$G$35&lt;=$V102)/($H$19:$H$35&gt;=$V102),$F$19:$F$35)</f>
        <v>1H19</v>
      </c>
      <c r="N102" s="5" t="str" cm="1">
        <f t="array" ref="N102">LOOKUP(2,1/($G$8:$G$16&lt;=$V102)/($H$8:$H$16&gt;=$V102),$F$8:$F$16)</f>
        <v>FY19</v>
      </c>
      <c r="O102" s="5" t="str">
        <f>IFERROR(N102&amp;"-"&amp;COUNTIF($N$19:N102,N102),NA())</f>
        <v>FY19-20</v>
      </c>
      <c r="P102" s="5">
        <f>COUNTIF(V$19:V102,"&gt;="&amp;MAX($V:$V)-183)</f>
        <v>0</v>
      </c>
      <c r="Q102" s="5">
        <f>COUNTIF(V$19:V102,"&gt;="&amp;MAX($V:$V)-365)</f>
        <v>0</v>
      </c>
      <c r="R102" s="5" cm="1">
        <f t="array" ref="R102">LOOKUP(2,1/($G$46:$G$50&lt;=$V102)/($H$46:$H$50&gt;=$V102),$F$46:$F$50)</f>
        <v>0</v>
      </c>
      <c r="S102" s="5" cm="1">
        <f t="array" ref="S102">LOOKUP(2,1/($G$53:$G$56&lt;=$V102)/($H$53:$H$56&gt;=$V102),$F$53:$F$56)</f>
        <v>0</v>
      </c>
      <c r="T102" s="5" t="e">
        <f>IFERROR(IF($R102&gt;0,$R102&amp;"-"&amp;COUNTIF($R$19:$R102,$R102),NA()),NA())</f>
        <v>#N/A</v>
      </c>
      <c r="U102" s="5" t="e">
        <f>IFERROR(IF($S102&gt;0,$S102&amp;"-"&amp;COUNTIF($S$19:$S102,$S102),NA()),NA())</f>
        <v>#N/A</v>
      </c>
      <c r="V102" s="10">
        <v>43419</v>
      </c>
      <c r="W102" s="101">
        <v>13689841.958041953</v>
      </c>
      <c r="X102" s="101">
        <v>16459296.986153843</v>
      </c>
      <c r="Y102" s="102">
        <v>3000000</v>
      </c>
      <c r="AK102" s="109"/>
      <c r="AL102" s="109"/>
      <c r="AP102" s="12"/>
      <c r="AQ102" s="12"/>
      <c r="AR102" s="109"/>
      <c r="AS102" s="109"/>
      <c r="BH102" s="109"/>
      <c r="BI102" s="109"/>
      <c r="BM102" s="12"/>
      <c r="BN102" s="12"/>
      <c r="BO102" s="109"/>
      <c r="BP102" s="109"/>
      <c r="CD102" s="109"/>
      <c r="CE102" s="109"/>
      <c r="CS102" s="109"/>
      <c r="CT102" s="109"/>
      <c r="DH102" s="109"/>
      <c r="DI102" s="109"/>
      <c r="DW102" s="109"/>
      <c r="DX102" s="109"/>
      <c r="EB102" s="12"/>
      <c r="EC102" s="12"/>
      <c r="ED102" s="109"/>
      <c r="EE102" s="109"/>
      <c r="EQ102" s="12"/>
      <c r="ER102" s="12"/>
      <c r="ES102" s="109"/>
      <c r="ET102" s="109"/>
      <c r="FH102" s="109"/>
      <c r="FI102" s="109"/>
      <c r="FM102" s="12"/>
      <c r="FN102" s="12"/>
      <c r="FO102" s="109"/>
      <c r="FP102" s="109"/>
      <c r="GB102" s="12"/>
      <c r="GC102" s="12"/>
      <c r="GD102" s="109"/>
      <c r="GE102" s="109"/>
      <c r="GI102" s="12"/>
      <c r="GJ102" s="12"/>
      <c r="GK102" s="109"/>
      <c r="GL102" s="109"/>
      <c r="GX102" s="12"/>
      <c r="GY102" s="12"/>
      <c r="GZ102" s="109"/>
      <c r="HA102" s="109"/>
      <c r="HM102" s="12"/>
      <c r="HN102" s="12"/>
      <c r="HO102" s="109"/>
      <c r="HP102" s="109"/>
      <c r="HT102" s="12"/>
      <c r="HU102" s="12"/>
      <c r="HV102" s="109"/>
      <c r="HW102" s="109"/>
      <c r="II102" s="12" t="str">
        <f t="shared" si="270"/>
        <v>FY23</v>
      </c>
      <c r="IJ102" s="12">
        <f t="shared" si="270"/>
        <v>44994</v>
      </c>
      <c r="IK102" s="109">
        <f t="shared" si="241"/>
        <v>20.922155062328976</v>
      </c>
      <c r="IL102" s="109">
        <f t="shared" si="241"/>
        <v>4</v>
      </c>
      <c r="IP102" s="12" t="str">
        <f t="shared" si="286"/>
        <v>FY23</v>
      </c>
      <c r="IQ102" s="12">
        <f t="shared" si="286"/>
        <v>44980</v>
      </c>
      <c r="IR102" s="109">
        <f t="shared" si="287"/>
        <v>43.788940346609913</v>
      </c>
      <c r="IS102" s="109">
        <f t="shared" si="287"/>
        <v>20</v>
      </c>
      <c r="IW102" s="16" t="s">
        <v>169</v>
      </c>
      <c r="IX102" s="12">
        <v>44693</v>
      </c>
      <c r="IY102" s="103">
        <v>83810205.168744296</v>
      </c>
      <c r="IZ102" s="104">
        <v>60000000</v>
      </c>
      <c r="JE102" s="12" t="str">
        <f t="shared" si="271"/>
        <v>Since FY21</v>
      </c>
      <c r="JF102" s="12">
        <f t="shared" si="269"/>
        <v>44259</v>
      </c>
      <c r="JG102" s="109">
        <f t="shared" si="243"/>
        <v>37.058402918820313</v>
      </c>
      <c r="JH102" s="109">
        <f t="shared" si="243"/>
        <v>20</v>
      </c>
      <c r="JI102" s="109"/>
      <c r="JJ102" s="40"/>
      <c r="JN102" s="12" t="str">
        <f t="shared" si="288"/>
        <v>Since FY21</v>
      </c>
      <c r="JO102" s="12">
        <f t="shared" si="288"/>
        <v>44245</v>
      </c>
      <c r="JP102" s="109">
        <f t="shared" si="289"/>
        <v>78.306876740650651</v>
      </c>
      <c r="JQ102" s="109">
        <f t="shared" si="289"/>
        <v>50</v>
      </c>
      <c r="JR102" s="109" t="e">
        <f t="shared" si="290"/>
        <v>#N/A</v>
      </c>
      <c r="JS102" s="109" t="e">
        <f t="shared" si="290"/>
        <v>#N/A</v>
      </c>
      <c r="JT102" s="40" t="e">
        <f>NA()</f>
        <v>#N/A</v>
      </c>
      <c r="JU102" s="40" t="e">
        <f>NA()</f>
        <v>#N/A</v>
      </c>
      <c r="NI102" s="12"/>
      <c r="NJ102" s="12"/>
      <c r="NK102" s="109"/>
      <c r="NL102" s="109"/>
      <c r="NX102" s="12"/>
      <c r="NY102" s="12"/>
      <c r="NZ102" s="109"/>
      <c r="OA102" s="109"/>
    </row>
    <row r="103" spans="13:391" x14ac:dyDescent="0.25">
      <c r="M103" s="5" t="str" cm="1">
        <f t="array" ref="M103">LOOKUP(2,1/($G$19:$G$35&lt;=$V103)/($H$19:$H$35&gt;=$V103),$F$19:$F$35)</f>
        <v>1H19</v>
      </c>
      <c r="N103" s="5" t="str" cm="1">
        <f t="array" ref="N103">LOOKUP(2,1/($G$8:$G$16&lt;=$V103)/($H$8:$H$16&gt;=$V103),$F$8:$F$16)</f>
        <v>FY19</v>
      </c>
      <c r="O103" s="5" t="str">
        <f>IFERROR(N103&amp;"-"&amp;COUNTIF($N$19:N103,N103),NA())</f>
        <v>FY19-21</v>
      </c>
      <c r="P103" s="5">
        <f>COUNTIF(V$19:V103,"&gt;="&amp;MAX($V:$V)-183)</f>
        <v>0</v>
      </c>
      <c r="Q103" s="5">
        <f>COUNTIF(V$19:V103,"&gt;="&amp;MAX($V:$V)-365)</f>
        <v>0</v>
      </c>
      <c r="R103" s="5" cm="1">
        <f t="array" ref="R103">LOOKUP(2,1/($G$46:$G$50&lt;=$V103)/($H$46:$H$50&gt;=$V103),$F$46:$F$50)</f>
        <v>0</v>
      </c>
      <c r="S103" s="5" cm="1">
        <f t="array" ref="S103">LOOKUP(2,1/($G$53:$G$56&lt;=$V103)/($H$53:$H$56&gt;=$V103),$F$53:$F$56)</f>
        <v>0</v>
      </c>
      <c r="T103" s="5" t="e">
        <f>IFERROR(IF($R103&gt;0,$R103&amp;"-"&amp;COUNTIF($R$19:$R103,$R103),NA()),NA())</f>
        <v>#N/A</v>
      </c>
      <c r="U103" s="5" t="e">
        <f>IFERROR(IF($S103&gt;0,$S103&amp;"-"&amp;COUNTIF($S$19:$S103,$S103),NA()),NA())</f>
        <v>#N/A</v>
      </c>
      <c r="V103" s="10">
        <v>43426</v>
      </c>
      <c r="W103" s="101">
        <v>13612641.449459627</v>
      </c>
      <c r="X103" s="101">
        <v>16366478.814685311</v>
      </c>
      <c r="Y103" s="102">
        <v>3000000</v>
      </c>
      <c r="AK103" s="109"/>
      <c r="AL103" s="109"/>
      <c r="AP103" s="12"/>
      <c r="AQ103" s="12"/>
      <c r="AR103" s="109"/>
      <c r="AS103" s="109"/>
      <c r="BH103" s="109"/>
      <c r="BI103" s="109"/>
      <c r="BM103" s="12"/>
      <c r="BN103" s="12"/>
      <c r="BO103" s="109"/>
      <c r="BP103" s="109"/>
      <c r="CD103" s="109"/>
      <c r="CE103" s="109"/>
      <c r="CS103" s="109"/>
      <c r="CT103" s="109"/>
      <c r="DH103" s="109"/>
      <c r="DI103" s="109"/>
      <c r="DW103" s="109"/>
      <c r="DX103" s="109"/>
      <c r="EB103" s="12"/>
      <c r="EC103" s="12"/>
      <c r="ED103" s="109"/>
      <c r="EE103" s="109"/>
      <c r="EQ103" s="12"/>
      <c r="ER103" s="12"/>
      <c r="ES103" s="109"/>
      <c r="ET103" s="109"/>
      <c r="FH103" s="109"/>
      <c r="FI103" s="109"/>
      <c r="FM103" s="12"/>
      <c r="FN103" s="12"/>
      <c r="FO103" s="109"/>
      <c r="FP103" s="109"/>
      <c r="GB103" s="12"/>
      <c r="GC103" s="12"/>
      <c r="GD103" s="109"/>
      <c r="GE103" s="109"/>
      <c r="GI103" s="12"/>
      <c r="GJ103" s="12"/>
      <c r="GK103" s="109"/>
      <c r="GL103" s="109"/>
      <c r="GX103" s="12"/>
      <c r="GY103" s="12"/>
      <c r="GZ103" s="109"/>
      <c r="HA103" s="109"/>
      <c r="HM103" s="12"/>
      <c r="HN103" s="12"/>
      <c r="HO103" s="109"/>
      <c r="HP103" s="109"/>
      <c r="HT103" s="12"/>
      <c r="HU103" s="12"/>
      <c r="HV103" s="109"/>
      <c r="HW103" s="109"/>
      <c r="II103" s="12" t="str">
        <f t="shared" si="270"/>
        <v>FY23</v>
      </c>
      <c r="IJ103" s="12">
        <f t="shared" si="270"/>
        <v>45001</v>
      </c>
      <c r="IK103" s="109">
        <f t="shared" si="241"/>
        <v>22.050697598054121</v>
      </c>
      <c r="IL103" s="109">
        <f t="shared" si="241"/>
        <v>4</v>
      </c>
      <c r="IP103" s="12" t="str">
        <f t="shared" si="286"/>
        <v>FY23</v>
      </c>
      <c r="IQ103" s="12">
        <f t="shared" si="286"/>
        <v>44987</v>
      </c>
      <c r="IR103" s="109">
        <f t="shared" si="287"/>
        <v>60.656023107327449</v>
      </c>
      <c r="IS103" s="109">
        <f t="shared" si="287"/>
        <v>40</v>
      </c>
      <c r="IW103" s="16" t="s">
        <v>169</v>
      </c>
      <c r="IX103" s="12">
        <v>44700</v>
      </c>
      <c r="IY103" s="103">
        <v>116725204.01337792</v>
      </c>
      <c r="IZ103" s="104">
        <v>80000000</v>
      </c>
      <c r="JE103" s="12" t="str">
        <f t="shared" si="271"/>
        <v>Since FY21</v>
      </c>
      <c r="JF103" s="12">
        <f t="shared" si="269"/>
        <v>44266</v>
      </c>
      <c r="JG103" s="109">
        <f t="shared" si="243"/>
        <v>45.393461356035267</v>
      </c>
      <c r="JH103" s="109">
        <f t="shared" si="243"/>
        <v>30</v>
      </c>
      <c r="JI103" s="109"/>
      <c r="JJ103" s="40"/>
      <c r="JN103" s="12" t="str">
        <f t="shared" si="288"/>
        <v>Since FY21</v>
      </c>
      <c r="JO103" s="12">
        <f t="shared" si="288"/>
        <v>44252</v>
      </c>
      <c r="JP103" s="109">
        <f t="shared" si="289"/>
        <v>22.972673761021586</v>
      </c>
      <c r="JQ103" s="109">
        <f t="shared" si="289"/>
        <v>8</v>
      </c>
      <c r="JR103" s="109" t="e">
        <f t="shared" si="290"/>
        <v>#N/A</v>
      </c>
      <c r="JS103" s="109" t="e">
        <f t="shared" si="290"/>
        <v>#N/A</v>
      </c>
      <c r="JT103" s="40" t="e">
        <f>NA()</f>
        <v>#N/A</v>
      </c>
      <c r="JU103" s="40" t="e">
        <f>NA()</f>
        <v>#N/A</v>
      </c>
      <c r="NI103" s="12"/>
      <c r="NJ103" s="12"/>
      <c r="NK103" s="109"/>
      <c r="NL103" s="109"/>
      <c r="NX103" s="12"/>
      <c r="NY103" s="12"/>
      <c r="NZ103" s="109"/>
      <c r="OA103" s="109"/>
    </row>
    <row r="104" spans="13:391" x14ac:dyDescent="0.25">
      <c r="M104" s="5" t="str" cm="1">
        <f t="array" ref="M104">LOOKUP(2,1/($G$19:$G$35&lt;=$V104)/($H$19:$H$35&gt;=$V104),$F$19:$F$35)</f>
        <v>1H19</v>
      </c>
      <c r="N104" s="5" t="str" cm="1">
        <f t="array" ref="N104">LOOKUP(2,1/($G$8:$G$16&lt;=$V104)/($H$8:$H$16&gt;=$V104),$F$8:$F$16)</f>
        <v>FY19</v>
      </c>
      <c r="O104" s="5" t="str">
        <f>IFERROR(N104&amp;"-"&amp;COUNTIF($N$19:N104,N104),NA())</f>
        <v>FY19-22</v>
      </c>
      <c r="P104" s="5">
        <f>COUNTIF(V$19:V104,"&gt;="&amp;MAX($V:$V)-183)</f>
        <v>0</v>
      </c>
      <c r="Q104" s="5">
        <f>COUNTIF(V$19:V104,"&gt;="&amp;MAX($V:$V)-365)</f>
        <v>0</v>
      </c>
      <c r="R104" s="5" cm="1">
        <f t="array" ref="R104">LOOKUP(2,1/($G$46:$G$50&lt;=$V104)/($H$46:$H$50&gt;=$V104),$F$46:$F$50)</f>
        <v>0</v>
      </c>
      <c r="S104" s="5" cm="1">
        <f t="array" ref="S104">LOOKUP(2,1/($G$53:$G$56&lt;=$V104)/($H$53:$H$56&gt;=$V104),$F$53:$F$56)</f>
        <v>0</v>
      </c>
      <c r="T104" s="5" t="e">
        <f>IFERROR(IF($R104&gt;0,$R104&amp;"-"&amp;COUNTIF($R$19:$R104,$R104),NA()),NA())</f>
        <v>#N/A</v>
      </c>
      <c r="U104" s="5" t="e">
        <f>IFERROR(IF($S104&gt;0,$S104&amp;"-"&amp;COUNTIF($S$19:$S104,$S104),NA()),NA())</f>
        <v>#N/A</v>
      </c>
      <c r="V104" s="10">
        <v>43433</v>
      </c>
      <c r="W104" s="101">
        <v>19569770.120788299</v>
      </c>
      <c r="X104" s="101">
        <v>23528734.616223775</v>
      </c>
      <c r="Y104" s="102">
        <v>8000000</v>
      </c>
      <c r="AI104" s="12"/>
      <c r="AJ104" s="12"/>
      <c r="AK104" s="109"/>
      <c r="AL104" s="109"/>
      <c r="AP104" s="12"/>
      <c r="AQ104" s="12"/>
      <c r="AR104" s="109"/>
      <c r="AS104" s="109"/>
      <c r="BF104" s="12"/>
      <c r="BG104" s="12"/>
      <c r="BH104" s="109"/>
      <c r="BI104" s="109"/>
      <c r="BM104" s="12"/>
      <c r="BN104" s="12"/>
      <c r="BO104" s="109"/>
      <c r="BP104" s="109"/>
      <c r="CB104" s="12"/>
      <c r="CC104" s="12"/>
      <c r="CD104" s="109"/>
      <c r="CE104" s="109"/>
      <c r="CQ104" s="12"/>
      <c r="CR104" s="12"/>
      <c r="CS104" s="109"/>
      <c r="CT104" s="109"/>
      <c r="DF104" s="12"/>
      <c r="DG104" s="12"/>
      <c r="DH104" s="109"/>
      <c r="DI104" s="109"/>
      <c r="DU104" s="12"/>
      <c r="DV104" s="12"/>
      <c r="DW104" s="109"/>
      <c r="DX104" s="109"/>
      <c r="EB104" s="12"/>
      <c r="EC104" s="12"/>
      <c r="ED104" s="109"/>
      <c r="EE104" s="109"/>
      <c r="EQ104" s="12"/>
      <c r="ER104" s="12"/>
      <c r="ES104" s="109"/>
      <c r="ET104" s="109"/>
      <c r="FF104" s="12"/>
      <c r="FG104" s="12"/>
      <c r="FH104" s="109"/>
      <c r="FI104" s="109"/>
      <c r="FM104" s="12"/>
      <c r="FN104" s="12"/>
      <c r="FO104" s="109"/>
      <c r="FP104" s="109"/>
      <c r="GB104" s="12"/>
      <c r="GC104" s="12"/>
      <c r="GD104" s="109"/>
      <c r="GE104" s="109"/>
      <c r="GI104" s="12"/>
      <c r="GJ104" s="12"/>
      <c r="GK104" s="109"/>
      <c r="GL104" s="109"/>
      <c r="GX104" s="12"/>
      <c r="GY104" s="12"/>
      <c r="GZ104" s="109"/>
      <c r="HA104" s="109"/>
      <c r="HM104" s="12"/>
      <c r="HN104" s="12"/>
      <c r="HO104" s="109"/>
      <c r="HP104" s="109"/>
      <c r="HT104" s="12"/>
      <c r="HU104" s="12"/>
      <c r="HV104" s="109"/>
      <c r="HW104" s="109"/>
      <c r="II104" s="12" t="str">
        <f t="shared" si="270"/>
        <v>FY23</v>
      </c>
      <c r="IJ104" s="12">
        <f t="shared" si="270"/>
        <v>45008</v>
      </c>
      <c r="IK104" s="109">
        <f t="shared" si="241"/>
        <v>25.902576588628762</v>
      </c>
      <c r="IL104" s="109">
        <f t="shared" si="241"/>
        <v>8</v>
      </c>
      <c r="IP104" s="12" t="str">
        <f t="shared" si="286"/>
        <v>FY23</v>
      </c>
      <c r="IQ104" s="12">
        <f t="shared" si="286"/>
        <v>44994</v>
      </c>
      <c r="IR104" s="109">
        <f t="shared" si="287"/>
        <v>20.922155062328976</v>
      </c>
      <c r="IS104" s="109">
        <f t="shared" si="287"/>
        <v>4</v>
      </c>
      <c r="IW104" s="16" t="s">
        <v>169</v>
      </c>
      <c r="IX104" s="12">
        <v>44707</v>
      </c>
      <c r="IY104" s="103">
        <v>21016983.155974455</v>
      </c>
      <c r="IZ104" s="104">
        <v>4000000</v>
      </c>
      <c r="JE104" s="12" t="str">
        <f t="shared" si="271"/>
        <v>Since FY21</v>
      </c>
      <c r="JF104" s="12">
        <f t="shared" si="269"/>
        <v>44273</v>
      </c>
      <c r="JG104" s="109">
        <f t="shared" si="243"/>
        <v>69.99746646397081</v>
      </c>
      <c r="JH104" s="109">
        <f t="shared" si="243"/>
        <v>50</v>
      </c>
      <c r="JI104" s="109"/>
      <c r="JJ104" s="40"/>
      <c r="JN104" s="12" t="str">
        <f t="shared" si="288"/>
        <v>Since FY21</v>
      </c>
      <c r="JO104" s="12">
        <f t="shared" si="288"/>
        <v>44259</v>
      </c>
      <c r="JP104" s="109">
        <f t="shared" si="289"/>
        <v>37.058402918820313</v>
      </c>
      <c r="JQ104" s="109">
        <f t="shared" si="289"/>
        <v>20</v>
      </c>
      <c r="JR104" s="109" t="e">
        <f t="shared" si="290"/>
        <v>#N/A</v>
      </c>
      <c r="JS104" s="109" t="e">
        <f t="shared" si="290"/>
        <v>#N/A</v>
      </c>
      <c r="JT104" s="40" t="e">
        <f>NA()</f>
        <v>#N/A</v>
      </c>
      <c r="JU104" s="40" t="e">
        <f>NA()</f>
        <v>#N/A</v>
      </c>
      <c r="NI104" s="12"/>
      <c r="NJ104" s="12"/>
      <c r="NK104" s="109"/>
      <c r="NL104" s="109"/>
      <c r="NX104" s="12"/>
      <c r="NY104" s="12"/>
      <c r="NZ104" s="109"/>
      <c r="OA104" s="109"/>
    </row>
    <row r="105" spans="13:391" x14ac:dyDescent="0.25">
      <c r="M105" s="5" t="str" cm="1">
        <f t="array" ref="M105">LOOKUP(2,1/($G$19:$G$35&lt;=$V105)/($H$19:$H$35&gt;=$V105),$F$19:$F$35)</f>
        <v>1H19</v>
      </c>
      <c r="N105" s="5" t="str" cm="1">
        <f t="array" ref="N105">LOOKUP(2,1/($G$8:$G$16&lt;=$V105)/($H$8:$H$16&gt;=$V105),$F$8:$F$16)</f>
        <v>FY19</v>
      </c>
      <c r="O105" s="5" t="str">
        <f>IFERROR(N105&amp;"-"&amp;COUNTIF($N$19:N105,N105),NA())</f>
        <v>FY19-23</v>
      </c>
      <c r="P105" s="5">
        <f>COUNTIF(V$19:V105,"&gt;="&amp;MAX($V:$V)-183)</f>
        <v>0</v>
      </c>
      <c r="Q105" s="5">
        <f>COUNTIF(V$19:V105,"&gt;="&amp;MAX($V:$V)-365)</f>
        <v>0</v>
      </c>
      <c r="R105" s="5" cm="1">
        <f t="array" ref="R105">LOOKUP(2,1/($G$46:$G$50&lt;=$V105)/($H$46:$H$50&gt;=$V105),$F$46:$F$50)</f>
        <v>0</v>
      </c>
      <c r="S105" s="5" cm="1">
        <f t="array" ref="S105">LOOKUP(2,1/($G$53:$G$56&lt;=$V105)/($H$53:$H$56&gt;=$V105),$F$53:$F$56)</f>
        <v>0</v>
      </c>
      <c r="T105" s="5" t="e">
        <f>IFERROR(IF($R105&gt;0,$R105&amp;"-"&amp;COUNTIF($R$19:$R105,$R105),NA()),NA())</f>
        <v>#N/A</v>
      </c>
      <c r="U105" s="5" t="e">
        <f>IFERROR(IF($S105&gt;0,$S105&amp;"-"&amp;COUNTIF($S$19:$S105,$S105),NA()),NA())</f>
        <v>#N/A</v>
      </c>
      <c r="V105" s="10">
        <v>43440</v>
      </c>
      <c r="W105" s="101">
        <v>24628368.722186904</v>
      </c>
      <c r="X105" s="101">
        <v>29610687.714685317</v>
      </c>
      <c r="Y105" s="102">
        <v>12000000</v>
      </c>
      <c r="AI105" s="12"/>
      <c r="AJ105" s="12"/>
      <c r="AK105" s="109"/>
      <c r="AL105" s="109"/>
      <c r="AP105" s="12"/>
      <c r="AQ105" s="12"/>
      <c r="AR105" s="109"/>
      <c r="AS105" s="109"/>
      <c r="BF105" s="12"/>
      <c r="BG105" s="12"/>
      <c r="BH105" s="109"/>
      <c r="BI105" s="109"/>
      <c r="BM105" s="12"/>
      <c r="BN105" s="12"/>
      <c r="BO105" s="109"/>
      <c r="BP105" s="109"/>
      <c r="CB105" s="12"/>
      <c r="CC105" s="12"/>
      <c r="CD105" s="109"/>
      <c r="CE105" s="109"/>
      <c r="CQ105" s="12"/>
      <c r="CR105" s="12"/>
      <c r="CS105" s="109"/>
      <c r="CT105" s="109"/>
      <c r="DF105" s="12"/>
      <c r="DG105" s="12"/>
      <c r="DH105" s="109"/>
      <c r="DI105" s="109"/>
      <c r="DU105" s="12"/>
      <c r="DV105" s="12"/>
      <c r="DW105" s="109"/>
      <c r="DX105" s="109"/>
      <c r="EB105" s="12"/>
      <c r="EC105" s="12"/>
      <c r="ED105" s="109"/>
      <c r="EE105" s="109"/>
      <c r="EQ105" s="12"/>
      <c r="ER105" s="12"/>
      <c r="ES105" s="109"/>
      <c r="ET105" s="109"/>
      <c r="FF105" s="12"/>
      <c r="FG105" s="12"/>
      <c r="FH105" s="109"/>
      <c r="FI105" s="109"/>
      <c r="FM105" s="12"/>
      <c r="FN105" s="12"/>
      <c r="FO105" s="109"/>
      <c r="FP105" s="109"/>
      <c r="GB105" s="12"/>
      <c r="GC105" s="12"/>
      <c r="GD105" s="109"/>
      <c r="GE105" s="109"/>
      <c r="GI105" s="12"/>
      <c r="GJ105" s="12"/>
      <c r="GK105" s="109"/>
      <c r="GL105" s="109"/>
      <c r="GX105" s="12"/>
      <c r="GY105" s="12"/>
      <c r="GZ105" s="109"/>
      <c r="HA105" s="109"/>
      <c r="HM105" s="12"/>
      <c r="HN105" s="12"/>
      <c r="HO105" s="109"/>
      <c r="HP105" s="109"/>
      <c r="HT105" s="12"/>
      <c r="HU105" s="12"/>
      <c r="HV105" s="109"/>
      <c r="HW105" s="109"/>
      <c r="II105" s="12" t="str">
        <f t="shared" si="270"/>
        <v>FY23</v>
      </c>
      <c r="IJ105" s="12">
        <f t="shared" si="270"/>
        <v>45015</v>
      </c>
      <c r="IK105" s="109">
        <f t="shared" si="241"/>
        <v>25.590152994831257</v>
      </c>
      <c r="IL105" s="109">
        <f t="shared" si="241"/>
        <v>8</v>
      </c>
      <c r="IP105" s="12" t="str">
        <f t="shared" si="286"/>
        <v>FY23</v>
      </c>
      <c r="IQ105" s="12">
        <f t="shared" si="286"/>
        <v>45001</v>
      </c>
      <c r="IR105" s="109">
        <f t="shared" si="287"/>
        <v>22.050697598054121</v>
      </c>
      <c r="IS105" s="109">
        <f t="shared" si="287"/>
        <v>4</v>
      </c>
      <c r="IW105" s="16" t="s">
        <v>169</v>
      </c>
      <c r="IX105" s="12">
        <v>44714</v>
      </c>
      <c r="IY105" s="103">
        <v>21125759.318941928</v>
      </c>
      <c r="IZ105" s="104">
        <v>4000000</v>
      </c>
      <c r="JE105" s="12" t="str">
        <f t="shared" si="271"/>
        <v>Since FY21</v>
      </c>
      <c r="JF105" s="12">
        <f t="shared" si="269"/>
        <v>44280</v>
      </c>
      <c r="JG105" s="109">
        <f t="shared" si="243"/>
        <v>23.50473821830343</v>
      </c>
      <c r="JH105" s="109">
        <f t="shared" si="243"/>
        <v>8</v>
      </c>
      <c r="JI105" s="109"/>
      <c r="JJ105" s="40"/>
      <c r="JN105" s="12" t="str">
        <f t="shared" si="288"/>
        <v>Since FY21</v>
      </c>
      <c r="JO105" s="12">
        <f t="shared" si="288"/>
        <v>44266</v>
      </c>
      <c r="JP105" s="109">
        <f t="shared" si="289"/>
        <v>45.393461356035267</v>
      </c>
      <c r="JQ105" s="109">
        <f t="shared" si="289"/>
        <v>30</v>
      </c>
      <c r="JR105" s="109" t="e">
        <f t="shared" si="290"/>
        <v>#N/A</v>
      </c>
      <c r="JS105" s="109" t="e">
        <f t="shared" si="290"/>
        <v>#N/A</v>
      </c>
      <c r="JT105" s="40" t="e">
        <f>NA()</f>
        <v>#N/A</v>
      </c>
      <c r="JU105" s="40" t="e">
        <f>NA()</f>
        <v>#N/A</v>
      </c>
      <c r="NI105" s="12"/>
      <c r="NJ105" s="12"/>
      <c r="NK105" s="109"/>
      <c r="NL105" s="109"/>
      <c r="NX105" s="12"/>
      <c r="NY105" s="12"/>
      <c r="NZ105" s="109"/>
      <c r="OA105" s="109"/>
    </row>
    <row r="106" spans="13:391" x14ac:dyDescent="0.25">
      <c r="M106" s="5" t="str" cm="1">
        <f t="array" ref="M106">LOOKUP(2,1/($G$19:$G$35&lt;=$V106)/($H$19:$H$35&gt;=$V106),$F$19:$F$35)</f>
        <v>1H19</v>
      </c>
      <c r="N106" s="5" t="str" cm="1">
        <f t="array" ref="N106">LOOKUP(2,1/($G$8:$G$16&lt;=$V106)/($H$8:$H$16&gt;=$V106),$F$8:$F$16)</f>
        <v>FY19</v>
      </c>
      <c r="O106" s="5" t="str">
        <f>IFERROR(N106&amp;"-"&amp;COUNTIF($N$19:N106,N106),NA())</f>
        <v>FY19-24</v>
      </c>
      <c r="P106" s="5">
        <f>COUNTIF(V$19:V106,"&gt;="&amp;MAX($V:$V)-183)</f>
        <v>0</v>
      </c>
      <c r="Q106" s="5">
        <f>COUNTIF(V$19:V106,"&gt;="&amp;MAX($V:$V)-365)</f>
        <v>0</v>
      </c>
      <c r="R106" s="5" cm="1">
        <f t="array" ref="R106">LOOKUP(2,1/($G$46:$G$50&lt;=$V106)/($H$46:$H$50&gt;=$V106),$F$46:$F$50)</f>
        <v>0</v>
      </c>
      <c r="S106" s="5" cm="1">
        <f t="array" ref="S106">LOOKUP(2,1/($G$53:$G$56&lt;=$V106)/($H$53:$H$56&gt;=$V106),$F$53:$F$56)</f>
        <v>0</v>
      </c>
      <c r="T106" s="5" t="e">
        <f>IFERROR(IF($R106&gt;0,$R106&amp;"-"&amp;COUNTIF($R$19:$R106,$R106),NA()),NA())</f>
        <v>#N/A</v>
      </c>
      <c r="U106" s="5" t="e">
        <f>IFERROR(IF($S106&gt;0,$S106&amp;"-"&amp;COUNTIF($S$19:$S106,$S106),NA()),NA())</f>
        <v>#N/A</v>
      </c>
      <c r="V106" s="10">
        <v>43447</v>
      </c>
      <c r="W106" s="101">
        <v>30784708.455181174</v>
      </c>
      <c r="X106" s="101">
        <v>37012454.975664333</v>
      </c>
      <c r="Y106" s="102">
        <v>20000000</v>
      </c>
      <c r="AI106" s="12"/>
      <c r="AJ106" s="12"/>
      <c r="AK106" s="109"/>
      <c r="AL106" s="109"/>
      <c r="AP106" s="12"/>
      <c r="AQ106" s="12"/>
      <c r="AR106" s="109"/>
      <c r="AS106" s="109"/>
      <c r="BF106" s="12"/>
      <c r="BG106" s="12"/>
      <c r="BH106" s="109"/>
      <c r="BI106" s="109"/>
      <c r="BM106" s="12"/>
      <c r="BN106" s="12"/>
      <c r="BO106" s="109"/>
      <c r="BP106" s="109"/>
      <c r="CB106" s="12"/>
      <c r="CC106" s="12"/>
      <c r="CD106" s="109"/>
      <c r="CE106" s="109"/>
      <c r="CQ106" s="12"/>
      <c r="CR106" s="12"/>
      <c r="CS106" s="109"/>
      <c r="CT106" s="109"/>
      <c r="DF106" s="12"/>
      <c r="DG106" s="12"/>
      <c r="DH106" s="109"/>
      <c r="DI106" s="109"/>
      <c r="DU106" s="12"/>
      <c r="DV106" s="12"/>
      <c r="DW106" s="109"/>
      <c r="DX106" s="109"/>
      <c r="EB106" s="12"/>
      <c r="EC106" s="12"/>
      <c r="ED106" s="109"/>
      <c r="EE106" s="109"/>
      <c r="EQ106" s="12"/>
      <c r="ER106" s="12"/>
      <c r="ES106" s="109"/>
      <c r="ET106" s="109"/>
      <c r="FF106" s="12"/>
      <c r="FG106" s="12"/>
      <c r="FH106" s="109"/>
      <c r="FI106" s="109"/>
      <c r="FM106" s="12"/>
      <c r="FN106" s="12"/>
      <c r="FO106" s="109"/>
      <c r="FP106" s="109"/>
      <c r="GB106" s="12"/>
      <c r="GC106" s="12"/>
      <c r="GD106" s="109"/>
      <c r="GE106" s="109"/>
      <c r="GI106" s="12"/>
      <c r="GJ106" s="12"/>
      <c r="GK106" s="109"/>
      <c r="GL106" s="109"/>
      <c r="GX106" s="12"/>
      <c r="GY106" s="12"/>
      <c r="GZ106" s="109"/>
      <c r="HA106" s="109"/>
      <c r="HM106" s="12"/>
      <c r="HN106" s="12"/>
      <c r="HO106" s="109"/>
      <c r="HP106" s="109"/>
      <c r="HT106" s="12"/>
      <c r="HU106" s="12"/>
      <c r="HV106" s="109"/>
      <c r="HW106" s="109"/>
      <c r="II106" s="12" t="str">
        <f t="shared" si="270"/>
        <v>FY23</v>
      </c>
      <c r="IJ106" s="12">
        <f t="shared" si="270"/>
        <v>45022</v>
      </c>
      <c r="IK106" s="109">
        <f t="shared" si="241"/>
        <v>41.047026208574025</v>
      </c>
      <c r="IL106" s="109">
        <f t="shared" si="241"/>
        <v>20</v>
      </c>
      <c r="IP106" s="12" t="str">
        <f t="shared" si="286"/>
        <v>FY23</v>
      </c>
      <c r="IQ106" s="12">
        <f t="shared" si="286"/>
        <v>45008</v>
      </c>
      <c r="IR106" s="109">
        <f t="shared" si="287"/>
        <v>25.902576588628762</v>
      </c>
      <c r="IS106" s="109">
        <f t="shared" si="287"/>
        <v>8</v>
      </c>
      <c r="IW106" s="16" t="s">
        <v>169</v>
      </c>
      <c r="IX106" s="12">
        <v>44721</v>
      </c>
      <c r="IY106" s="103">
        <v>27291882.760717545</v>
      </c>
      <c r="IZ106" s="104">
        <v>8000000</v>
      </c>
      <c r="JE106" s="12" t="str">
        <f t="shared" si="271"/>
        <v>Since FY21</v>
      </c>
      <c r="JF106" s="12">
        <f t="shared" si="269"/>
        <v>44287</v>
      </c>
      <c r="JG106" s="109">
        <f t="shared" si="243"/>
        <v>37.212500334448158</v>
      </c>
      <c r="JH106" s="109">
        <f t="shared" si="243"/>
        <v>20</v>
      </c>
      <c r="JI106" s="109"/>
      <c r="JJ106" s="40"/>
      <c r="JN106" s="12" t="str">
        <f t="shared" si="288"/>
        <v>Since FY21</v>
      </c>
      <c r="JO106" s="12">
        <f t="shared" si="288"/>
        <v>44273</v>
      </c>
      <c r="JP106" s="109">
        <f t="shared" si="289"/>
        <v>69.99746646397081</v>
      </c>
      <c r="JQ106" s="109">
        <f t="shared" si="289"/>
        <v>50</v>
      </c>
      <c r="JR106" s="109" t="e">
        <f t="shared" si="290"/>
        <v>#N/A</v>
      </c>
      <c r="JS106" s="109" t="e">
        <f t="shared" si="290"/>
        <v>#N/A</v>
      </c>
      <c r="JT106" s="40" t="e">
        <f>NA()</f>
        <v>#N/A</v>
      </c>
      <c r="JU106" s="40" t="e">
        <f>NA()</f>
        <v>#N/A</v>
      </c>
      <c r="NI106" s="12"/>
      <c r="NJ106" s="12"/>
      <c r="NK106" s="109"/>
      <c r="NL106" s="109"/>
      <c r="NX106" s="12"/>
      <c r="NY106" s="12"/>
      <c r="NZ106" s="109"/>
      <c r="OA106" s="109"/>
    </row>
    <row r="107" spans="13:391" x14ac:dyDescent="0.25">
      <c r="M107" s="5" t="str" cm="1">
        <f t="array" ref="M107">LOOKUP(2,1/($G$19:$G$35&lt;=$V107)/($H$19:$H$35&gt;=$V107),$F$19:$F$35)</f>
        <v>1H19</v>
      </c>
      <c r="N107" s="5" t="str" cm="1">
        <f t="array" ref="N107">LOOKUP(2,1/($G$8:$G$16&lt;=$V107)/($H$8:$H$16&gt;=$V107),$F$8:$F$16)</f>
        <v>FY19</v>
      </c>
      <c r="O107" s="5" t="str">
        <f>IFERROR(N107&amp;"-"&amp;COUNTIF($N$19:N107,N107),NA())</f>
        <v>FY19-25</v>
      </c>
      <c r="P107" s="5">
        <f>COUNTIF(V$19:V107,"&gt;="&amp;MAX($V:$V)-183)</f>
        <v>0</v>
      </c>
      <c r="Q107" s="5">
        <f>COUNTIF(V$19:V107,"&gt;="&amp;MAX($V:$V)-365)</f>
        <v>0</v>
      </c>
      <c r="R107" s="5" cm="1">
        <f t="array" ref="R107">LOOKUP(2,1/($G$46:$G$50&lt;=$V107)/($H$46:$H$50&gt;=$V107),$F$46:$F$50)</f>
        <v>0</v>
      </c>
      <c r="S107" s="5" cm="1">
        <f t="array" ref="S107">LOOKUP(2,1/($G$53:$G$56&lt;=$V107)/($H$53:$H$56&gt;=$V107),$F$53:$F$56)</f>
        <v>0</v>
      </c>
      <c r="T107" s="5" t="e">
        <f>IFERROR(IF($R107&gt;0,$R107&amp;"-"&amp;COUNTIF($R$19:$R107,$R107),NA()),NA())</f>
        <v>#N/A</v>
      </c>
      <c r="U107" s="5" t="e">
        <f>IFERROR(IF($S107&gt;0,$S107&amp;"-"&amp;COUNTIF($S$19:$S107,$S107),NA()),NA())</f>
        <v>#N/A</v>
      </c>
      <c r="V107" s="10">
        <v>43454</v>
      </c>
      <c r="W107" s="101">
        <v>32972327.018436104</v>
      </c>
      <c r="X107" s="101">
        <v>39642628.774265736</v>
      </c>
      <c r="Y107" s="102">
        <v>25000000</v>
      </c>
      <c r="AI107" s="12"/>
      <c r="AJ107" s="12"/>
      <c r="AK107" s="109"/>
      <c r="AL107" s="109"/>
      <c r="AP107" s="12"/>
      <c r="AQ107" s="12"/>
      <c r="AR107" s="109"/>
      <c r="AS107" s="109"/>
      <c r="BF107" s="12"/>
      <c r="BG107" s="12"/>
      <c r="BH107" s="109"/>
      <c r="BI107" s="109"/>
      <c r="BM107" s="12"/>
      <c r="BN107" s="12"/>
      <c r="BO107" s="109"/>
      <c r="BP107" s="109"/>
      <c r="CB107" s="12"/>
      <c r="CC107" s="12"/>
      <c r="CD107" s="109"/>
      <c r="CE107" s="109"/>
      <c r="CG107" s="106" t="s">
        <v>11</v>
      </c>
      <c r="CQ107" s="12"/>
      <c r="CR107" s="12"/>
      <c r="CS107" s="109"/>
      <c r="CT107" s="109"/>
      <c r="DF107" s="12"/>
      <c r="DG107" s="12"/>
      <c r="DH107" s="109"/>
      <c r="DI107" s="109"/>
      <c r="DU107" s="12"/>
      <c r="DV107" s="12"/>
      <c r="DW107" s="109"/>
      <c r="DX107" s="109"/>
      <c r="EB107" s="12"/>
      <c r="EC107" s="12"/>
      <c r="ED107" s="109"/>
      <c r="EE107" s="109"/>
      <c r="EQ107" s="12"/>
      <c r="ER107" s="12"/>
      <c r="ES107" s="109"/>
      <c r="ET107" s="109"/>
      <c r="FF107" s="12"/>
      <c r="FG107" s="12"/>
      <c r="FH107" s="109"/>
      <c r="FI107" s="109"/>
      <c r="FM107" s="12"/>
      <c r="FN107" s="12"/>
      <c r="FO107" s="109"/>
      <c r="FP107" s="109"/>
      <c r="GB107" s="12"/>
      <c r="GC107" s="12"/>
      <c r="GD107" s="109"/>
      <c r="GE107" s="109"/>
      <c r="GI107" s="12"/>
      <c r="GJ107" s="12"/>
      <c r="GK107" s="109"/>
      <c r="GL107" s="109"/>
      <c r="GX107" s="12"/>
      <c r="GY107" s="12"/>
      <c r="GZ107" s="109"/>
      <c r="HA107" s="109"/>
      <c r="HM107" s="12"/>
      <c r="HN107" s="12"/>
      <c r="HO107" s="109"/>
      <c r="HP107" s="109"/>
      <c r="HT107" s="12"/>
      <c r="HU107" s="12"/>
      <c r="HV107" s="109"/>
      <c r="HW107" s="109"/>
      <c r="II107" s="12" t="str">
        <f t="shared" si="270"/>
        <v>FY23</v>
      </c>
      <c r="IJ107" s="12">
        <f t="shared" si="270"/>
        <v>45029</v>
      </c>
      <c r="IK107" s="109">
        <f t="shared" si="241"/>
        <v>49.471698145332923</v>
      </c>
      <c r="IL107" s="109">
        <f t="shared" si="241"/>
        <v>30</v>
      </c>
      <c r="IP107" s="12" t="str">
        <f t="shared" si="286"/>
        <v>FY23</v>
      </c>
      <c r="IQ107" s="12">
        <f t="shared" si="286"/>
        <v>45015</v>
      </c>
      <c r="IR107" s="109">
        <f t="shared" si="287"/>
        <v>25.590152994831257</v>
      </c>
      <c r="IS107" s="109">
        <f t="shared" si="287"/>
        <v>8</v>
      </c>
      <c r="IW107" s="16" t="s">
        <v>169</v>
      </c>
      <c r="IX107" s="12">
        <v>44728</v>
      </c>
      <c r="IY107" s="103">
        <v>41963661.416844025</v>
      </c>
      <c r="IZ107" s="104">
        <v>20000000</v>
      </c>
      <c r="JE107" s="12" t="str">
        <f t="shared" si="271"/>
        <v>Since FY21</v>
      </c>
      <c r="JF107" s="12">
        <f t="shared" si="269"/>
        <v>44294</v>
      </c>
      <c r="JG107" s="109">
        <f t="shared" si="243"/>
        <v>41.866552508361195</v>
      </c>
      <c r="JH107" s="109">
        <f t="shared" si="243"/>
        <v>30</v>
      </c>
      <c r="JI107" s="109"/>
      <c r="JJ107" s="40"/>
      <c r="JN107" s="12" t="str">
        <f t="shared" si="288"/>
        <v>Since FY21</v>
      </c>
      <c r="JO107" s="12">
        <f t="shared" si="288"/>
        <v>44280</v>
      </c>
      <c r="JP107" s="109">
        <f t="shared" si="289"/>
        <v>23.50473821830343</v>
      </c>
      <c r="JQ107" s="109">
        <f t="shared" si="289"/>
        <v>8</v>
      </c>
      <c r="JR107" s="109" t="e">
        <f t="shared" si="290"/>
        <v>#N/A</v>
      </c>
      <c r="JS107" s="109" t="e">
        <f t="shared" si="290"/>
        <v>#N/A</v>
      </c>
      <c r="JT107" s="40" t="e">
        <f>NA()</f>
        <v>#N/A</v>
      </c>
      <c r="JU107" s="40" t="e">
        <f>NA()</f>
        <v>#N/A</v>
      </c>
      <c r="NI107" s="12"/>
      <c r="NJ107" s="12"/>
      <c r="NK107" s="109"/>
      <c r="NL107" s="109"/>
      <c r="NX107" s="12"/>
      <c r="NY107" s="12"/>
      <c r="NZ107" s="109"/>
      <c r="OA107" s="109"/>
    </row>
    <row r="108" spans="13:391" x14ac:dyDescent="0.25">
      <c r="M108" s="5" t="str" cm="1">
        <f t="array" ref="M108">LOOKUP(2,1/($G$19:$G$35&lt;=$V108)/($H$19:$H$35&gt;=$V108),$F$19:$F$35)</f>
        <v>1H19</v>
      </c>
      <c r="N108" s="5" t="str" cm="1">
        <f t="array" ref="N108">LOOKUP(2,1/($G$8:$G$16&lt;=$V108)/($H$8:$H$16&gt;=$V108),$F$8:$F$16)</f>
        <v>FY19</v>
      </c>
      <c r="O108" s="5" t="str">
        <f>IFERROR(N108&amp;"-"&amp;COUNTIF($N$19:N108,N108),NA())</f>
        <v>FY19-26</v>
      </c>
      <c r="P108" s="5">
        <f>COUNTIF(V$19:V108,"&gt;="&amp;MAX($V:$V)-183)</f>
        <v>0</v>
      </c>
      <c r="Q108" s="5">
        <f>COUNTIF(V$19:V108,"&gt;="&amp;MAX($V:$V)-365)</f>
        <v>0</v>
      </c>
      <c r="R108" s="5" cm="1">
        <f t="array" ref="R108">LOOKUP(2,1/($G$46:$G$50&lt;=$V108)/($H$46:$H$50&gt;=$V108),$F$46:$F$50)</f>
        <v>0</v>
      </c>
      <c r="S108" s="5" cm="1">
        <f t="array" ref="S108">LOOKUP(2,1/($G$53:$G$56&lt;=$V108)/($H$53:$H$56&gt;=$V108),$F$53:$F$56)</f>
        <v>0</v>
      </c>
      <c r="T108" s="5" t="e">
        <f>IFERROR(IF($R108&gt;0,$R108&amp;"-"&amp;COUNTIF($R$19:$R108,$R108),NA()),NA())</f>
        <v>#N/A</v>
      </c>
      <c r="U108" s="5" t="e">
        <f>IFERROR(IF($S108&gt;0,$S108&amp;"-"&amp;COUNTIF($S$19:$S108,$S108),NA()),NA())</f>
        <v>#N/A</v>
      </c>
      <c r="V108" s="10">
        <v>43461</v>
      </c>
      <c r="W108" s="101">
        <v>36354827.972027965</v>
      </c>
      <c r="X108" s="101">
        <v>43709409.67076923</v>
      </c>
      <c r="Y108" s="102">
        <v>30000000</v>
      </c>
      <c r="AI108" s="12"/>
      <c r="AJ108" s="12"/>
      <c r="AK108" s="109"/>
      <c r="AL108" s="109"/>
      <c r="AP108" s="12"/>
      <c r="AQ108" s="12"/>
      <c r="AR108" s="109"/>
      <c r="AS108" s="109"/>
      <c r="BF108" s="12"/>
      <c r="BG108" s="12"/>
      <c r="BH108" s="109"/>
      <c r="BI108" s="109"/>
      <c r="BM108" s="12"/>
      <c r="BN108" s="12"/>
      <c r="BO108" s="109"/>
      <c r="BP108" s="109"/>
      <c r="CB108" s="12"/>
      <c r="CC108" s="12"/>
      <c r="CD108" s="109"/>
      <c r="CE108" s="109"/>
      <c r="CG108" s="106" t="s">
        <v>10</v>
      </c>
      <c r="CQ108" s="12"/>
      <c r="CR108" s="12"/>
      <c r="CS108" s="109"/>
      <c r="CT108" s="109"/>
      <c r="DF108" s="12"/>
      <c r="DG108" s="12"/>
      <c r="DH108" s="109"/>
      <c r="DI108" s="109"/>
      <c r="DU108" s="12"/>
      <c r="DV108" s="12"/>
      <c r="DW108" s="109"/>
      <c r="DX108" s="109"/>
      <c r="EB108" s="12"/>
      <c r="EC108" s="12"/>
      <c r="ED108" s="109"/>
      <c r="EE108" s="109"/>
      <c r="EQ108" s="12"/>
      <c r="ER108" s="12"/>
      <c r="ES108" s="109"/>
      <c r="ET108" s="109"/>
      <c r="FF108" s="12"/>
      <c r="FG108" s="12"/>
      <c r="FH108" s="109"/>
      <c r="FI108" s="109"/>
      <c r="FM108" s="12"/>
      <c r="FN108" s="12"/>
      <c r="FO108" s="109"/>
      <c r="FP108" s="109"/>
      <c r="GB108" s="12"/>
      <c r="GC108" s="12"/>
      <c r="GD108" s="109"/>
      <c r="GE108" s="109"/>
      <c r="GI108" s="12"/>
      <c r="GJ108" s="12"/>
      <c r="GK108" s="109"/>
      <c r="GL108" s="109"/>
      <c r="GX108" s="12"/>
      <c r="GY108" s="12"/>
      <c r="GZ108" s="109"/>
      <c r="HA108" s="109"/>
      <c r="HM108" s="12"/>
      <c r="HN108" s="12"/>
      <c r="HO108" s="109"/>
      <c r="HP108" s="109"/>
      <c r="HT108" s="12"/>
      <c r="HU108" s="12"/>
      <c r="HV108" s="109"/>
      <c r="HW108" s="109"/>
      <c r="II108" s="12" t="str">
        <f t="shared" si="270"/>
        <v>FY23</v>
      </c>
      <c r="IJ108" s="12">
        <f t="shared" si="270"/>
        <v>45036</v>
      </c>
      <c r="IK108" s="109">
        <f t="shared" si="241"/>
        <v>21.741040681058067</v>
      </c>
      <c r="IL108" s="109">
        <f t="shared" si="241"/>
        <v>4</v>
      </c>
      <c r="IP108" s="12" t="str">
        <f t="shared" si="286"/>
        <v>FY23</v>
      </c>
      <c r="IQ108" s="12">
        <f t="shared" si="286"/>
        <v>45022</v>
      </c>
      <c r="IR108" s="109">
        <f t="shared" si="287"/>
        <v>41.047026208574025</v>
      </c>
      <c r="IS108" s="109">
        <f t="shared" si="287"/>
        <v>20</v>
      </c>
      <c r="IW108" s="16" t="s">
        <v>169</v>
      </c>
      <c r="IX108" s="12">
        <v>44735</v>
      </c>
      <c r="IY108" s="103">
        <v>57463937.245363325</v>
      </c>
      <c r="IZ108" s="104">
        <v>40000000</v>
      </c>
      <c r="JE108" s="12" t="str">
        <f t="shared" si="271"/>
        <v>Since FY21</v>
      </c>
      <c r="JF108" s="12">
        <f t="shared" si="269"/>
        <v>44301</v>
      </c>
      <c r="JG108" s="109">
        <f t="shared" si="243"/>
        <v>63.615309698996647</v>
      </c>
      <c r="JH108" s="109">
        <f t="shared" si="243"/>
        <v>50</v>
      </c>
      <c r="JI108" s="109"/>
      <c r="JJ108" s="40"/>
      <c r="JN108" s="12" t="str">
        <f t="shared" si="288"/>
        <v>Since FY21</v>
      </c>
      <c r="JO108" s="12">
        <f t="shared" si="288"/>
        <v>44287</v>
      </c>
      <c r="JP108" s="109">
        <f t="shared" si="289"/>
        <v>37.212500334448158</v>
      </c>
      <c r="JQ108" s="109">
        <f t="shared" si="289"/>
        <v>20</v>
      </c>
      <c r="JR108" s="109" t="e">
        <f t="shared" si="290"/>
        <v>#N/A</v>
      </c>
      <c r="JS108" s="109" t="e">
        <f t="shared" si="290"/>
        <v>#N/A</v>
      </c>
      <c r="JT108" s="40" t="e">
        <f>NA()</f>
        <v>#N/A</v>
      </c>
      <c r="JU108" s="40" t="e">
        <f>NA()</f>
        <v>#N/A</v>
      </c>
      <c r="NI108" s="12"/>
      <c r="NJ108" s="12"/>
      <c r="NK108" s="109"/>
      <c r="NL108" s="109"/>
      <c r="NX108" s="12"/>
      <c r="NY108" s="12"/>
      <c r="NZ108" s="109"/>
      <c r="OA108" s="109"/>
    </row>
    <row r="109" spans="13:391" x14ac:dyDescent="0.25">
      <c r="M109" s="5" t="str" cm="1">
        <f t="array" ref="M109">LOOKUP(2,1/($G$19:$G$35&lt;=$V109)/($H$19:$H$35&gt;=$V109),$F$19:$F$35)</f>
        <v>2H19</v>
      </c>
      <c r="N109" s="5" t="str" cm="1">
        <f t="array" ref="N109">LOOKUP(2,1/($G$8:$G$16&lt;=$V109)/($H$8:$H$16&gt;=$V109),$F$8:$F$16)</f>
        <v>FY19</v>
      </c>
      <c r="O109" s="5" t="str">
        <f>IFERROR(N109&amp;"-"&amp;COUNTIF($N$19:N109,N109),NA())</f>
        <v>FY19-27</v>
      </c>
      <c r="P109" s="5">
        <f>COUNTIF(V$19:V109,"&gt;="&amp;MAX($V:$V)-183)</f>
        <v>0</v>
      </c>
      <c r="Q109" s="5">
        <f>COUNTIF(V$19:V109,"&gt;="&amp;MAX($V:$V)-365)</f>
        <v>0</v>
      </c>
      <c r="R109" s="5" cm="1">
        <f t="array" ref="R109">LOOKUP(2,1/($G$46:$G$50&lt;=$V109)/($H$46:$H$50&gt;=$V109),$F$46:$F$50)</f>
        <v>0</v>
      </c>
      <c r="S109" s="5" cm="1">
        <f t="array" ref="S109">LOOKUP(2,1/($G$53:$G$56&lt;=$V109)/($H$53:$H$56&gt;=$V109),$F$53:$F$56)</f>
        <v>0</v>
      </c>
      <c r="T109" s="5" t="e">
        <f>IFERROR(IF($R109&gt;0,$R109&amp;"-"&amp;COUNTIF($R$19:$R109,$R109),NA()),NA())</f>
        <v>#N/A</v>
      </c>
      <c r="U109" s="5" t="e">
        <f>IFERROR(IF($S109&gt;0,$S109&amp;"-"&amp;COUNTIF($S$19:$S109,$S109),NA()),NA())</f>
        <v>#N/A</v>
      </c>
      <c r="V109" s="10">
        <v>43468</v>
      </c>
      <c r="W109" s="101">
        <v>63766761.602034323</v>
      </c>
      <c r="X109" s="101">
        <v>76666777.474125877</v>
      </c>
      <c r="Y109" s="102">
        <v>50000000</v>
      </c>
      <c r="AI109" s="12"/>
      <c r="AJ109" s="12"/>
      <c r="AK109" s="109"/>
      <c r="AL109" s="109"/>
      <c r="AP109" s="12"/>
      <c r="AQ109" s="12"/>
      <c r="AR109" s="109"/>
      <c r="AS109" s="109"/>
      <c r="BF109" s="12"/>
      <c r="BG109" s="12"/>
      <c r="BH109" s="109"/>
      <c r="BI109" s="109"/>
      <c r="BM109" s="12"/>
      <c r="BN109" s="12"/>
      <c r="BO109" s="109"/>
      <c r="BP109" s="109"/>
      <c r="CB109" s="12"/>
      <c r="CC109" s="12"/>
      <c r="CD109" s="109"/>
      <c r="CE109" s="109"/>
      <c r="CG109" s="106" t="s">
        <v>9</v>
      </c>
      <c r="CQ109" s="12"/>
      <c r="CR109" s="12"/>
      <c r="CS109" s="109"/>
      <c r="CT109" s="109"/>
      <c r="DF109" s="12"/>
      <c r="DG109" s="12"/>
      <c r="DH109" s="109"/>
      <c r="DI109" s="109"/>
      <c r="DU109" s="12"/>
      <c r="DV109" s="12"/>
      <c r="DW109" s="109"/>
      <c r="DX109" s="109"/>
      <c r="EB109" s="12"/>
      <c r="EC109" s="12"/>
      <c r="ED109" s="109"/>
      <c r="EE109" s="109"/>
      <c r="EQ109" s="12"/>
      <c r="ER109" s="12"/>
      <c r="ES109" s="109"/>
      <c r="ET109" s="109"/>
      <c r="FF109" s="12"/>
      <c r="FG109" s="12"/>
      <c r="FH109" s="109"/>
      <c r="FI109" s="109"/>
      <c r="FM109" s="12"/>
      <c r="FN109" s="12"/>
      <c r="FO109" s="109"/>
      <c r="FP109" s="109"/>
      <c r="GB109" s="12"/>
      <c r="GC109" s="12"/>
      <c r="GD109" s="109"/>
      <c r="GE109" s="109"/>
      <c r="GI109" s="12"/>
      <c r="GJ109" s="12"/>
      <c r="GK109" s="109"/>
      <c r="GL109" s="109"/>
      <c r="GX109" s="12"/>
      <c r="GY109" s="12"/>
      <c r="GZ109" s="109"/>
      <c r="HA109" s="109"/>
      <c r="HM109" s="12"/>
      <c r="HN109" s="12"/>
      <c r="HO109" s="109"/>
      <c r="HP109" s="109"/>
      <c r="HT109" s="12"/>
      <c r="HU109" s="12"/>
      <c r="HV109" s="109"/>
      <c r="HW109" s="109"/>
      <c r="II109" s="12" t="str">
        <f t="shared" si="270"/>
        <v>FY23</v>
      </c>
      <c r="IJ109" s="12">
        <f t="shared" si="270"/>
        <v>45043</v>
      </c>
      <c r="IK109" s="109">
        <f t="shared" si="241"/>
        <v>27.045895287321372</v>
      </c>
      <c r="IL109" s="109">
        <f t="shared" si="241"/>
        <v>8</v>
      </c>
      <c r="IP109" s="12" t="str">
        <f t="shared" si="286"/>
        <v>FY23</v>
      </c>
      <c r="IQ109" s="12">
        <f t="shared" si="286"/>
        <v>45029</v>
      </c>
      <c r="IR109" s="109">
        <f t="shared" si="287"/>
        <v>49.471698145332923</v>
      </c>
      <c r="IS109" s="109">
        <f t="shared" si="287"/>
        <v>30</v>
      </c>
      <c r="IW109" s="16" t="s">
        <v>169</v>
      </c>
      <c r="IX109" s="12">
        <v>44742</v>
      </c>
      <c r="IY109" s="103">
        <v>77836461.903314069</v>
      </c>
      <c r="IZ109" s="104">
        <v>60000000</v>
      </c>
      <c r="JE109" s="12" t="str">
        <f t="shared" si="271"/>
        <v>Since FY21</v>
      </c>
      <c r="JF109" s="12">
        <f t="shared" si="269"/>
        <v>44308</v>
      </c>
      <c r="JG109" s="109">
        <f t="shared" si="243"/>
        <v>118.500310611128</v>
      </c>
      <c r="JH109" s="109">
        <f t="shared" si="243"/>
        <v>80</v>
      </c>
      <c r="JI109" s="109"/>
      <c r="JJ109" s="40"/>
      <c r="JN109" s="12" t="str">
        <f t="shared" si="288"/>
        <v>Since FY21</v>
      </c>
      <c r="JO109" s="12">
        <f t="shared" si="288"/>
        <v>44294</v>
      </c>
      <c r="JP109" s="109">
        <f t="shared" si="289"/>
        <v>41.866552508361195</v>
      </c>
      <c r="JQ109" s="109">
        <f t="shared" si="289"/>
        <v>30</v>
      </c>
      <c r="JR109" s="109" t="e">
        <f t="shared" si="290"/>
        <v>#N/A</v>
      </c>
      <c r="JS109" s="109" t="e">
        <f t="shared" si="290"/>
        <v>#N/A</v>
      </c>
      <c r="JT109" s="40" t="e">
        <f>NA()</f>
        <v>#N/A</v>
      </c>
      <c r="JU109" s="40" t="e">
        <f>NA()</f>
        <v>#N/A</v>
      </c>
      <c r="NI109" s="12"/>
      <c r="NJ109" s="12"/>
      <c r="NK109" s="109"/>
      <c r="NL109" s="109"/>
      <c r="NX109" s="12"/>
      <c r="NY109" s="12"/>
      <c r="NZ109" s="109"/>
      <c r="OA109" s="109"/>
    </row>
    <row r="110" spans="13:391" x14ac:dyDescent="0.25">
      <c r="M110" s="5" t="str" cm="1">
        <f t="array" ref="M110">LOOKUP(2,1/($G$19:$G$35&lt;=$V110)/($H$19:$H$35&gt;=$V110),$F$19:$F$35)</f>
        <v>2H19</v>
      </c>
      <c r="N110" s="5" t="str" cm="1">
        <f t="array" ref="N110">LOOKUP(2,1/($G$8:$G$16&lt;=$V110)/($H$8:$H$16&gt;=$V110),$F$8:$F$16)</f>
        <v>FY19</v>
      </c>
      <c r="O110" s="5" t="str">
        <f>IFERROR(N110&amp;"-"&amp;COUNTIF($N$19:N110,N110),NA())</f>
        <v>FY19-28</v>
      </c>
      <c r="P110" s="5">
        <f>COUNTIF(V$19:V110,"&gt;="&amp;MAX($V:$V)-183)</f>
        <v>0</v>
      </c>
      <c r="Q110" s="5">
        <f>COUNTIF(V$19:V110,"&gt;="&amp;MAX($V:$V)-365)</f>
        <v>0</v>
      </c>
      <c r="R110" s="5" cm="1">
        <f t="array" ref="R110">LOOKUP(2,1/($G$46:$G$50&lt;=$V110)/($H$46:$H$50&gt;=$V110),$F$46:$F$50)</f>
        <v>0</v>
      </c>
      <c r="S110" s="5" cm="1">
        <f t="array" ref="S110">LOOKUP(2,1/($G$53:$G$56&lt;=$V110)/($H$53:$H$56&gt;=$V110),$F$53:$F$56)</f>
        <v>0</v>
      </c>
      <c r="T110" s="5" t="e">
        <f>IFERROR(IF($R110&gt;0,$R110&amp;"-"&amp;COUNTIF($R$19:$R110,$R110),NA()),NA())</f>
        <v>#N/A</v>
      </c>
      <c r="U110" s="5" t="e">
        <f>IFERROR(IF($S110&gt;0,$S110&amp;"-"&amp;COUNTIF($S$19:$S110,$S110),NA()),NA())</f>
        <v>#N/A</v>
      </c>
      <c r="V110" s="10">
        <v>43475</v>
      </c>
      <c r="W110" s="101">
        <v>112313238.6522568</v>
      </c>
      <c r="X110" s="101">
        <v>135034206.83160836</v>
      </c>
      <c r="Y110" s="102">
        <v>80000000</v>
      </c>
      <c r="AI110" s="12"/>
      <c r="AJ110" s="12"/>
      <c r="AK110" s="109"/>
      <c r="AL110" s="109"/>
      <c r="AP110" s="12"/>
      <c r="AQ110" s="12"/>
      <c r="AR110" s="109"/>
      <c r="AS110" s="109"/>
      <c r="BF110" s="12"/>
      <c r="BG110" s="12"/>
      <c r="BH110" s="109"/>
      <c r="BI110" s="109"/>
      <c r="BM110" s="12"/>
      <c r="BN110" s="12"/>
      <c r="BO110" s="109"/>
      <c r="BP110" s="109"/>
      <c r="CB110" s="12"/>
      <c r="CC110" s="12"/>
      <c r="CD110" s="109"/>
      <c r="CE110" s="109"/>
      <c r="CG110" s="106"/>
      <c r="CQ110" s="12"/>
      <c r="CR110" s="12"/>
      <c r="CS110" s="109"/>
      <c r="CT110" s="109"/>
      <c r="DF110" s="12"/>
      <c r="DG110" s="12"/>
      <c r="DH110" s="109"/>
      <c r="DI110" s="109"/>
      <c r="DU110" s="12"/>
      <c r="DV110" s="12"/>
      <c r="DW110" s="109"/>
      <c r="DX110" s="109"/>
      <c r="EB110" s="12"/>
      <c r="EC110" s="12"/>
      <c r="ED110" s="109"/>
      <c r="EE110" s="109"/>
      <c r="EQ110" s="12"/>
      <c r="ER110" s="12"/>
      <c r="ES110" s="109"/>
      <c r="ET110" s="109"/>
      <c r="FF110" s="12"/>
      <c r="FG110" s="12"/>
      <c r="FH110" s="109"/>
      <c r="FI110" s="109"/>
      <c r="FM110" s="12"/>
      <c r="FN110" s="12"/>
      <c r="FO110" s="109"/>
      <c r="FP110" s="109"/>
      <c r="GB110" s="12"/>
      <c r="GC110" s="12"/>
      <c r="GD110" s="109"/>
      <c r="GE110" s="109"/>
      <c r="GI110" s="12"/>
      <c r="GJ110" s="12"/>
      <c r="GK110" s="109"/>
      <c r="GL110" s="109"/>
      <c r="GX110" s="12"/>
      <c r="GY110" s="12"/>
      <c r="GZ110" s="109"/>
      <c r="HA110" s="109"/>
      <c r="HM110" s="12"/>
      <c r="HN110" s="12"/>
      <c r="HO110" s="109"/>
      <c r="HP110" s="109"/>
      <c r="HT110" s="12"/>
      <c r="HU110" s="12"/>
      <c r="HV110" s="109"/>
      <c r="HW110" s="109"/>
      <c r="II110" s="12" t="str">
        <f t="shared" si="270"/>
        <v>FY23</v>
      </c>
      <c r="IJ110" s="12">
        <f t="shared" si="270"/>
        <v>45050</v>
      </c>
      <c r="IK110" s="109">
        <f t="shared" si="241"/>
        <v>41.813564487686222</v>
      </c>
      <c r="IL110" s="109">
        <f t="shared" si="241"/>
        <v>20</v>
      </c>
      <c r="IP110" s="12" t="str">
        <f t="shared" si="286"/>
        <v>FY23</v>
      </c>
      <c r="IQ110" s="12">
        <f t="shared" si="286"/>
        <v>45036</v>
      </c>
      <c r="IR110" s="109">
        <f t="shared" si="287"/>
        <v>21.741040681058067</v>
      </c>
      <c r="IS110" s="109">
        <f t="shared" si="287"/>
        <v>4</v>
      </c>
      <c r="IW110" s="16" t="s">
        <v>169</v>
      </c>
      <c r="IX110" s="12">
        <v>44749</v>
      </c>
      <c r="IY110" s="103">
        <v>20096787.838248707</v>
      </c>
      <c r="IZ110" s="104">
        <v>4000000</v>
      </c>
      <c r="JE110" s="12" t="str">
        <f t="shared" si="271"/>
        <v>Since FY21</v>
      </c>
      <c r="JF110" s="12">
        <f t="shared" si="269"/>
        <v>44315</v>
      </c>
      <c r="JG110" s="109">
        <f t="shared" si="243"/>
        <v>24.573953906962604</v>
      </c>
      <c r="JH110" s="109">
        <f t="shared" si="243"/>
        <v>8</v>
      </c>
      <c r="JI110" s="109"/>
      <c r="JJ110" s="40"/>
      <c r="JN110" s="12" t="str">
        <f t="shared" si="288"/>
        <v>Since FY21</v>
      </c>
      <c r="JO110" s="12">
        <f t="shared" si="288"/>
        <v>44301</v>
      </c>
      <c r="JP110" s="109">
        <f t="shared" si="289"/>
        <v>63.615309698996647</v>
      </c>
      <c r="JQ110" s="109">
        <f t="shared" si="289"/>
        <v>50</v>
      </c>
      <c r="JR110" s="109" t="e">
        <f t="shared" si="290"/>
        <v>#N/A</v>
      </c>
      <c r="JS110" s="109" t="e">
        <f t="shared" si="290"/>
        <v>#N/A</v>
      </c>
      <c r="JT110" s="40" t="e">
        <f>NA()</f>
        <v>#N/A</v>
      </c>
      <c r="JU110" s="40" t="e">
        <f>NA()</f>
        <v>#N/A</v>
      </c>
      <c r="NI110" s="12"/>
      <c r="NJ110" s="12"/>
      <c r="NK110" s="109"/>
      <c r="NL110" s="109"/>
      <c r="NX110" s="12"/>
      <c r="NY110" s="12"/>
      <c r="NZ110" s="109"/>
      <c r="OA110" s="109"/>
    </row>
    <row r="111" spans="13:391" x14ac:dyDescent="0.25">
      <c r="M111" s="5" t="str" cm="1">
        <f t="array" ref="M111">LOOKUP(2,1/($G$19:$G$35&lt;=$V111)/($H$19:$H$35&gt;=$V111),$F$19:$F$35)</f>
        <v>2H19</v>
      </c>
      <c r="N111" s="5" t="str" cm="1">
        <f t="array" ref="N111">LOOKUP(2,1/($G$8:$G$16&lt;=$V111)/($H$8:$H$16&gt;=$V111),$F$8:$F$16)</f>
        <v>FY19</v>
      </c>
      <c r="O111" s="5" t="str">
        <f>IFERROR(N111&amp;"-"&amp;COUNTIF($N$19:N111,N111),NA())</f>
        <v>FY19-29</v>
      </c>
      <c r="P111" s="5">
        <f>COUNTIF(V$19:V111,"&gt;="&amp;MAX($V:$V)-183)</f>
        <v>0</v>
      </c>
      <c r="Q111" s="5">
        <f>COUNTIF(V$19:V111,"&gt;="&amp;MAX($V:$V)-365)</f>
        <v>0</v>
      </c>
      <c r="R111" s="5" cm="1">
        <f t="array" ref="R111">LOOKUP(2,1/($G$46:$G$50&lt;=$V111)/($H$46:$H$50&gt;=$V111),$F$46:$F$50)</f>
        <v>0</v>
      </c>
      <c r="S111" s="5" cm="1">
        <f t="array" ref="S111">LOOKUP(2,1/($G$53:$G$56&lt;=$V111)/($H$53:$H$56&gt;=$V111),$F$53:$F$56)</f>
        <v>0</v>
      </c>
      <c r="T111" s="5" t="e">
        <f>IFERROR(IF($R111&gt;0,$R111&amp;"-"&amp;COUNTIF($R$19:$R111,$R111),NA()),NA())</f>
        <v>#N/A</v>
      </c>
      <c r="U111" s="5" t="e">
        <f>IFERROR(IF($S111&gt;0,$S111&amp;"-"&amp;COUNTIF($S$19:$S111,$S111),NA()),NA())</f>
        <v>#N/A</v>
      </c>
      <c r="V111" s="10">
        <v>43482</v>
      </c>
      <c r="W111" s="101">
        <v>174145591.86268273</v>
      </c>
      <c r="X111" s="101">
        <v>209375245.09650347</v>
      </c>
      <c r="Y111" s="102">
        <v>100000000</v>
      </c>
      <c r="AI111" s="12"/>
      <c r="AJ111" s="12"/>
      <c r="AK111" s="109"/>
      <c r="AL111" s="109"/>
      <c r="AP111" s="12"/>
      <c r="AQ111" s="12"/>
      <c r="AR111" s="109"/>
      <c r="AS111" s="109"/>
      <c r="BF111" s="12"/>
      <c r="BG111" s="12"/>
      <c r="BH111" s="109"/>
      <c r="BI111" s="109"/>
      <c r="BM111" s="12"/>
      <c r="BN111" s="12"/>
      <c r="BO111" s="109"/>
      <c r="BP111" s="109"/>
      <c r="CB111" s="12"/>
      <c r="CC111" s="12"/>
      <c r="CD111" s="109"/>
      <c r="CE111" s="109"/>
      <c r="CG111" s="17" t="s">
        <v>8</v>
      </c>
      <c r="CQ111" s="12"/>
      <c r="CR111" s="12"/>
      <c r="CS111" s="109"/>
      <c r="CT111" s="109"/>
      <c r="DF111" s="12"/>
      <c r="DG111" s="12"/>
      <c r="DH111" s="109"/>
      <c r="DI111" s="109"/>
      <c r="DU111" s="12"/>
      <c r="DV111" s="12"/>
      <c r="DW111" s="109"/>
      <c r="DX111" s="109"/>
      <c r="EB111" s="12"/>
      <c r="EC111" s="12"/>
      <c r="ED111" s="109"/>
      <c r="EE111" s="109"/>
      <c r="EQ111" s="12"/>
      <c r="ER111" s="12"/>
      <c r="ES111" s="109"/>
      <c r="ET111" s="109"/>
      <c r="FF111" s="12"/>
      <c r="FG111" s="12"/>
      <c r="FH111" s="109"/>
      <c r="FI111" s="109"/>
      <c r="FM111" s="12"/>
      <c r="FN111" s="12"/>
      <c r="FO111" s="109"/>
      <c r="FP111" s="109"/>
      <c r="GB111" s="12"/>
      <c r="GC111" s="12"/>
      <c r="GD111" s="109"/>
      <c r="GE111" s="109"/>
      <c r="GI111" s="12"/>
      <c r="GJ111" s="12"/>
      <c r="GK111" s="109"/>
      <c r="GL111" s="109"/>
      <c r="GX111" s="12"/>
      <c r="GY111" s="12"/>
      <c r="GZ111" s="109"/>
      <c r="HA111" s="109"/>
      <c r="HM111" s="12"/>
      <c r="HN111" s="12"/>
      <c r="HO111" s="109"/>
      <c r="HP111" s="109"/>
      <c r="HT111" s="12"/>
      <c r="HU111" s="12"/>
      <c r="HV111" s="109"/>
      <c r="HW111" s="109"/>
      <c r="II111" s="12" t="str">
        <f t="shared" si="270"/>
        <v>FY23</v>
      </c>
      <c r="IJ111" s="12">
        <f t="shared" si="270"/>
        <v>45057</v>
      </c>
      <c r="IK111" s="109">
        <f t="shared" si="241"/>
        <v>19.348700760109455</v>
      </c>
      <c r="IL111" s="109">
        <f t="shared" si="241"/>
        <v>4</v>
      </c>
      <c r="IP111" s="12" t="str">
        <f t="shared" si="286"/>
        <v>FY23</v>
      </c>
      <c r="IQ111" s="12">
        <f t="shared" si="286"/>
        <v>45043</v>
      </c>
      <c r="IR111" s="109">
        <f t="shared" si="287"/>
        <v>27.045895287321372</v>
      </c>
      <c r="IS111" s="109">
        <f t="shared" si="287"/>
        <v>8</v>
      </c>
      <c r="IW111" s="16" t="s">
        <v>169</v>
      </c>
      <c r="IX111" s="12">
        <v>44756</v>
      </c>
      <c r="IY111" s="103">
        <v>27258635.451505017</v>
      </c>
      <c r="IZ111" s="104">
        <v>8000000</v>
      </c>
      <c r="JE111" s="12" t="str">
        <f t="shared" si="271"/>
        <v>Since FY21</v>
      </c>
      <c r="JF111" s="12">
        <f t="shared" si="269"/>
        <v>44322</v>
      </c>
      <c r="JG111" s="109">
        <f t="shared" si="243"/>
        <v>37.110605290361804</v>
      </c>
      <c r="JH111" s="109">
        <f t="shared" si="243"/>
        <v>20</v>
      </c>
      <c r="JI111" s="109"/>
      <c r="JJ111" s="40"/>
      <c r="JN111" s="12" t="str">
        <f t="shared" si="288"/>
        <v>Since FY21</v>
      </c>
      <c r="JO111" s="12">
        <f t="shared" si="288"/>
        <v>44308</v>
      </c>
      <c r="JP111" s="109">
        <f t="shared" si="289"/>
        <v>118.500310611128</v>
      </c>
      <c r="JQ111" s="109">
        <f t="shared" si="289"/>
        <v>80</v>
      </c>
      <c r="JR111" s="109" t="e">
        <f t="shared" si="290"/>
        <v>#N/A</v>
      </c>
      <c r="JS111" s="109" t="e">
        <f t="shared" si="290"/>
        <v>#N/A</v>
      </c>
      <c r="JT111" s="40" t="e">
        <f>NA()</f>
        <v>#N/A</v>
      </c>
      <c r="JU111" s="40" t="e">
        <f>NA()</f>
        <v>#N/A</v>
      </c>
      <c r="NI111" s="12"/>
      <c r="NJ111" s="12"/>
      <c r="NK111" s="109"/>
      <c r="NL111" s="109"/>
      <c r="NX111" s="12"/>
      <c r="NY111" s="12"/>
      <c r="NZ111" s="109"/>
      <c r="OA111" s="109"/>
    </row>
    <row r="112" spans="13:391" x14ac:dyDescent="0.25">
      <c r="M112" s="5" t="str" cm="1">
        <f t="array" ref="M112">LOOKUP(2,1/($G$19:$G$35&lt;=$V112)/($H$19:$H$35&gt;=$V112),$F$19:$F$35)</f>
        <v>2H19</v>
      </c>
      <c r="N112" s="5" t="str" cm="1">
        <f t="array" ref="N112">LOOKUP(2,1/($G$8:$G$16&lt;=$V112)/($H$8:$H$16&gt;=$V112),$F$8:$F$16)</f>
        <v>FY19</v>
      </c>
      <c r="O112" s="5" t="str">
        <f>IFERROR(N112&amp;"-"&amp;COUNTIF($N$19:N112,N112),NA())</f>
        <v>FY19-30</v>
      </c>
      <c r="P112" s="5">
        <f>COUNTIF(V$19:V112,"&gt;="&amp;MAX($V:$V)-183)</f>
        <v>0</v>
      </c>
      <c r="Q112" s="5">
        <f>COUNTIF(V$19:V112,"&gt;="&amp;MAX($V:$V)-365)</f>
        <v>0</v>
      </c>
      <c r="R112" s="5" cm="1">
        <f t="array" ref="R112">LOOKUP(2,1/($G$46:$G$50&lt;=$V112)/($H$46:$H$50&gt;=$V112),$F$46:$F$50)</f>
        <v>0</v>
      </c>
      <c r="S112" s="5" cm="1">
        <f t="array" ref="S112">LOOKUP(2,1/($G$53:$G$56&lt;=$V112)/($H$53:$H$56&gt;=$V112),$F$53:$F$56)</f>
        <v>0</v>
      </c>
      <c r="T112" s="5" t="e">
        <f>IFERROR(IF($R112&gt;0,$R112&amp;"-"&amp;COUNTIF($R$19:$R112,$R112),NA()),NA())</f>
        <v>#N/A</v>
      </c>
      <c r="U112" s="5" t="e">
        <f>IFERROR(IF($S112&gt;0,$S112&amp;"-"&amp;COUNTIF($S$19:$S112,$S112),NA()),NA())</f>
        <v>#N/A</v>
      </c>
      <c r="V112" s="10">
        <v>43489</v>
      </c>
      <c r="W112" s="101">
        <v>13937889.72089857</v>
      </c>
      <c r="X112" s="101">
        <v>16757524.811436353</v>
      </c>
      <c r="Y112" s="102">
        <v>3000000</v>
      </c>
      <c r="AI112" s="12"/>
      <c r="AJ112" s="12"/>
      <c r="AK112" s="109"/>
      <c r="AL112" s="109"/>
      <c r="AP112" s="12"/>
      <c r="AQ112" s="12"/>
      <c r="AR112" s="109"/>
      <c r="AS112" s="109"/>
      <c r="BF112" s="12"/>
      <c r="BG112" s="12"/>
      <c r="BH112" s="109"/>
      <c r="BI112" s="109"/>
      <c r="BM112" s="12"/>
      <c r="BN112" s="12"/>
      <c r="BO112" s="109"/>
      <c r="BP112" s="109"/>
      <c r="CB112" s="12"/>
      <c r="CC112" s="12"/>
      <c r="CD112" s="109"/>
      <c r="CE112" s="109"/>
      <c r="CG112" s="106" t="s">
        <v>7</v>
      </c>
      <c r="CQ112" s="12"/>
      <c r="CR112" s="12"/>
      <c r="CS112" s="109"/>
      <c r="CT112" s="109"/>
      <c r="DF112" s="12"/>
      <c r="DG112" s="12"/>
      <c r="DH112" s="109"/>
      <c r="DI112" s="109"/>
      <c r="DU112" s="12"/>
      <c r="DV112" s="12"/>
      <c r="DW112" s="109"/>
      <c r="DX112" s="109"/>
      <c r="EB112" s="12"/>
      <c r="EC112" s="12"/>
      <c r="ED112" s="109"/>
      <c r="EE112" s="109"/>
      <c r="EQ112" s="12"/>
      <c r="ER112" s="12"/>
      <c r="ES112" s="109"/>
      <c r="ET112" s="109"/>
      <c r="FF112" s="12"/>
      <c r="FG112" s="12"/>
      <c r="FH112" s="109"/>
      <c r="FI112" s="109"/>
      <c r="FM112" s="12"/>
      <c r="FN112" s="12"/>
      <c r="FO112" s="109"/>
      <c r="FP112" s="109"/>
      <c r="GB112" s="12"/>
      <c r="GC112" s="12"/>
      <c r="GD112" s="109"/>
      <c r="GE112" s="109"/>
      <c r="GI112" s="12"/>
      <c r="GJ112" s="12"/>
      <c r="GK112" s="109"/>
      <c r="GL112" s="109"/>
      <c r="GX112" s="12"/>
      <c r="GY112" s="12"/>
      <c r="GZ112" s="109"/>
      <c r="HA112" s="109"/>
      <c r="HM112" s="12"/>
      <c r="HN112" s="12"/>
      <c r="HO112" s="109"/>
      <c r="HP112" s="109"/>
      <c r="HT112" s="12"/>
      <c r="HU112" s="12"/>
      <c r="HV112" s="109"/>
      <c r="HW112" s="109"/>
      <c r="II112" s="12" t="str">
        <f t="shared" si="270"/>
        <v>FY23</v>
      </c>
      <c r="IJ112" s="12">
        <f t="shared" si="270"/>
        <v>45064</v>
      </c>
      <c r="IK112" s="109">
        <f t="shared" si="241"/>
        <v>19.409982487078139</v>
      </c>
      <c r="IL112" s="109">
        <f t="shared" si="241"/>
        <v>4</v>
      </c>
      <c r="IP112" s="12" t="str">
        <f t="shared" si="286"/>
        <v>FY23</v>
      </c>
      <c r="IQ112" s="12">
        <f t="shared" si="286"/>
        <v>45050</v>
      </c>
      <c r="IR112" s="109">
        <f t="shared" si="287"/>
        <v>41.813564487686222</v>
      </c>
      <c r="IS112" s="109">
        <f t="shared" si="287"/>
        <v>20</v>
      </c>
      <c r="IW112" s="16" t="s">
        <v>169</v>
      </c>
      <c r="IX112" s="12">
        <v>44763</v>
      </c>
      <c r="IY112" s="103">
        <v>20968405.71602311</v>
      </c>
      <c r="IZ112" s="104">
        <v>4000000</v>
      </c>
      <c r="JE112" s="12" t="str">
        <f t="shared" si="271"/>
        <v>Since FY21</v>
      </c>
      <c r="JF112" s="12">
        <f t="shared" si="269"/>
        <v>44329</v>
      </c>
      <c r="JG112" s="109">
        <f t="shared" si="243"/>
        <v>47.890415810276679</v>
      </c>
      <c r="JH112" s="109">
        <f t="shared" si="243"/>
        <v>30</v>
      </c>
      <c r="JI112" s="109"/>
      <c r="JJ112" s="40"/>
      <c r="JN112" s="12" t="str">
        <f t="shared" si="288"/>
        <v>Since FY21</v>
      </c>
      <c r="JO112" s="12">
        <f t="shared" si="288"/>
        <v>44315</v>
      </c>
      <c r="JP112" s="109">
        <f t="shared" si="289"/>
        <v>24.573953906962604</v>
      </c>
      <c r="JQ112" s="109">
        <f t="shared" si="289"/>
        <v>8</v>
      </c>
      <c r="JR112" s="109" t="e">
        <f t="shared" si="290"/>
        <v>#N/A</v>
      </c>
      <c r="JS112" s="109" t="e">
        <f t="shared" si="290"/>
        <v>#N/A</v>
      </c>
      <c r="JT112" s="40" t="e">
        <f>NA()</f>
        <v>#N/A</v>
      </c>
      <c r="JU112" s="40" t="e">
        <f>NA()</f>
        <v>#N/A</v>
      </c>
      <c r="NI112" s="12"/>
      <c r="NJ112" s="12"/>
      <c r="NK112" s="109"/>
      <c r="NL112" s="109"/>
      <c r="NX112" s="12"/>
      <c r="NY112" s="12"/>
      <c r="NZ112" s="109"/>
      <c r="OA112" s="109"/>
    </row>
    <row r="113" spans="13:391" x14ac:dyDescent="0.25">
      <c r="M113" s="5" t="str" cm="1">
        <f t="array" ref="M113">LOOKUP(2,1/($G$19:$G$35&lt;=$V113)/($H$19:$H$35&gt;=$V113),$F$19:$F$35)</f>
        <v>2H19</v>
      </c>
      <c r="N113" s="5" t="str" cm="1">
        <f t="array" ref="N113">LOOKUP(2,1/($G$8:$G$16&lt;=$V113)/($H$8:$H$16&gt;=$V113),$F$8:$F$16)</f>
        <v>FY19</v>
      </c>
      <c r="O113" s="5" t="str">
        <f>IFERROR(N113&amp;"-"&amp;COUNTIF($N$19:N113,N113),NA())</f>
        <v>FY19-31</v>
      </c>
      <c r="P113" s="5">
        <f>COUNTIF(V$19:V113,"&gt;="&amp;MAX($V:$V)-183)</f>
        <v>0</v>
      </c>
      <c r="Q113" s="5">
        <f>COUNTIF(V$19:V113,"&gt;="&amp;MAX($V:$V)-365)</f>
        <v>0</v>
      </c>
      <c r="R113" s="5" cm="1">
        <f t="array" ref="R113">LOOKUP(2,1/($G$46:$G$50&lt;=$V113)/($H$46:$H$50&gt;=$V113),$F$46:$F$50)</f>
        <v>0</v>
      </c>
      <c r="S113" s="5" cm="1">
        <f t="array" ref="S113">LOOKUP(2,1/($G$53:$G$56&lt;=$V113)/($H$53:$H$56&gt;=$V113),$F$53:$F$56)</f>
        <v>0</v>
      </c>
      <c r="T113" s="5" t="e">
        <f>IFERROR(IF($R113&gt;0,$R113&amp;"-"&amp;COUNTIF($R$19:$R113,$R113),NA()),NA())</f>
        <v>#N/A</v>
      </c>
      <c r="U113" s="5" t="e">
        <f>IFERROR(IF($S113&gt;0,$S113&amp;"-"&amp;COUNTIF($S$19:$S113,$S113),NA()),NA())</f>
        <v>#N/A</v>
      </c>
      <c r="V113" s="10">
        <v>43496</v>
      </c>
      <c r="W113" s="101">
        <v>18140342.842997711</v>
      </c>
      <c r="X113" s="101">
        <v>21810134.200136151</v>
      </c>
      <c r="Y113" s="102">
        <v>8000000</v>
      </c>
      <c r="AI113" s="12"/>
      <c r="AJ113" s="12"/>
      <c r="AK113" s="109"/>
      <c r="AL113" s="109"/>
      <c r="AP113" s="12"/>
      <c r="AQ113" s="12"/>
      <c r="AR113" s="109"/>
      <c r="AS113" s="109"/>
      <c r="BF113" s="12"/>
      <c r="BG113" s="12"/>
      <c r="BH113" s="109"/>
      <c r="BI113" s="109"/>
      <c r="BM113" s="12"/>
      <c r="BN113" s="12"/>
      <c r="BO113" s="109"/>
      <c r="BP113" s="109"/>
      <c r="CB113" s="12"/>
      <c r="CC113" s="12"/>
      <c r="CD113" s="109"/>
      <c r="CE113" s="109"/>
      <c r="CG113" s="17" t="s">
        <v>6</v>
      </c>
      <c r="CQ113" s="12"/>
      <c r="CR113" s="12"/>
      <c r="CS113" s="109"/>
      <c r="CT113" s="109"/>
      <c r="DF113" s="12"/>
      <c r="DG113" s="12"/>
      <c r="DH113" s="109"/>
      <c r="DI113" s="109"/>
      <c r="DU113" s="12"/>
      <c r="DV113" s="12"/>
      <c r="DW113" s="109"/>
      <c r="DX113" s="109"/>
      <c r="EB113" s="12"/>
      <c r="EC113" s="12"/>
      <c r="ED113" s="109"/>
      <c r="EE113" s="109"/>
      <c r="EQ113" s="12"/>
      <c r="ER113" s="12"/>
      <c r="ES113" s="109"/>
      <c r="ET113" s="109"/>
      <c r="FF113" s="12"/>
      <c r="FG113" s="12"/>
      <c r="FH113" s="109"/>
      <c r="FI113" s="109"/>
      <c r="FM113" s="12"/>
      <c r="FN113" s="12"/>
      <c r="FO113" s="109"/>
      <c r="FP113" s="109"/>
      <c r="GB113" s="12"/>
      <c r="GC113" s="12"/>
      <c r="GD113" s="109"/>
      <c r="GE113" s="109"/>
      <c r="GI113" s="12"/>
      <c r="GJ113" s="12"/>
      <c r="GK113" s="109"/>
      <c r="GL113" s="109"/>
      <c r="GX113" s="12"/>
      <c r="GY113" s="12"/>
      <c r="GZ113" s="109"/>
      <c r="HA113" s="109"/>
      <c r="HM113" s="12"/>
      <c r="HN113" s="12"/>
      <c r="HO113" s="109"/>
      <c r="HP113" s="109"/>
      <c r="HT113" s="12"/>
      <c r="HU113" s="12"/>
      <c r="HV113" s="109"/>
      <c r="HW113" s="109"/>
      <c r="II113" s="12"/>
      <c r="IJ113" s="12"/>
      <c r="IK113" s="109"/>
      <c r="IL113" s="109"/>
      <c r="IP113" s="12" t="str">
        <f t="shared" si="286"/>
        <v>FY23</v>
      </c>
      <c r="IQ113" s="12">
        <f t="shared" si="286"/>
        <v>45057</v>
      </c>
      <c r="IR113" s="109">
        <f t="shared" si="287"/>
        <v>19.348700760109455</v>
      </c>
      <c r="IS113" s="109">
        <f t="shared" si="287"/>
        <v>4</v>
      </c>
      <c r="IW113" s="16" t="s">
        <v>169</v>
      </c>
      <c r="IX113" s="12">
        <v>44770</v>
      </c>
      <c r="IY113" s="103">
        <v>19329129.096989967</v>
      </c>
      <c r="IZ113" s="104">
        <v>4000000</v>
      </c>
      <c r="JE113" s="12" t="str">
        <f t="shared" si="271"/>
        <v>Since FY21</v>
      </c>
      <c r="JF113" s="12">
        <f t="shared" si="269"/>
        <v>44336</v>
      </c>
      <c r="JG113" s="109">
        <f t="shared" ref="JG113:JH176" si="291">IF(ISBLANK(IY51),NA(),IY51/1000000)</f>
        <v>18.569740589844933</v>
      </c>
      <c r="JH113" s="109">
        <f t="shared" si="291"/>
        <v>3</v>
      </c>
      <c r="JI113" s="109"/>
      <c r="JJ113" s="40"/>
      <c r="JN113" s="12" t="str">
        <f t="shared" si="288"/>
        <v>Since FY21</v>
      </c>
      <c r="JO113" s="12">
        <f t="shared" si="288"/>
        <v>44322</v>
      </c>
      <c r="JP113" s="109">
        <f t="shared" si="289"/>
        <v>37.110605290361804</v>
      </c>
      <c r="JQ113" s="109">
        <f t="shared" si="289"/>
        <v>20</v>
      </c>
      <c r="JR113" s="109" t="e">
        <f t="shared" si="290"/>
        <v>#N/A</v>
      </c>
      <c r="JS113" s="109" t="e">
        <f t="shared" si="290"/>
        <v>#N/A</v>
      </c>
      <c r="JT113" s="40" t="e">
        <f>NA()</f>
        <v>#N/A</v>
      </c>
      <c r="JU113" s="40" t="e">
        <f>NA()</f>
        <v>#N/A</v>
      </c>
      <c r="NI113" s="12"/>
      <c r="NJ113" s="12"/>
      <c r="NK113" s="109"/>
      <c r="NL113" s="109"/>
      <c r="NX113" s="12"/>
      <c r="NY113" s="12"/>
      <c r="NZ113" s="109"/>
      <c r="OA113" s="109"/>
    </row>
    <row r="114" spans="13:391" x14ac:dyDescent="0.25">
      <c r="M114" s="5" t="str" cm="1">
        <f t="array" ref="M114">LOOKUP(2,1/($G$19:$G$35&lt;=$V114)/($H$19:$H$35&gt;=$V114),$F$19:$F$35)</f>
        <v>2H19</v>
      </c>
      <c r="N114" s="5" t="str" cm="1">
        <f t="array" ref="N114">LOOKUP(2,1/($G$8:$G$16&lt;=$V114)/($H$8:$H$16&gt;=$V114),$F$8:$F$16)</f>
        <v>FY19</v>
      </c>
      <c r="O114" s="5" t="str">
        <f>IFERROR(N114&amp;"-"&amp;COUNTIF($N$19:N114,N114),NA())</f>
        <v>FY19-32</v>
      </c>
      <c r="P114" s="5">
        <f>COUNTIF(V$19:V114,"&gt;="&amp;MAX($V:$V)-183)</f>
        <v>0</v>
      </c>
      <c r="Q114" s="5">
        <f>COUNTIF(V$19:V114,"&gt;="&amp;MAX($V:$V)-365)</f>
        <v>0</v>
      </c>
      <c r="R114" s="5" cm="1">
        <f t="array" ref="R114">LOOKUP(2,1/($G$46:$G$50&lt;=$V114)/($H$46:$H$50&gt;=$V114),$F$46:$F$50)</f>
        <v>0</v>
      </c>
      <c r="S114" s="5" cm="1">
        <f t="array" ref="S114">LOOKUP(2,1/($G$53:$G$56&lt;=$V114)/($H$53:$H$56&gt;=$V114),$F$53:$F$56)</f>
        <v>0</v>
      </c>
      <c r="T114" s="5" t="e">
        <f>IFERROR(IF($R114&gt;0,$R114&amp;"-"&amp;COUNTIF($R$19:$R114,$R114),NA()),NA())</f>
        <v>#N/A</v>
      </c>
      <c r="U114" s="5" t="e">
        <f>IFERROR(IF($S114&gt;0,$S114&amp;"-"&amp;COUNTIF($S$19:$S114,$S114),NA()),NA())</f>
        <v>#N/A</v>
      </c>
      <c r="V114" s="10">
        <v>43503</v>
      </c>
      <c r="W114" s="101">
        <v>25118955.133362219</v>
      </c>
      <c r="X114" s="101">
        <v>30200519.756841399</v>
      </c>
      <c r="Y114" s="102">
        <v>12000000</v>
      </c>
      <c r="AI114" s="12"/>
      <c r="AJ114" s="12"/>
      <c r="AK114" s="109"/>
      <c r="AL114" s="109"/>
      <c r="AP114" s="12"/>
      <c r="AQ114" s="12"/>
      <c r="AR114" s="109"/>
      <c r="AS114" s="109"/>
      <c r="BF114" s="12"/>
      <c r="BG114" s="12"/>
      <c r="BH114" s="109"/>
      <c r="BI114" s="109"/>
      <c r="BM114" s="12"/>
      <c r="BN114" s="12"/>
      <c r="BO114" s="109"/>
      <c r="BP114" s="109"/>
      <c r="CB114" s="12"/>
      <c r="CC114" s="12"/>
      <c r="CD114" s="109"/>
      <c r="CE114" s="109"/>
      <c r="CG114" s="106"/>
      <c r="CQ114" s="12"/>
      <c r="CR114" s="12"/>
      <c r="CS114" s="109"/>
      <c r="CT114" s="109"/>
      <c r="DF114" s="12"/>
      <c r="DG114" s="12"/>
      <c r="DH114" s="109"/>
      <c r="DI114" s="109"/>
      <c r="DU114" s="12"/>
      <c r="DV114" s="12"/>
      <c r="DW114" s="109"/>
      <c r="DX114" s="109"/>
      <c r="EB114" s="12"/>
      <c r="EC114" s="12"/>
      <c r="ED114" s="109"/>
      <c r="EE114" s="109"/>
      <c r="EQ114" s="12"/>
      <c r="ER114" s="12"/>
      <c r="ES114" s="109"/>
      <c r="ET114" s="109"/>
      <c r="FF114" s="12"/>
      <c r="FG114" s="12"/>
      <c r="FH114" s="109"/>
      <c r="FI114" s="109"/>
      <c r="FM114" s="12"/>
      <c r="FN114" s="12"/>
      <c r="FO114" s="109"/>
      <c r="FP114" s="109"/>
      <c r="GB114" s="12"/>
      <c r="GC114" s="12"/>
      <c r="GD114" s="109"/>
      <c r="GE114" s="109"/>
      <c r="GI114" s="12"/>
      <c r="GJ114" s="12"/>
      <c r="GK114" s="109"/>
      <c r="GL114" s="109"/>
      <c r="GX114" s="12"/>
      <c r="GY114" s="12"/>
      <c r="GZ114" s="109"/>
      <c r="HA114" s="109"/>
      <c r="HM114" s="12"/>
      <c r="HN114" s="12"/>
      <c r="HO114" s="109"/>
      <c r="HP114" s="109"/>
      <c r="HT114" s="12"/>
      <c r="HU114" s="12"/>
      <c r="HV114" s="109"/>
      <c r="HW114" s="109"/>
      <c r="II114" s="12"/>
      <c r="IJ114" s="12"/>
      <c r="IK114" s="109"/>
      <c r="IL114" s="109"/>
      <c r="IP114" s="12" t="str">
        <f t="shared" si="286"/>
        <v>FY23</v>
      </c>
      <c r="IQ114" s="12">
        <f t="shared" si="286"/>
        <v>45064</v>
      </c>
      <c r="IR114" s="109">
        <f t="shared" si="287"/>
        <v>19.409982487078139</v>
      </c>
      <c r="IS114" s="109">
        <f t="shared" si="287"/>
        <v>4</v>
      </c>
      <c r="IW114" s="16" t="s">
        <v>169</v>
      </c>
      <c r="IX114" s="12">
        <v>44777</v>
      </c>
      <c r="IY114" s="103">
        <v>24328928.428093642</v>
      </c>
      <c r="IZ114" s="104">
        <v>8000000</v>
      </c>
      <c r="JE114" s="12" t="str">
        <f t="shared" si="271"/>
        <v>Since FY21</v>
      </c>
      <c r="JF114" s="12">
        <f t="shared" si="269"/>
        <v>44343</v>
      </c>
      <c r="JG114" s="109">
        <f t="shared" si="291"/>
        <v>25.429040072970505</v>
      </c>
      <c r="JH114" s="109">
        <f t="shared" si="291"/>
        <v>8</v>
      </c>
      <c r="JI114" s="109"/>
      <c r="JJ114" s="40"/>
      <c r="JN114" s="12" t="str">
        <f t="shared" si="288"/>
        <v>Since FY21</v>
      </c>
      <c r="JO114" s="12">
        <f t="shared" si="288"/>
        <v>44329</v>
      </c>
      <c r="JP114" s="109">
        <f t="shared" si="289"/>
        <v>47.890415810276679</v>
      </c>
      <c r="JQ114" s="109">
        <f t="shared" si="289"/>
        <v>30</v>
      </c>
      <c r="JR114" s="109" t="e">
        <f t="shared" si="290"/>
        <v>#N/A</v>
      </c>
      <c r="JS114" s="109" t="e">
        <f t="shared" si="290"/>
        <v>#N/A</v>
      </c>
      <c r="JT114" s="40" t="e">
        <f>NA()</f>
        <v>#N/A</v>
      </c>
      <c r="JU114" s="40" t="e">
        <f>NA()</f>
        <v>#N/A</v>
      </c>
      <c r="NI114" s="12"/>
      <c r="NJ114" s="12"/>
      <c r="NK114" s="109"/>
      <c r="NL114" s="109"/>
      <c r="NX114" s="12"/>
      <c r="NY114" s="12"/>
      <c r="NZ114" s="109"/>
      <c r="OA114" s="109"/>
    </row>
    <row r="115" spans="13:391" x14ac:dyDescent="0.25">
      <c r="M115" s="5" t="str" cm="1">
        <f t="array" ref="M115">LOOKUP(2,1/($G$19:$G$35&lt;=$V115)/($H$19:$H$35&gt;=$V115),$F$19:$F$35)</f>
        <v>2H19</v>
      </c>
      <c r="N115" s="5" t="str" cm="1">
        <f t="array" ref="N115">LOOKUP(2,1/($G$8:$G$16&lt;=$V115)/($H$8:$H$16&gt;=$V115),$F$8:$F$16)</f>
        <v>FY19</v>
      </c>
      <c r="O115" s="5" t="str">
        <f>IFERROR(N115&amp;"-"&amp;COUNTIF($N$19:N115,N115),NA())</f>
        <v>FY19-33</v>
      </c>
      <c r="P115" s="5">
        <f>COUNTIF(V$19:V115,"&gt;="&amp;MAX($V:$V)-183)</f>
        <v>0</v>
      </c>
      <c r="Q115" s="5">
        <f>COUNTIF(V$19:V115,"&gt;="&amp;MAX($V:$V)-365)</f>
        <v>0</v>
      </c>
      <c r="R115" s="5" cm="1">
        <f t="array" ref="R115">LOOKUP(2,1/($G$46:$G$50&lt;=$V115)/($H$46:$H$50&gt;=$V115),$F$46:$F$50)</f>
        <v>0</v>
      </c>
      <c r="S115" s="5" cm="1">
        <f t="array" ref="S115">LOOKUP(2,1/($G$53:$G$56&lt;=$V115)/($H$53:$H$56&gt;=$V115),$F$53:$F$56)</f>
        <v>0</v>
      </c>
      <c r="T115" s="5" t="e">
        <f>IFERROR(IF($R115&gt;0,$R115&amp;"-"&amp;COUNTIF($R$19:$R115,$R115),NA()),NA())</f>
        <v>#N/A</v>
      </c>
      <c r="U115" s="5" t="e">
        <f>IFERROR(IF($S115&gt;0,$S115&amp;"-"&amp;COUNTIF($S$19:$S115,$S115),NA()),NA())</f>
        <v>#N/A</v>
      </c>
      <c r="V115" s="10">
        <v>43510</v>
      </c>
      <c r="W115" s="101">
        <v>31354336.778265979</v>
      </c>
      <c r="X115" s="101">
        <v>37697319.10850919</v>
      </c>
      <c r="Y115" s="102">
        <v>20000000</v>
      </c>
      <c r="AI115" s="12"/>
      <c r="AJ115" s="12"/>
      <c r="AK115" s="109"/>
      <c r="AL115" s="109"/>
      <c r="AP115" s="12"/>
      <c r="AQ115" s="12"/>
      <c r="AR115" s="109"/>
      <c r="AS115" s="109"/>
      <c r="BF115" s="12"/>
      <c r="BG115" s="12"/>
      <c r="BH115" s="109"/>
      <c r="BI115" s="109"/>
      <c r="BM115" s="12"/>
      <c r="BN115" s="12"/>
      <c r="BO115" s="109"/>
      <c r="BP115" s="109"/>
      <c r="CB115" s="12"/>
      <c r="CC115" s="12"/>
      <c r="CD115" s="109"/>
      <c r="CE115" s="109"/>
      <c r="CG115" s="106" t="s">
        <v>5</v>
      </c>
      <c r="CQ115" s="12"/>
      <c r="CR115" s="12"/>
      <c r="CS115" s="109"/>
      <c r="CT115" s="109"/>
      <c r="DF115" s="12"/>
      <c r="DG115" s="12"/>
      <c r="DH115" s="109"/>
      <c r="DI115" s="109"/>
      <c r="DU115" s="12"/>
      <c r="DV115" s="12"/>
      <c r="DW115" s="109"/>
      <c r="DX115" s="109"/>
      <c r="EB115" s="12"/>
      <c r="EC115" s="12"/>
      <c r="ED115" s="109"/>
      <c r="EE115" s="109"/>
      <c r="EQ115" s="12"/>
      <c r="ER115" s="12"/>
      <c r="ES115" s="109"/>
      <c r="ET115" s="109"/>
      <c r="FF115" s="12"/>
      <c r="FG115" s="12"/>
      <c r="FH115" s="109"/>
      <c r="FI115" s="109"/>
      <c r="FM115" s="12"/>
      <c r="FN115" s="12"/>
      <c r="FO115" s="109"/>
      <c r="FP115" s="109"/>
      <c r="GB115" s="12"/>
      <c r="GC115" s="12"/>
      <c r="GD115" s="109"/>
      <c r="GE115" s="109"/>
      <c r="GI115" s="12"/>
      <c r="GJ115" s="12"/>
      <c r="GK115" s="109"/>
      <c r="GL115" s="109"/>
      <c r="GX115" s="12"/>
      <c r="GY115" s="12"/>
      <c r="GZ115" s="109"/>
      <c r="HA115" s="109"/>
      <c r="HM115" s="12"/>
      <c r="HN115" s="12"/>
      <c r="HO115" s="109"/>
      <c r="HP115" s="109"/>
      <c r="HT115" s="12"/>
      <c r="HU115" s="12"/>
      <c r="HV115" s="109"/>
      <c r="HW115" s="109"/>
      <c r="II115" s="12"/>
      <c r="IJ115" s="12"/>
      <c r="IK115" s="109"/>
      <c r="IL115" s="109"/>
      <c r="IP115" s="12" t="str">
        <f t="shared" si="286"/>
        <v>FY23</v>
      </c>
      <c r="IQ115" s="12">
        <f t="shared" si="286"/>
        <v>45071</v>
      </c>
      <c r="IR115" s="109">
        <f t="shared" si="287"/>
        <v>30.887849079219787</v>
      </c>
      <c r="IS115" s="109">
        <f t="shared" si="287"/>
        <v>12</v>
      </c>
      <c r="IW115" s="16" t="s">
        <v>169</v>
      </c>
      <c r="IX115" s="12">
        <v>44784</v>
      </c>
      <c r="IY115" s="103">
        <v>39456376.284584977</v>
      </c>
      <c r="IZ115" s="104">
        <v>20000000</v>
      </c>
      <c r="JE115" s="12" t="str">
        <f t="shared" si="271"/>
        <v>Since FY21</v>
      </c>
      <c r="JF115" s="12">
        <f t="shared" si="269"/>
        <v>44350</v>
      </c>
      <c r="JG115" s="109">
        <f t="shared" si="291"/>
        <v>17.730661964122834</v>
      </c>
      <c r="JH115" s="109">
        <f t="shared" si="291"/>
        <v>3</v>
      </c>
      <c r="JI115" s="109"/>
      <c r="JJ115" s="40"/>
      <c r="JN115" s="12" t="str">
        <f t="shared" si="288"/>
        <v>Since FY21</v>
      </c>
      <c r="JO115" s="12">
        <f t="shared" si="288"/>
        <v>44336</v>
      </c>
      <c r="JP115" s="109">
        <f t="shared" si="289"/>
        <v>18.569740589844933</v>
      </c>
      <c r="JQ115" s="109">
        <f t="shared" si="289"/>
        <v>3</v>
      </c>
      <c r="JR115" s="109" t="e">
        <f t="shared" si="290"/>
        <v>#N/A</v>
      </c>
      <c r="JS115" s="109" t="e">
        <f t="shared" si="290"/>
        <v>#N/A</v>
      </c>
      <c r="JT115" s="40" t="e">
        <f>NA()</f>
        <v>#N/A</v>
      </c>
      <c r="JU115" s="40" t="e">
        <f>NA()</f>
        <v>#N/A</v>
      </c>
      <c r="NI115" s="12"/>
      <c r="NJ115" s="12"/>
      <c r="NK115" s="109"/>
      <c r="NL115" s="109"/>
      <c r="NX115" s="12"/>
      <c r="NY115" s="12"/>
      <c r="NZ115" s="109"/>
      <c r="OA115" s="109"/>
    </row>
    <row r="116" spans="13:391" x14ac:dyDescent="0.25">
      <c r="M116" s="5" t="str" cm="1">
        <f t="array" ref="M116">LOOKUP(2,1/($G$19:$G$35&lt;=$V116)/($H$19:$H$35&gt;=$V116),$F$19:$F$35)</f>
        <v>2H19</v>
      </c>
      <c r="N116" s="5" t="str" cm="1">
        <f t="array" ref="N116">LOOKUP(2,1/($G$8:$G$16&lt;=$V116)/($H$8:$H$16&gt;=$V116),$F$8:$F$16)</f>
        <v>FY19</v>
      </c>
      <c r="O116" s="5" t="str">
        <f>IFERROR(N116&amp;"-"&amp;COUNTIF($N$19:N116,N116),NA())</f>
        <v>FY19-34</v>
      </c>
      <c r="P116" s="5">
        <f>COUNTIF(V$19:V116,"&gt;="&amp;MAX($V:$V)-183)</f>
        <v>0</v>
      </c>
      <c r="Q116" s="5">
        <f>COUNTIF(V$19:V116,"&gt;="&amp;MAX($V:$V)-365)</f>
        <v>0</v>
      </c>
      <c r="R116" s="5" cm="1">
        <f t="array" ref="R116">LOOKUP(2,1/($G$46:$G$50&lt;=$V116)/($H$46:$H$50&gt;=$V116),$F$46:$F$50)</f>
        <v>0</v>
      </c>
      <c r="S116" s="5" cm="1">
        <f t="array" ref="S116">LOOKUP(2,1/($G$53:$G$56&lt;=$V116)/($H$53:$H$56&gt;=$V116),$F$53:$F$56)</f>
        <v>0</v>
      </c>
      <c r="T116" s="5" t="e">
        <f>IFERROR(IF($R116&gt;0,$R116&amp;"-"&amp;COUNTIF($R$19:$R116,$R116),NA()),NA())</f>
        <v>#N/A</v>
      </c>
      <c r="U116" s="5" t="e">
        <f>IFERROR(IF($S116&gt;0,$S116&amp;"-"&amp;COUNTIF($S$19:$S116,$S116),NA()),NA())</f>
        <v>#N/A</v>
      </c>
      <c r="V116" s="10">
        <v>43517</v>
      </c>
      <c r="W116" s="101">
        <v>38283030.633083731</v>
      </c>
      <c r="X116" s="101">
        <v>46027687.730156578</v>
      </c>
      <c r="Y116" s="102">
        <v>30000000</v>
      </c>
      <c r="AI116" s="12"/>
      <c r="AJ116" s="12"/>
      <c r="AK116" s="109"/>
      <c r="AL116" s="109"/>
      <c r="AP116" s="12"/>
      <c r="AQ116" s="12"/>
      <c r="AR116" s="109"/>
      <c r="AS116" s="109"/>
      <c r="BF116" s="12"/>
      <c r="BG116" s="12"/>
      <c r="BH116" s="109"/>
      <c r="BI116" s="109"/>
      <c r="BM116" s="12"/>
      <c r="BN116" s="12"/>
      <c r="BO116" s="109"/>
      <c r="BP116" s="109"/>
      <c r="CB116" s="12"/>
      <c r="CC116" s="12"/>
      <c r="CD116" s="109"/>
      <c r="CE116" s="109"/>
      <c r="CG116" s="106" t="s">
        <v>4</v>
      </c>
      <c r="CQ116" s="12"/>
      <c r="CR116" s="12"/>
      <c r="CS116" s="109"/>
      <c r="CT116" s="109"/>
      <c r="DF116" s="12"/>
      <c r="DG116" s="12"/>
      <c r="DH116" s="109"/>
      <c r="DI116" s="109"/>
      <c r="DU116" s="12"/>
      <c r="DV116" s="12"/>
      <c r="DW116" s="109"/>
      <c r="DX116" s="109"/>
      <c r="EB116" s="12"/>
      <c r="EC116" s="12"/>
      <c r="ED116" s="109"/>
      <c r="EE116" s="109"/>
      <c r="EQ116" s="12"/>
      <c r="ER116" s="12"/>
      <c r="ES116" s="109"/>
      <c r="ET116" s="109"/>
      <c r="FF116" s="12"/>
      <c r="FG116" s="12"/>
      <c r="FH116" s="109"/>
      <c r="FI116" s="109"/>
      <c r="FM116" s="12"/>
      <c r="FN116" s="12"/>
      <c r="FO116" s="109"/>
      <c r="FP116" s="109"/>
      <c r="GB116" s="12"/>
      <c r="GC116" s="12"/>
      <c r="GD116" s="109"/>
      <c r="GE116" s="109"/>
      <c r="GI116" s="12"/>
      <c r="GJ116" s="12"/>
      <c r="GK116" s="109"/>
      <c r="GL116" s="109"/>
      <c r="GX116" s="12"/>
      <c r="GY116" s="12"/>
      <c r="GZ116" s="109"/>
      <c r="HA116" s="109"/>
      <c r="HM116" s="12"/>
      <c r="HN116" s="12"/>
      <c r="HO116" s="109"/>
      <c r="HP116" s="109"/>
      <c r="HT116" s="12"/>
      <c r="HU116" s="12"/>
      <c r="HV116" s="109"/>
      <c r="HW116" s="109"/>
      <c r="II116" s="12"/>
      <c r="IJ116" s="12"/>
      <c r="IK116" s="109"/>
      <c r="IL116" s="109"/>
      <c r="IP116" s="12" t="str">
        <f t="shared" si="286"/>
        <v>FY23</v>
      </c>
      <c r="IQ116" s="12">
        <f t="shared" si="286"/>
        <v>45078</v>
      </c>
      <c r="IR116" s="109">
        <f t="shared" si="287"/>
        <v>40.719506810504527</v>
      </c>
      <c r="IS116" s="109">
        <f t="shared" si="287"/>
        <v>20</v>
      </c>
      <c r="IW116" s="16" t="s">
        <v>169</v>
      </c>
      <c r="IX116" s="12">
        <v>44791</v>
      </c>
      <c r="IY116" s="103">
        <v>20023645.36333232</v>
      </c>
      <c r="IZ116" s="104">
        <v>4000000</v>
      </c>
      <c r="JE116" s="12" t="str">
        <f t="shared" si="271"/>
        <v>Since FY21</v>
      </c>
      <c r="JF116" s="12">
        <f t="shared" si="269"/>
        <v>44357</v>
      </c>
      <c r="JG116" s="109">
        <f t="shared" si="291"/>
        <v>23.443848707813927</v>
      </c>
      <c r="JH116" s="109">
        <f t="shared" si="291"/>
        <v>8</v>
      </c>
      <c r="JI116" s="109"/>
      <c r="JJ116" s="40"/>
      <c r="JN116" s="12" t="str">
        <f t="shared" si="288"/>
        <v>Since FY21</v>
      </c>
      <c r="JO116" s="12">
        <f t="shared" si="288"/>
        <v>44343</v>
      </c>
      <c r="JP116" s="109">
        <f t="shared" si="289"/>
        <v>25.429040072970505</v>
      </c>
      <c r="JQ116" s="109">
        <f t="shared" si="289"/>
        <v>8</v>
      </c>
      <c r="JR116" s="109" t="e">
        <f t="shared" si="290"/>
        <v>#N/A</v>
      </c>
      <c r="JS116" s="109" t="e">
        <f t="shared" si="290"/>
        <v>#N/A</v>
      </c>
      <c r="JT116" s="40" t="e">
        <f>NA()</f>
        <v>#N/A</v>
      </c>
      <c r="JU116" s="40" t="e">
        <f>NA()</f>
        <v>#N/A</v>
      </c>
      <c r="NI116" s="12"/>
      <c r="NJ116" s="12"/>
      <c r="NK116" s="109"/>
      <c r="NL116" s="109"/>
      <c r="NX116" s="12"/>
      <c r="NY116" s="12"/>
      <c r="NZ116" s="109"/>
      <c r="OA116" s="109"/>
    </row>
    <row r="117" spans="13:391" x14ac:dyDescent="0.25">
      <c r="M117" s="5" t="str" cm="1">
        <f t="array" ref="M117">LOOKUP(2,1/($G$19:$G$35&lt;=$V117)/($H$19:$H$35&gt;=$V117),$F$19:$F$35)</f>
        <v>2H19</v>
      </c>
      <c r="N117" s="5" t="str" cm="1">
        <f t="array" ref="N117">LOOKUP(2,1/($G$8:$G$16&lt;=$V117)/($H$8:$H$16&gt;=$V117),$F$8:$F$16)</f>
        <v>FY19</v>
      </c>
      <c r="O117" s="5" t="str">
        <f>IFERROR(N117&amp;"-"&amp;COUNTIF($N$19:N117,N117),NA())</f>
        <v>FY19-35</v>
      </c>
      <c r="P117" s="5">
        <f>COUNTIF(V$19:V117,"&gt;="&amp;MAX($V:$V)-183)</f>
        <v>0</v>
      </c>
      <c r="Q117" s="5">
        <f>COUNTIF(V$19:V117,"&gt;="&amp;MAX($V:$V)-365)</f>
        <v>0</v>
      </c>
      <c r="R117" s="5" cm="1">
        <f t="array" ref="R117">LOOKUP(2,1/($G$46:$G$50&lt;=$V117)/($H$46:$H$50&gt;=$V117),$F$46:$F$50)</f>
        <v>0</v>
      </c>
      <c r="S117" s="5" cm="1">
        <f t="array" ref="S117">LOOKUP(2,1/($G$53:$G$56&lt;=$V117)/($H$53:$H$56&gt;=$V117),$F$53:$F$56)</f>
        <v>0</v>
      </c>
      <c r="T117" s="5" t="e">
        <f>IFERROR(IF($R117&gt;0,$R117&amp;"-"&amp;COUNTIF($R$19:$R117,$R117),NA()),NA())</f>
        <v>#N/A</v>
      </c>
      <c r="U117" s="5" t="e">
        <f>IFERROR(IF($S117&gt;0,$S117&amp;"-"&amp;COUNTIF($S$19:$S117,$S117),NA()),NA())</f>
        <v>#N/A</v>
      </c>
      <c r="V117" s="10">
        <v>43524</v>
      </c>
      <c r="W117" s="101">
        <v>44982119.438084036</v>
      </c>
      <c r="X117" s="101">
        <v>54082002.200408444</v>
      </c>
      <c r="Y117" s="102">
        <v>40000000</v>
      </c>
      <c r="AP117" s="12"/>
      <c r="AQ117" s="12"/>
      <c r="AR117" s="109"/>
      <c r="AS117" s="109"/>
      <c r="BM117" s="12"/>
      <c r="BN117" s="12"/>
      <c r="BO117" s="109"/>
      <c r="BP117" s="109"/>
      <c r="CG117" s="106" t="s">
        <v>3</v>
      </c>
      <c r="EB117" s="12"/>
      <c r="EC117" s="12"/>
      <c r="ED117" s="109"/>
      <c r="EE117" s="109"/>
      <c r="FM117" s="12"/>
      <c r="FN117" s="12"/>
      <c r="FO117" s="109"/>
      <c r="FP117" s="109"/>
      <c r="GI117" s="12"/>
      <c r="GJ117" s="12"/>
      <c r="GK117" s="109"/>
      <c r="GL117" s="109"/>
      <c r="HT117" s="12"/>
      <c r="HU117" s="12"/>
      <c r="HV117" s="109"/>
      <c r="HW117" s="109"/>
      <c r="II117" s="12"/>
      <c r="IJ117" s="12"/>
      <c r="IK117" s="109"/>
      <c r="IL117" s="109"/>
      <c r="IP117" s="12" t="str">
        <f t="shared" ref="IP117:IQ121" si="292">IF(OR(ISBLANK(IA53),$ID53&gt;=$IQ$66),NA(),IA53)</f>
        <v>FY23</v>
      </c>
      <c r="IQ117" s="12">
        <f t="shared" si="292"/>
        <v>45085</v>
      </c>
      <c r="IR117" s="109">
        <f t="shared" ref="IR117:IS121" si="293">IF(OR(ISBLANK(IC53),$ID53&gt;=$IQ$66),NA(),IC53/1000000)</f>
        <v>56.400732701318518</v>
      </c>
      <c r="IS117" s="109">
        <f t="shared" si="293"/>
        <v>40</v>
      </c>
      <c r="IW117" s="16" t="s">
        <v>169</v>
      </c>
      <c r="IX117" s="12">
        <v>44798</v>
      </c>
      <c r="IY117" s="103">
        <v>25454583.399209488</v>
      </c>
      <c r="IZ117" s="104">
        <v>8000000</v>
      </c>
      <c r="JE117" s="12" t="str">
        <f t="shared" si="271"/>
        <v>Since FY21</v>
      </c>
      <c r="JF117" s="12">
        <f t="shared" si="269"/>
        <v>44364</v>
      </c>
      <c r="JG117" s="109">
        <f t="shared" si="291"/>
        <v>36.861438491942835</v>
      </c>
      <c r="JH117" s="109">
        <f t="shared" si="291"/>
        <v>20</v>
      </c>
      <c r="JI117" s="109"/>
      <c r="JJ117" s="40"/>
      <c r="JN117" s="12" t="str">
        <f t="shared" ref="JN117:JO132" si="294">IF(OR(ISBLANK(IW53),$IZ53&gt;=$JO$66),NA(),IW53)</f>
        <v>Since FY21</v>
      </c>
      <c r="JO117" s="12">
        <f t="shared" si="294"/>
        <v>44350</v>
      </c>
      <c r="JP117" s="109">
        <f t="shared" ref="JP117:JQ132" si="295">IF(OR(ISBLANK(IY53),$IZ53&gt;=$JO$66),NA(),IY53)/1000000</f>
        <v>17.730661964122834</v>
      </c>
      <c r="JQ117" s="109">
        <f t="shared" si="295"/>
        <v>3</v>
      </c>
      <c r="JR117" s="109" t="e">
        <f t="shared" ref="JR117:JS132" si="296">IF(OR(ISBLANK(IY53),$IZ53&lt;$JR$66),NA(),IY53)/1000000</f>
        <v>#N/A</v>
      </c>
      <c r="JS117" s="109" t="e">
        <f t="shared" si="296"/>
        <v>#N/A</v>
      </c>
      <c r="JT117" s="40" t="e">
        <f>NA()</f>
        <v>#N/A</v>
      </c>
      <c r="JU117" s="40" t="e">
        <f>NA()</f>
        <v>#N/A</v>
      </c>
    </row>
    <row r="118" spans="13:391" x14ac:dyDescent="0.25">
      <c r="M118" s="5" t="str" cm="1">
        <f t="array" ref="M118">LOOKUP(2,1/($G$19:$G$35&lt;=$V118)/($H$19:$H$35&gt;=$V118),$F$19:$F$35)</f>
        <v>2H19</v>
      </c>
      <c r="N118" s="5" t="str" cm="1">
        <f t="array" ref="N118">LOOKUP(2,1/($G$8:$G$16&lt;=$V118)/($H$8:$H$16&gt;=$V118),$F$8:$F$16)</f>
        <v>FY19</v>
      </c>
      <c r="O118" s="5" t="str">
        <f>IFERROR(N118&amp;"-"&amp;COUNTIF($N$19:N118,N118),NA())</f>
        <v>FY19-36</v>
      </c>
      <c r="P118" s="5">
        <f>COUNTIF(V$19:V118,"&gt;="&amp;MAX($V:$V)-183)</f>
        <v>0</v>
      </c>
      <c r="Q118" s="5">
        <f>COUNTIF(V$19:V118,"&gt;="&amp;MAX($V:$V)-365)</f>
        <v>0</v>
      </c>
      <c r="R118" s="5" cm="1">
        <f t="array" ref="R118">LOOKUP(2,1/($G$46:$G$50&lt;=$V118)/($H$46:$H$50&gt;=$V118),$F$46:$F$50)</f>
        <v>0</v>
      </c>
      <c r="S118" s="5" cm="1">
        <f t="array" ref="S118">LOOKUP(2,1/($G$53:$G$56&lt;=$V118)/($H$53:$H$56&gt;=$V118),$F$53:$F$56)</f>
        <v>0</v>
      </c>
      <c r="T118" s="5" t="e">
        <f>IFERROR(IF($R118&gt;0,$R118&amp;"-"&amp;COUNTIF($R$19:$R118,$R118),NA()),NA())</f>
        <v>#N/A</v>
      </c>
      <c r="U118" s="5" t="e">
        <f>IFERROR(IF($S118&gt;0,$S118&amp;"-"&amp;COUNTIF($S$19:$S118,$S118),NA()),NA())</f>
        <v>#N/A</v>
      </c>
      <c r="V118" s="10">
        <v>43531</v>
      </c>
      <c r="W118" s="101">
        <v>13444204.963178415</v>
      </c>
      <c r="X118" s="101">
        <v>16163967.627229409</v>
      </c>
      <c r="Y118" s="102">
        <v>3000000</v>
      </c>
      <c r="AP118" s="12"/>
      <c r="AQ118" s="12"/>
      <c r="AR118" s="109"/>
      <c r="AS118" s="109"/>
      <c r="BM118" s="12"/>
      <c r="BN118" s="12"/>
      <c r="BO118" s="109"/>
      <c r="BP118" s="109"/>
      <c r="CG118" s="106"/>
      <c r="EB118" s="12"/>
      <c r="EC118" s="12"/>
      <c r="ED118" s="109"/>
      <c r="EE118" s="109"/>
      <c r="FM118" s="12"/>
      <c r="FN118" s="12"/>
      <c r="FO118" s="109"/>
      <c r="FP118" s="109"/>
      <c r="GI118" s="12"/>
      <c r="GJ118" s="12"/>
      <c r="GK118" s="109"/>
      <c r="GL118" s="109"/>
      <c r="HT118" s="12"/>
      <c r="HU118" s="12"/>
      <c r="HV118" s="109"/>
      <c r="HW118" s="109"/>
      <c r="II118" s="12"/>
      <c r="IJ118" s="12"/>
      <c r="IK118" s="109"/>
      <c r="IL118" s="109"/>
      <c r="IP118" s="12" t="str">
        <f t="shared" si="292"/>
        <v>FY23</v>
      </c>
      <c r="IQ118" s="12">
        <f t="shared" si="292"/>
        <v>45092</v>
      </c>
      <c r="IR118" s="109">
        <f t="shared" si="293"/>
        <v>87.731429334205075</v>
      </c>
      <c r="IS118" s="109">
        <f t="shared" si="293"/>
        <v>60</v>
      </c>
      <c r="IW118" s="16" t="s">
        <v>169</v>
      </c>
      <c r="IX118" s="12">
        <v>44805</v>
      </c>
      <c r="IY118" s="103">
        <v>39743730.009121314</v>
      </c>
      <c r="IZ118" s="104">
        <v>20000000</v>
      </c>
      <c r="JE118" s="12" t="str">
        <f t="shared" si="271"/>
        <v>Since FY21</v>
      </c>
      <c r="JF118" s="12">
        <f t="shared" si="269"/>
        <v>44371</v>
      </c>
      <c r="JG118" s="109">
        <f t="shared" si="291"/>
        <v>55.754455457585884</v>
      </c>
      <c r="JH118" s="109">
        <f t="shared" si="291"/>
        <v>40</v>
      </c>
      <c r="JI118" s="109"/>
      <c r="JJ118" s="40"/>
      <c r="JN118" s="12" t="str">
        <f t="shared" si="294"/>
        <v>Since FY21</v>
      </c>
      <c r="JO118" s="12">
        <f t="shared" si="294"/>
        <v>44357</v>
      </c>
      <c r="JP118" s="109">
        <f t="shared" si="295"/>
        <v>23.443848707813927</v>
      </c>
      <c r="JQ118" s="109">
        <f t="shared" si="295"/>
        <v>8</v>
      </c>
      <c r="JR118" s="109" t="e">
        <f t="shared" si="296"/>
        <v>#N/A</v>
      </c>
      <c r="JS118" s="109" t="e">
        <f t="shared" si="296"/>
        <v>#N/A</v>
      </c>
      <c r="JT118" s="40" t="e">
        <f>NA()</f>
        <v>#N/A</v>
      </c>
      <c r="JU118" s="40" t="e">
        <f>NA()</f>
        <v>#N/A</v>
      </c>
    </row>
    <row r="119" spans="13:391" x14ac:dyDescent="0.25">
      <c r="M119" s="5" t="str" cm="1">
        <f t="array" ref="M119">LOOKUP(2,1/($G$19:$G$35&lt;=$V119)/($H$19:$H$35&gt;=$V119),$F$19:$F$35)</f>
        <v>2H19</v>
      </c>
      <c r="N119" s="5" t="str" cm="1">
        <f t="array" ref="N119">LOOKUP(2,1/($G$8:$G$16&lt;=$V119)/($H$8:$H$16&gt;=$V119),$F$8:$F$16)</f>
        <v>FY19</v>
      </c>
      <c r="O119" s="5" t="str">
        <f>IFERROR(N119&amp;"-"&amp;COUNTIF($N$19:N119,N119),NA())</f>
        <v>FY19-37</v>
      </c>
      <c r="P119" s="5">
        <f>COUNTIF(V$19:V119,"&gt;="&amp;MAX($V:$V)-183)</f>
        <v>0</v>
      </c>
      <c r="Q119" s="5">
        <f>COUNTIF(V$19:V119,"&gt;="&amp;MAX($V:$V)-365)</f>
        <v>0</v>
      </c>
      <c r="R119" s="5" cm="1">
        <f t="array" ref="R119">LOOKUP(2,1/($G$46:$G$50&lt;=$V119)/($H$46:$H$50&gt;=$V119),$F$46:$F$50)</f>
        <v>0</v>
      </c>
      <c r="S119" s="5" cm="1">
        <f t="array" ref="S119">LOOKUP(2,1/($G$53:$G$56&lt;=$V119)/($H$53:$H$56&gt;=$V119),$F$53:$F$56)</f>
        <v>0</v>
      </c>
      <c r="T119" s="5" t="e">
        <f>IFERROR(IF($R119&gt;0,$R119&amp;"-"&amp;COUNTIF($R$19:$R119,$R119),NA()),NA())</f>
        <v>#N/A</v>
      </c>
      <c r="U119" s="5" t="e">
        <f>IFERROR(IF($S119&gt;0,$S119&amp;"-"&amp;COUNTIF($S$19:$S119,$S119),NA()),NA())</f>
        <v>#N/A</v>
      </c>
      <c r="V119" s="10">
        <v>43538</v>
      </c>
      <c r="W119" s="101">
        <v>16484335.664335664</v>
      </c>
      <c r="X119" s="101">
        <v>19819116.769230772</v>
      </c>
      <c r="Y119" s="102">
        <v>8000000</v>
      </c>
      <c r="CG119" s="106" t="s">
        <v>2</v>
      </c>
      <c r="II119" s="12"/>
      <c r="IJ119" s="12"/>
      <c r="IK119" s="109"/>
      <c r="IL119" s="109"/>
      <c r="IP119" s="12" t="e">
        <f t="shared" si="292"/>
        <v>#N/A</v>
      </c>
      <c r="IQ119" s="12" t="e">
        <f t="shared" si="292"/>
        <v>#N/A</v>
      </c>
      <c r="IR119" s="109" t="e">
        <f t="shared" si="293"/>
        <v>#N/A</v>
      </c>
      <c r="IS119" s="109" t="e">
        <f t="shared" si="293"/>
        <v>#N/A</v>
      </c>
      <c r="IW119" s="16" t="s">
        <v>169</v>
      </c>
      <c r="IX119" s="12">
        <v>44812</v>
      </c>
      <c r="IY119" s="103">
        <v>61420572.818485856</v>
      </c>
      <c r="IZ119" s="104">
        <v>40000000</v>
      </c>
      <c r="JE119" s="12" t="str">
        <f t="shared" si="271"/>
        <v>Since FY21</v>
      </c>
      <c r="JF119" s="12">
        <f t="shared" si="269"/>
        <v>44378</v>
      </c>
      <c r="JG119" s="109">
        <f t="shared" si="291"/>
        <v>77.623219458802055</v>
      </c>
      <c r="JH119" s="109">
        <f t="shared" si="291"/>
        <v>60</v>
      </c>
      <c r="JI119" s="109"/>
      <c r="JJ119" s="40"/>
      <c r="JN119" s="12" t="str">
        <f t="shared" si="294"/>
        <v>Since FY21</v>
      </c>
      <c r="JO119" s="12">
        <f t="shared" si="294"/>
        <v>44364</v>
      </c>
      <c r="JP119" s="109">
        <f t="shared" si="295"/>
        <v>36.861438491942835</v>
      </c>
      <c r="JQ119" s="109">
        <f t="shared" si="295"/>
        <v>20</v>
      </c>
      <c r="JR119" s="109" t="e">
        <f t="shared" si="296"/>
        <v>#N/A</v>
      </c>
      <c r="JS119" s="109" t="e">
        <f t="shared" si="296"/>
        <v>#N/A</v>
      </c>
      <c r="JT119" s="40" t="e">
        <f>NA()</f>
        <v>#N/A</v>
      </c>
      <c r="JU119" s="40" t="e">
        <f>NA()</f>
        <v>#N/A</v>
      </c>
    </row>
    <row r="120" spans="13:391" x14ac:dyDescent="0.25">
      <c r="M120" s="5" t="str" cm="1">
        <f t="array" ref="M120">LOOKUP(2,1/($G$19:$G$35&lt;=$V120)/($H$19:$H$35&gt;=$V120),$F$19:$F$35)</f>
        <v>2H19</v>
      </c>
      <c r="N120" s="5" t="str" cm="1">
        <f t="array" ref="N120">LOOKUP(2,1/($G$8:$G$16&lt;=$V120)/($H$8:$H$16&gt;=$V120),$F$8:$F$16)</f>
        <v>FY19</v>
      </c>
      <c r="O120" s="5" t="str">
        <f>IFERROR(N120&amp;"-"&amp;COUNTIF($N$19:N120,N120),NA())</f>
        <v>FY19-38</v>
      </c>
      <c r="P120" s="5">
        <f>COUNTIF(V$19:V120,"&gt;="&amp;MAX($V:$V)-183)</f>
        <v>0</v>
      </c>
      <c r="Q120" s="5">
        <f>COUNTIF(V$19:V120,"&gt;="&amp;MAX($V:$V)-365)</f>
        <v>0</v>
      </c>
      <c r="R120" s="5" cm="1">
        <f t="array" ref="R120">LOOKUP(2,1/($G$46:$G$50&lt;=$V120)/($H$46:$H$50&gt;=$V120),$F$46:$F$50)</f>
        <v>0</v>
      </c>
      <c r="S120" s="5" cm="1">
        <f t="array" ref="S120">LOOKUP(2,1/($G$53:$G$56&lt;=$V120)/($H$53:$H$56&gt;=$V120),$F$53:$F$56)</f>
        <v>0</v>
      </c>
      <c r="T120" s="5" t="e">
        <f>IFERROR(IF($R120&gt;0,$R120&amp;"-"&amp;COUNTIF($R$19:$R120,$R120),NA()),NA())</f>
        <v>#N/A</v>
      </c>
      <c r="U120" s="5" t="e">
        <f>IFERROR(IF($S120&gt;0,$S120&amp;"-"&amp;COUNTIF($S$19:$S120,$S120),NA()),NA())</f>
        <v>#N/A</v>
      </c>
      <c r="V120" s="10">
        <v>43545</v>
      </c>
      <c r="W120" s="101">
        <v>20282530.107061081</v>
      </c>
      <c r="X120" s="101">
        <v>24385685.94771954</v>
      </c>
      <c r="Y120" s="102">
        <v>12000000</v>
      </c>
      <c r="CG120" s="106" t="s">
        <v>1</v>
      </c>
      <c r="II120" s="12"/>
      <c r="IJ120" s="12"/>
      <c r="IK120" s="109"/>
      <c r="IL120" s="109"/>
      <c r="IP120" s="12" t="str">
        <f t="shared" si="292"/>
        <v>FY23</v>
      </c>
      <c r="IQ120" s="12">
        <f t="shared" si="292"/>
        <v>45106</v>
      </c>
      <c r="IR120" s="109">
        <f t="shared" si="293"/>
        <v>19.52442312302496</v>
      </c>
      <c r="IS120" s="109">
        <f t="shared" si="293"/>
        <v>4</v>
      </c>
      <c r="IW120" s="16" t="s">
        <v>169</v>
      </c>
      <c r="IX120" s="12">
        <v>44819</v>
      </c>
      <c r="IY120" s="103">
        <v>25008818.485861961</v>
      </c>
      <c r="IZ120" s="104">
        <v>8000000</v>
      </c>
      <c r="JE120" s="12" t="str">
        <f t="shared" si="271"/>
        <v>Since FY21</v>
      </c>
      <c r="JF120" s="12">
        <f t="shared" si="269"/>
        <v>44385</v>
      </c>
      <c r="JG120" s="109">
        <f t="shared" si="291"/>
        <v>18.162558102766802</v>
      </c>
      <c r="JH120" s="109">
        <f t="shared" si="291"/>
        <v>3</v>
      </c>
      <c r="JI120" s="109"/>
      <c r="JJ120" s="40"/>
      <c r="JN120" s="12" t="str">
        <f t="shared" si="294"/>
        <v>Since FY21</v>
      </c>
      <c r="JO120" s="12">
        <f t="shared" si="294"/>
        <v>44371</v>
      </c>
      <c r="JP120" s="109">
        <f t="shared" si="295"/>
        <v>55.754455457585884</v>
      </c>
      <c r="JQ120" s="109">
        <f t="shared" si="295"/>
        <v>40</v>
      </c>
      <c r="JR120" s="109" t="e">
        <f t="shared" si="296"/>
        <v>#N/A</v>
      </c>
      <c r="JS120" s="109" t="e">
        <f t="shared" si="296"/>
        <v>#N/A</v>
      </c>
      <c r="JT120" s="40" t="e">
        <f>NA()</f>
        <v>#N/A</v>
      </c>
      <c r="JU120" s="40" t="e">
        <f>NA()</f>
        <v>#N/A</v>
      </c>
    </row>
    <row r="121" spans="13:391" x14ac:dyDescent="0.25">
      <c r="M121" s="5" t="str" cm="1">
        <f t="array" ref="M121">LOOKUP(2,1/($G$19:$G$35&lt;=$V121)/($H$19:$H$35&gt;=$V121),$F$19:$F$35)</f>
        <v>2H19</v>
      </c>
      <c r="N121" s="5" t="str" cm="1">
        <f t="array" ref="N121">LOOKUP(2,1/($G$8:$G$16&lt;=$V121)/($H$8:$H$16&gt;=$V121),$F$8:$F$16)</f>
        <v>FY19</v>
      </c>
      <c r="O121" s="5" t="str">
        <f>IFERROR(N121&amp;"-"&amp;COUNTIF($N$19:N121,N121),NA())</f>
        <v>FY19-39</v>
      </c>
      <c r="P121" s="5">
        <f>COUNTIF(V$19:V121,"&gt;="&amp;MAX($V:$V)-183)</f>
        <v>0</v>
      </c>
      <c r="Q121" s="5">
        <f>COUNTIF(V$19:V121,"&gt;="&amp;MAX($V:$V)-365)</f>
        <v>0</v>
      </c>
      <c r="R121" s="5" cm="1">
        <f t="array" ref="R121">LOOKUP(2,1/($G$46:$G$50&lt;=$V121)/($H$46:$H$50&gt;=$V121),$F$46:$F$50)</f>
        <v>0</v>
      </c>
      <c r="S121" s="5" cm="1">
        <f t="array" ref="S121">LOOKUP(2,1/($G$53:$G$56&lt;=$V121)/($H$53:$H$56&gt;=$V121),$F$53:$F$56)</f>
        <v>0</v>
      </c>
      <c r="T121" s="5" t="e">
        <f>IFERROR(IF($R121&gt;0,$R121&amp;"-"&amp;COUNTIF($R$19:$R121,$R121),NA()),NA())</f>
        <v>#N/A</v>
      </c>
      <c r="U121" s="5" t="e">
        <f>IFERROR(IF($S121&gt;0,$S121&amp;"-"&amp;COUNTIF($S$19:$S121,$S121),NA()),NA())</f>
        <v>#N/A</v>
      </c>
      <c r="V121" s="10">
        <v>43552</v>
      </c>
      <c r="W121" s="101">
        <v>26225644.9037688</v>
      </c>
      <c r="X121" s="101">
        <v>31531092.867801234</v>
      </c>
      <c r="Y121" s="102">
        <v>20000000</v>
      </c>
      <c r="CG121" s="106" t="s">
        <v>0</v>
      </c>
      <c r="II121" s="12"/>
      <c r="IJ121" s="12"/>
      <c r="IK121" s="109"/>
      <c r="IL121" s="109"/>
      <c r="IP121" s="12" t="e">
        <f t="shared" si="292"/>
        <v>#N/A</v>
      </c>
      <c r="IQ121" s="12" t="e">
        <f t="shared" si="292"/>
        <v>#N/A</v>
      </c>
      <c r="IR121" s="109" t="e">
        <f t="shared" si="293"/>
        <v>#N/A</v>
      </c>
      <c r="IS121" s="109" t="e">
        <f t="shared" si="293"/>
        <v>#N/A</v>
      </c>
      <c r="IW121" s="16" t="s">
        <v>169</v>
      </c>
      <c r="IX121" s="12">
        <v>44826</v>
      </c>
      <c r="IY121" s="103">
        <v>22659829.73548191</v>
      </c>
      <c r="IZ121" s="104">
        <v>8000000</v>
      </c>
      <c r="JE121" s="12" t="str">
        <f t="shared" si="271"/>
        <v>Since FY21</v>
      </c>
      <c r="JF121" s="12">
        <f t="shared" si="269"/>
        <v>44392</v>
      </c>
      <c r="JG121" s="109">
        <f t="shared" si="291"/>
        <v>25.998846336272418</v>
      </c>
      <c r="JH121" s="109">
        <f t="shared" si="291"/>
        <v>8</v>
      </c>
      <c r="JI121" s="109"/>
      <c r="JJ121" s="40"/>
      <c r="JN121" s="12" t="str">
        <f t="shared" si="294"/>
        <v>Since FY21</v>
      </c>
      <c r="JO121" s="12">
        <f t="shared" si="294"/>
        <v>44378</v>
      </c>
      <c r="JP121" s="109">
        <f t="shared" si="295"/>
        <v>77.623219458802055</v>
      </c>
      <c r="JQ121" s="109">
        <f t="shared" si="295"/>
        <v>60</v>
      </c>
      <c r="JR121" s="109" t="e">
        <f t="shared" si="296"/>
        <v>#N/A</v>
      </c>
      <c r="JS121" s="109" t="e">
        <f t="shared" si="296"/>
        <v>#N/A</v>
      </c>
      <c r="JT121" s="40" t="e">
        <f>NA()</f>
        <v>#N/A</v>
      </c>
      <c r="JU121" s="40" t="e">
        <f>NA()</f>
        <v>#N/A</v>
      </c>
    </row>
    <row r="122" spans="13:391" x14ac:dyDescent="0.25">
      <c r="M122" s="5" t="str" cm="1">
        <f t="array" ref="M122">LOOKUP(2,1/($G$19:$G$35&lt;=$V122)/($H$19:$H$35&gt;=$V122),$F$19:$F$35)</f>
        <v>2H19</v>
      </c>
      <c r="N122" s="5" t="str" cm="1">
        <f t="array" ref="N122">LOOKUP(2,1/($G$8:$G$16&lt;=$V122)/($H$8:$H$16&gt;=$V122),$F$8:$F$16)</f>
        <v>FY19</v>
      </c>
      <c r="O122" s="5" t="str">
        <f>IFERROR(N122&amp;"-"&amp;COUNTIF($N$19:N122,N122),NA())</f>
        <v>FY19-40</v>
      </c>
      <c r="P122" s="5">
        <f>COUNTIF(V$19:V122,"&gt;="&amp;MAX($V:$V)-183)</f>
        <v>0</v>
      </c>
      <c r="Q122" s="5">
        <f>COUNTIF(V$19:V122,"&gt;="&amp;MAX($V:$V)-365)</f>
        <v>0</v>
      </c>
      <c r="R122" s="5" cm="1">
        <f t="array" ref="R122">LOOKUP(2,1/($G$46:$G$50&lt;=$V122)/($H$46:$H$50&gt;=$V122),$F$46:$F$50)</f>
        <v>0</v>
      </c>
      <c r="S122" s="5" cm="1">
        <f t="array" ref="S122">LOOKUP(2,1/($G$53:$G$56&lt;=$V122)/($H$53:$H$56&gt;=$V122),$F$53:$F$56)</f>
        <v>0</v>
      </c>
      <c r="T122" s="5" t="e">
        <f>IFERROR(IF($R122&gt;0,$R122&amp;"-"&amp;COUNTIF($R$19:$R122,$R122),NA()),NA())</f>
        <v>#N/A</v>
      </c>
      <c r="U122" s="5" t="e">
        <f>IFERROR(IF($S122&gt;0,$S122&amp;"-"&amp;COUNTIF($S$19:$S122,$S122),NA()),NA())</f>
        <v>#N/A</v>
      </c>
      <c r="V122" s="10">
        <v>43559</v>
      </c>
      <c r="W122" s="101">
        <v>13585177.795655672</v>
      </c>
      <c r="X122" s="101">
        <v>16333459.263716815</v>
      </c>
      <c r="Y122" s="102">
        <v>3000000</v>
      </c>
      <c r="II122" s="12"/>
      <c r="IJ122" s="12"/>
      <c r="IK122" s="109"/>
      <c r="IL122" s="109"/>
      <c r="IP122" s="12"/>
      <c r="IQ122" s="12"/>
      <c r="IR122" s="109"/>
      <c r="IS122" s="109"/>
      <c r="IW122" s="16" t="s">
        <v>169</v>
      </c>
      <c r="IX122" s="12">
        <v>44833</v>
      </c>
      <c r="IY122" s="103">
        <v>35905405.655214347</v>
      </c>
      <c r="IZ122" s="104">
        <v>20000000</v>
      </c>
      <c r="JE122" s="12" t="str">
        <f t="shared" si="271"/>
        <v>Since FY21</v>
      </c>
      <c r="JF122" s="12">
        <f t="shared" si="269"/>
        <v>44399</v>
      </c>
      <c r="JG122" s="109">
        <f t="shared" si="291"/>
        <v>41.039352751596226</v>
      </c>
      <c r="JH122" s="109">
        <f t="shared" si="291"/>
        <v>20</v>
      </c>
      <c r="JI122" s="109"/>
      <c r="JJ122" s="40"/>
      <c r="JN122" s="12" t="str">
        <f t="shared" si="294"/>
        <v>Since FY21</v>
      </c>
      <c r="JO122" s="12">
        <f t="shared" si="294"/>
        <v>44385</v>
      </c>
      <c r="JP122" s="109">
        <f t="shared" si="295"/>
        <v>18.162558102766802</v>
      </c>
      <c r="JQ122" s="109">
        <f t="shared" si="295"/>
        <v>3</v>
      </c>
      <c r="JR122" s="109" t="e">
        <f t="shared" si="296"/>
        <v>#N/A</v>
      </c>
      <c r="JS122" s="109" t="e">
        <f t="shared" si="296"/>
        <v>#N/A</v>
      </c>
      <c r="JT122" s="40" t="e">
        <f>NA()</f>
        <v>#N/A</v>
      </c>
      <c r="JU122" s="40" t="e">
        <f>NA()</f>
        <v>#N/A</v>
      </c>
    </row>
    <row r="123" spans="13:391" x14ac:dyDescent="0.25">
      <c r="M123" s="5" t="str" cm="1">
        <f t="array" ref="M123">LOOKUP(2,1/($G$19:$G$35&lt;=$V123)/($H$19:$H$35&gt;=$V123),$F$19:$F$35)</f>
        <v>2H19</v>
      </c>
      <c r="N123" s="5" t="str" cm="1">
        <f t="array" ref="N123">LOOKUP(2,1/($G$8:$G$16&lt;=$V123)/($H$8:$H$16&gt;=$V123),$F$8:$F$16)</f>
        <v>FY19</v>
      </c>
      <c r="O123" s="5" t="str">
        <f>IFERROR(N123&amp;"-"&amp;COUNTIF($N$19:N123,N123),NA())</f>
        <v>FY19-41</v>
      </c>
      <c r="P123" s="5">
        <f>COUNTIF(V$19:V123,"&gt;="&amp;MAX($V:$V)-183)</f>
        <v>0</v>
      </c>
      <c r="Q123" s="5">
        <f>COUNTIF(V$19:V123,"&gt;="&amp;MAX($V:$V)-365)</f>
        <v>0</v>
      </c>
      <c r="R123" s="5" cm="1">
        <f t="array" ref="R123">LOOKUP(2,1/($G$46:$G$50&lt;=$V123)/($H$46:$H$50&gt;=$V123),$F$46:$F$50)</f>
        <v>0</v>
      </c>
      <c r="S123" s="5" cm="1">
        <f t="array" ref="S123">LOOKUP(2,1/($G$53:$G$56&lt;=$V123)/($H$53:$H$56&gt;=$V123),$F$53:$F$56)</f>
        <v>0</v>
      </c>
      <c r="T123" s="5" t="e">
        <f>IFERROR(IF($R123&gt;0,$R123&amp;"-"&amp;COUNTIF($R$19:$R123,$R123),NA()),NA())</f>
        <v>#N/A</v>
      </c>
      <c r="U123" s="5" t="e">
        <f>IFERROR(IF($S123&gt;0,$S123&amp;"-"&amp;COUNTIF($S$19:$S123,$S123),NA()),NA())</f>
        <v>#N/A</v>
      </c>
      <c r="V123" s="10">
        <v>43566</v>
      </c>
      <c r="W123" s="101">
        <v>17744063.617798131</v>
      </c>
      <c r="X123" s="101">
        <v>21333687.687678695</v>
      </c>
      <c r="Y123" s="102">
        <v>8000000</v>
      </c>
      <c r="II123" s="12"/>
      <c r="IJ123" s="12"/>
      <c r="IK123" s="109"/>
      <c r="IL123" s="109"/>
      <c r="IP123" s="12"/>
      <c r="IQ123" s="12"/>
      <c r="IR123" s="109"/>
      <c r="IS123" s="109"/>
      <c r="IW123" s="16" t="s">
        <v>169</v>
      </c>
      <c r="IX123" s="12">
        <v>44840</v>
      </c>
      <c r="IY123" s="103">
        <v>47423181.270902999</v>
      </c>
      <c r="IZ123" s="104">
        <v>30000000</v>
      </c>
      <c r="JE123" s="12" t="str">
        <f t="shared" si="271"/>
        <v>Since FY21</v>
      </c>
      <c r="JF123" s="12">
        <f t="shared" si="269"/>
        <v>44406</v>
      </c>
      <c r="JG123" s="109">
        <f t="shared" si="291"/>
        <v>57.263651200972937</v>
      </c>
      <c r="JH123" s="109">
        <f t="shared" si="291"/>
        <v>40</v>
      </c>
      <c r="JI123" s="109"/>
      <c r="JJ123" s="40"/>
      <c r="JN123" s="12" t="str">
        <f t="shared" si="294"/>
        <v>Since FY21</v>
      </c>
      <c r="JO123" s="12">
        <f t="shared" si="294"/>
        <v>44392</v>
      </c>
      <c r="JP123" s="109">
        <f t="shared" si="295"/>
        <v>25.998846336272418</v>
      </c>
      <c r="JQ123" s="109">
        <f t="shared" si="295"/>
        <v>8</v>
      </c>
      <c r="JR123" s="109" t="e">
        <f t="shared" si="296"/>
        <v>#N/A</v>
      </c>
      <c r="JS123" s="109" t="e">
        <f t="shared" si="296"/>
        <v>#N/A</v>
      </c>
      <c r="JT123" s="40" t="e">
        <f>NA()</f>
        <v>#N/A</v>
      </c>
      <c r="JU123" s="40" t="e">
        <f>NA()</f>
        <v>#N/A</v>
      </c>
    </row>
    <row r="124" spans="13:391" x14ac:dyDescent="0.25">
      <c r="M124" s="5" t="str" cm="1">
        <f t="array" ref="M124">LOOKUP(2,1/($G$19:$G$35&lt;=$V124)/($H$19:$H$35&gt;=$V124),$F$19:$F$35)</f>
        <v>2H19</v>
      </c>
      <c r="N124" s="5" t="str" cm="1">
        <f t="array" ref="N124">LOOKUP(2,1/($G$8:$G$16&lt;=$V124)/($H$8:$H$16&gt;=$V124),$F$8:$F$16)</f>
        <v>FY19</v>
      </c>
      <c r="O124" s="5" t="str">
        <f>IFERROR(N124&amp;"-"&amp;COUNTIF($N$19:N124,N124),NA())</f>
        <v>FY19-42</v>
      </c>
      <c r="P124" s="5">
        <f>COUNTIF(V$19:V124,"&gt;="&amp;MAX($V:$V)-183)</f>
        <v>0</v>
      </c>
      <c r="Q124" s="5">
        <f>COUNTIF(V$19:V124,"&gt;="&amp;MAX($V:$V)-365)</f>
        <v>0</v>
      </c>
      <c r="R124" s="5" cm="1">
        <f t="array" ref="R124">LOOKUP(2,1/($G$46:$G$50&lt;=$V124)/($H$46:$H$50&gt;=$V124),$F$46:$F$50)</f>
        <v>0</v>
      </c>
      <c r="S124" s="5" cm="1">
        <f t="array" ref="S124">LOOKUP(2,1/($G$53:$G$56&lt;=$V124)/($H$53:$H$56&gt;=$V124),$F$53:$F$56)</f>
        <v>0</v>
      </c>
      <c r="T124" s="5" t="e">
        <f>IFERROR(IF($R124&gt;0,$R124&amp;"-"&amp;COUNTIF($R$19:$R124,$R124),NA()),NA())</f>
        <v>#N/A</v>
      </c>
      <c r="U124" s="5" t="e">
        <f>IFERROR(IF($S124&gt;0,$S124&amp;"-"&amp;COUNTIF($S$19:$S124,$S124),NA()),NA())</f>
        <v>#N/A</v>
      </c>
      <c r="V124" s="10">
        <v>43573</v>
      </c>
      <c r="W124" s="101">
        <v>22274509.066155083</v>
      </c>
      <c r="X124" s="101">
        <v>26780642.250238258</v>
      </c>
      <c r="Y124" s="102">
        <v>12000000</v>
      </c>
      <c r="II124" s="12"/>
      <c r="IJ124" s="12"/>
      <c r="IK124" s="109"/>
      <c r="IL124" s="109"/>
      <c r="IP124" s="12"/>
      <c r="IQ124" s="12"/>
      <c r="IR124" s="109"/>
      <c r="IS124" s="109"/>
      <c r="IW124" s="16" t="s">
        <v>169</v>
      </c>
      <c r="IX124" s="12">
        <v>44847</v>
      </c>
      <c r="IY124" s="103">
        <v>77692655.761629671</v>
      </c>
      <c r="IZ124" s="104">
        <v>50000000</v>
      </c>
      <c r="JE124" s="12" t="str">
        <f t="shared" si="271"/>
        <v>Since FY21</v>
      </c>
      <c r="JF124" s="12">
        <f t="shared" si="269"/>
        <v>44413</v>
      </c>
      <c r="JG124" s="109">
        <f t="shared" si="291"/>
        <v>80.09238577075098</v>
      </c>
      <c r="JH124" s="109">
        <f t="shared" si="291"/>
        <v>60</v>
      </c>
      <c r="JI124" s="109"/>
      <c r="JJ124" s="40"/>
      <c r="JN124" s="12" t="str">
        <f t="shared" si="294"/>
        <v>Since FY21</v>
      </c>
      <c r="JO124" s="12">
        <f t="shared" si="294"/>
        <v>44399</v>
      </c>
      <c r="JP124" s="109">
        <f t="shared" si="295"/>
        <v>41.039352751596226</v>
      </c>
      <c r="JQ124" s="109">
        <f t="shared" si="295"/>
        <v>20</v>
      </c>
      <c r="JR124" s="109" t="e">
        <f t="shared" si="296"/>
        <v>#N/A</v>
      </c>
      <c r="JS124" s="109" t="e">
        <f t="shared" si="296"/>
        <v>#N/A</v>
      </c>
      <c r="JT124" s="40" t="e">
        <f>NA()</f>
        <v>#N/A</v>
      </c>
      <c r="JU124" s="40" t="e">
        <f>NA()</f>
        <v>#N/A</v>
      </c>
    </row>
    <row r="125" spans="13:391" x14ac:dyDescent="0.25">
      <c r="M125" s="5" t="str" cm="1">
        <f t="array" ref="M125">LOOKUP(2,1/($G$19:$G$35&lt;=$V125)/($H$19:$H$35&gt;=$V125),$F$19:$F$35)</f>
        <v>2H19</v>
      </c>
      <c r="N125" s="5" t="str" cm="1">
        <f t="array" ref="N125">LOOKUP(2,1/($G$8:$G$16&lt;=$V125)/($H$8:$H$16&gt;=$V125),$F$8:$F$16)</f>
        <v>FY19</v>
      </c>
      <c r="O125" s="5" t="str">
        <f>IFERROR(N125&amp;"-"&amp;COUNTIF($N$19:N125,N125),NA())</f>
        <v>FY19-43</v>
      </c>
      <c r="P125" s="5">
        <f>COUNTIF(V$19:V125,"&gt;="&amp;MAX($V:$V)-183)</f>
        <v>0</v>
      </c>
      <c r="Q125" s="5">
        <f>COUNTIF(V$19:V125,"&gt;="&amp;MAX($V:$V)-365)</f>
        <v>0</v>
      </c>
      <c r="R125" s="5" cm="1">
        <f t="array" ref="R125">LOOKUP(2,1/($G$46:$G$50&lt;=$V125)/($H$46:$H$50&gt;=$V125),$F$46:$F$50)</f>
        <v>0</v>
      </c>
      <c r="S125" s="5" cm="1">
        <f t="array" ref="S125">LOOKUP(2,1/($G$53:$G$56&lt;=$V125)/($H$53:$H$56&gt;=$V125),$F$53:$F$56)</f>
        <v>0</v>
      </c>
      <c r="T125" s="5" t="e">
        <f>IFERROR(IF($R125&gt;0,$R125&amp;"-"&amp;COUNTIF($R$19:$R125,$R125),NA()),NA())</f>
        <v>#N/A</v>
      </c>
      <c r="U125" s="5" t="e">
        <f>IFERROR(IF($S125&gt;0,$S125&amp;"-"&amp;COUNTIF($S$19:$S125,$S125),NA()),NA())</f>
        <v>#N/A</v>
      </c>
      <c r="V125" s="10">
        <v>43580</v>
      </c>
      <c r="W125" s="101">
        <v>22688576.025744166</v>
      </c>
      <c r="X125" s="101">
        <v>27278474.955752213</v>
      </c>
      <c r="Y125" s="102">
        <v>20000000</v>
      </c>
      <c r="II125" s="12"/>
      <c r="IJ125" s="12"/>
      <c r="IK125" s="109"/>
      <c r="IL125" s="109"/>
      <c r="IP125" s="12"/>
      <c r="IQ125" s="12"/>
      <c r="IR125" s="109"/>
      <c r="IS125" s="109"/>
      <c r="IW125" s="16" t="s">
        <v>169</v>
      </c>
      <c r="IX125" s="12">
        <v>44854</v>
      </c>
      <c r="IY125" s="103">
        <v>183084473.09212527</v>
      </c>
      <c r="IZ125" s="104">
        <v>100000000</v>
      </c>
      <c r="JE125" s="12" t="str">
        <f t="shared" si="271"/>
        <v>Since FY21</v>
      </c>
      <c r="JF125" s="12">
        <f t="shared" si="269"/>
        <v>44420</v>
      </c>
      <c r="JG125" s="109">
        <f t="shared" si="291"/>
        <v>125.40573986013986</v>
      </c>
      <c r="JH125" s="109">
        <f t="shared" si="291"/>
        <v>80</v>
      </c>
      <c r="JI125" s="109"/>
      <c r="JJ125" s="40"/>
      <c r="JN125" s="12" t="str">
        <f t="shared" si="294"/>
        <v>Since FY21</v>
      </c>
      <c r="JO125" s="12">
        <f t="shared" si="294"/>
        <v>44406</v>
      </c>
      <c r="JP125" s="109">
        <f t="shared" si="295"/>
        <v>57.263651200972937</v>
      </c>
      <c r="JQ125" s="109">
        <f t="shared" si="295"/>
        <v>40</v>
      </c>
      <c r="JR125" s="109" t="e">
        <f t="shared" si="296"/>
        <v>#N/A</v>
      </c>
      <c r="JS125" s="109" t="e">
        <f t="shared" si="296"/>
        <v>#N/A</v>
      </c>
      <c r="JT125" s="40" t="e">
        <f>NA()</f>
        <v>#N/A</v>
      </c>
      <c r="JU125" s="40" t="e">
        <f>NA()</f>
        <v>#N/A</v>
      </c>
    </row>
    <row r="126" spans="13:391" x14ac:dyDescent="0.25">
      <c r="M126" s="5" t="str" cm="1">
        <f t="array" ref="M126">LOOKUP(2,1/($G$19:$G$35&lt;=$V126)/($H$19:$H$35&gt;=$V126),$F$19:$F$35)</f>
        <v>2H19</v>
      </c>
      <c r="N126" s="5" t="str" cm="1">
        <f t="array" ref="N126">LOOKUP(2,1/($G$8:$G$16&lt;=$V126)/($H$8:$H$16&gt;=$V126),$F$8:$F$16)</f>
        <v>FY19</v>
      </c>
      <c r="O126" s="5" t="str">
        <f>IFERROR(N126&amp;"-"&amp;COUNTIF($N$19:N126,N126),NA())</f>
        <v>FY19-44</v>
      </c>
      <c r="P126" s="5">
        <f>COUNTIF(V$19:V126,"&gt;="&amp;MAX($V:$V)-183)</f>
        <v>0</v>
      </c>
      <c r="Q126" s="5">
        <f>COUNTIF(V$19:V126,"&gt;="&amp;MAX($V:$V)-365)</f>
        <v>0</v>
      </c>
      <c r="R126" s="5" cm="1">
        <f t="array" ref="R126">LOOKUP(2,1/($G$46:$G$50&lt;=$V126)/($H$46:$H$50&gt;=$V126),$F$46:$F$50)</f>
        <v>0</v>
      </c>
      <c r="S126" s="5" cm="1">
        <f t="array" ref="S126">LOOKUP(2,1/($G$53:$G$56&lt;=$V126)/($H$53:$H$56&gt;=$V126),$F$53:$F$56)</f>
        <v>0</v>
      </c>
      <c r="T126" s="5" t="e">
        <f>IFERROR(IF($R126&gt;0,$R126&amp;"-"&amp;COUNTIF($R$19:$R126,$R126),NA()),NA())</f>
        <v>#N/A</v>
      </c>
      <c r="U126" s="5" t="e">
        <f>IFERROR(IF($S126&gt;0,$S126&amp;"-"&amp;COUNTIF($S$19:$S126,$S126),NA()),NA())</f>
        <v>#N/A</v>
      </c>
      <c r="V126" s="10">
        <v>43587</v>
      </c>
      <c r="W126" s="101">
        <v>34273410.483321987</v>
      </c>
      <c r="X126" s="101">
        <v>41206921.42409803</v>
      </c>
      <c r="Y126" s="102">
        <v>30000000</v>
      </c>
      <c r="II126" s="12"/>
      <c r="IJ126" s="12"/>
      <c r="IK126" s="109"/>
      <c r="IL126" s="109"/>
      <c r="IP126" s="12"/>
      <c r="IQ126" s="12"/>
      <c r="IR126" s="109"/>
      <c r="IS126" s="109"/>
      <c r="IW126" s="16" t="s">
        <v>169</v>
      </c>
      <c r="IX126" s="12">
        <v>44861</v>
      </c>
      <c r="IY126" s="103">
        <v>284837413.80358768</v>
      </c>
      <c r="IZ126" s="104">
        <v>160000000</v>
      </c>
      <c r="JE126" s="12" t="str">
        <f t="shared" si="271"/>
        <v>Since FY21</v>
      </c>
      <c r="JF126" s="12">
        <f t="shared" si="269"/>
        <v>44427</v>
      </c>
      <c r="JG126" s="109">
        <f t="shared" si="291"/>
        <v>20.220383581635755</v>
      </c>
      <c r="JH126" s="109">
        <f t="shared" si="291"/>
        <v>3</v>
      </c>
      <c r="JI126" s="109"/>
      <c r="JJ126" s="40"/>
      <c r="JN126" s="12" t="str">
        <f t="shared" si="294"/>
        <v>Since FY21</v>
      </c>
      <c r="JO126" s="12">
        <f t="shared" si="294"/>
        <v>44413</v>
      </c>
      <c r="JP126" s="109">
        <f t="shared" si="295"/>
        <v>80.09238577075098</v>
      </c>
      <c r="JQ126" s="109">
        <f t="shared" si="295"/>
        <v>60</v>
      </c>
      <c r="JR126" s="109" t="e">
        <f t="shared" si="296"/>
        <v>#N/A</v>
      </c>
      <c r="JS126" s="109" t="e">
        <f t="shared" si="296"/>
        <v>#N/A</v>
      </c>
      <c r="JT126" s="40" t="e">
        <f>NA()</f>
        <v>#N/A</v>
      </c>
      <c r="JU126" s="40" t="e">
        <f>NA()</f>
        <v>#N/A</v>
      </c>
    </row>
    <row r="127" spans="13:391" x14ac:dyDescent="0.25">
      <c r="M127" s="5" t="str" cm="1">
        <f t="array" ref="M127">LOOKUP(2,1/($G$19:$G$35&lt;=$V127)/($H$19:$H$35&gt;=$V127),$F$19:$F$35)</f>
        <v>2H19</v>
      </c>
      <c r="N127" s="5" t="str" cm="1">
        <f t="array" ref="N127">LOOKUP(2,1/($G$8:$G$16&lt;=$V127)/($H$8:$H$16&gt;=$V127),$F$8:$F$16)</f>
        <v>FY19</v>
      </c>
      <c r="O127" s="5" t="str">
        <f>IFERROR(N127&amp;"-"&amp;COUNTIF($N$19:N127,N127),NA())</f>
        <v>FY19-45</v>
      </c>
      <c r="P127" s="5">
        <f>COUNTIF(V$19:V127,"&gt;="&amp;MAX($V:$V)-183)</f>
        <v>0</v>
      </c>
      <c r="Q127" s="5">
        <f>COUNTIF(V$19:V127,"&gt;="&amp;MAX($V:$V)-365)</f>
        <v>0</v>
      </c>
      <c r="R127" s="5" cm="1">
        <f t="array" ref="R127">LOOKUP(2,1/($G$46:$G$50&lt;=$V127)/($H$46:$H$50&gt;=$V127),$F$46:$F$50)</f>
        <v>0</v>
      </c>
      <c r="S127" s="5" cm="1">
        <f t="array" ref="S127">LOOKUP(2,1/($G$53:$G$56&lt;=$V127)/($H$53:$H$56&gt;=$V127),$F$53:$F$56)</f>
        <v>0</v>
      </c>
      <c r="T127" s="5" t="e">
        <f>IFERROR(IF($R127&gt;0,$R127&amp;"-"&amp;COUNTIF($R$19:$R127,$R127),NA()),NA())</f>
        <v>#N/A</v>
      </c>
      <c r="U127" s="5" t="e">
        <f>IFERROR(IF($S127&gt;0,$S127&amp;"-"&amp;COUNTIF($S$19:$S127,$S127),NA()),NA())</f>
        <v>#N/A</v>
      </c>
      <c r="V127" s="10">
        <v>43594</v>
      </c>
      <c r="W127" s="101">
        <v>12230604.616622316</v>
      </c>
      <c r="X127" s="101">
        <v>14704855.930565013</v>
      </c>
      <c r="Y127" s="102">
        <v>3000000</v>
      </c>
      <c r="II127" s="12"/>
      <c r="IJ127" s="12"/>
      <c r="IK127" s="109"/>
      <c r="IL127" s="109"/>
      <c r="IP127" s="12"/>
      <c r="IQ127" s="12"/>
      <c r="IR127" s="109"/>
      <c r="IS127" s="109"/>
      <c r="IW127" s="16" t="s">
        <v>169</v>
      </c>
      <c r="IX127" s="12">
        <v>44868</v>
      </c>
      <c r="IY127" s="103">
        <v>27003392.885375496</v>
      </c>
      <c r="IZ127" s="104">
        <v>8000000</v>
      </c>
      <c r="JE127" s="12" t="str">
        <f t="shared" si="271"/>
        <v>Since FY21</v>
      </c>
      <c r="JF127" s="12">
        <f t="shared" si="269"/>
        <v>44434</v>
      </c>
      <c r="JG127" s="109">
        <f t="shared" si="291"/>
        <v>29.212562359379749</v>
      </c>
      <c r="JH127" s="109">
        <f t="shared" si="291"/>
        <v>8</v>
      </c>
      <c r="JI127" s="109"/>
      <c r="JJ127" s="40"/>
      <c r="JN127" s="12" t="str">
        <f t="shared" si="294"/>
        <v>Since FY21</v>
      </c>
      <c r="JO127" s="12">
        <f t="shared" si="294"/>
        <v>44420</v>
      </c>
      <c r="JP127" s="109">
        <f t="shared" si="295"/>
        <v>125.40573986013986</v>
      </c>
      <c r="JQ127" s="109">
        <f t="shared" si="295"/>
        <v>80</v>
      </c>
      <c r="JR127" s="109" t="e">
        <f t="shared" si="296"/>
        <v>#N/A</v>
      </c>
      <c r="JS127" s="109" t="e">
        <f t="shared" si="296"/>
        <v>#N/A</v>
      </c>
      <c r="JT127" s="40" t="e">
        <f>NA()</f>
        <v>#N/A</v>
      </c>
      <c r="JU127" s="40" t="e">
        <f>NA()</f>
        <v>#N/A</v>
      </c>
    </row>
    <row r="128" spans="13:391" x14ac:dyDescent="0.25">
      <c r="M128" s="5" t="str" cm="1">
        <f t="array" ref="M128">LOOKUP(2,1/($G$19:$G$35&lt;=$V128)/($H$19:$H$35&gt;=$V128),$F$19:$F$35)</f>
        <v>2H19</v>
      </c>
      <c r="N128" s="5" t="str" cm="1">
        <f t="array" ref="N128">LOOKUP(2,1/($G$8:$G$16&lt;=$V128)/($H$8:$H$16&gt;=$V128),$F$8:$F$16)</f>
        <v>FY19</v>
      </c>
      <c r="O128" s="5" t="str">
        <f>IFERROR(N128&amp;"-"&amp;COUNTIF($N$19:N128,N128),NA())</f>
        <v>FY19-46</v>
      </c>
      <c r="P128" s="5">
        <f>COUNTIF(V$19:V128,"&gt;="&amp;MAX($V:$V)-183)</f>
        <v>0</v>
      </c>
      <c r="Q128" s="5">
        <f>COUNTIF(V$19:V128,"&gt;="&amp;MAX($V:$V)-365)</f>
        <v>0</v>
      </c>
      <c r="R128" s="5" cm="1">
        <f t="array" ref="R128">LOOKUP(2,1/($G$46:$G$50&lt;=$V128)/($H$46:$H$50&gt;=$V128),$F$46:$F$50)</f>
        <v>0</v>
      </c>
      <c r="S128" s="5" cm="1">
        <f t="array" ref="S128">LOOKUP(2,1/($G$53:$G$56&lt;=$V128)/($H$53:$H$56&gt;=$V128),$F$53:$F$56)</f>
        <v>0</v>
      </c>
      <c r="T128" s="5" t="e">
        <f>IFERROR(IF($R128&gt;0,$R128&amp;"-"&amp;COUNTIF($R$19:$R128,$R128),NA()),NA())</f>
        <v>#N/A</v>
      </c>
      <c r="U128" s="5" t="e">
        <f>IFERROR(IF($S128&gt;0,$S128&amp;"-"&amp;COUNTIF($S$19:$S128,$S128),NA()),NA())</f>
        <v>#N/A</v>
      </c>
      <c r="V128" s="10">
        <v>43601</v>
      </c>
      <c r="W128" s="101">
        <v>16704121.542174639</v>
      </c>
      <c r="X128" s="101">
        <v>20083365.330156572</v>
      </c>
      <c r="Y128" s="102">
        <v>8000000</v>
      </c>
      <c r="II128" s="12"/>
      <c r="IJ128" s="12"/>
      <c r="IK128" s="109"/>
      <c r="IL128" s="109"/>
      <c r="IP128" s="12"/>
      <c r="IQ128" s="12"/>
      <c r="IR128" s="109"/>
      <c r="IS128" s="109"/>
      <c r="IW128" s="16" t="s">
        <v>169</v>
      </c>
      <c r="IX128" s="12">
        <v>44875</v>
      </c>
      <c r="IY128" s="103">
        <v>44321005.290361807</v>
      </c>
      <c r="IZ128" s="104">
        <v>20000000</v>
      </c>
      <c r="JE128" s="12" t="str">
        <f t="shared" si="271"/>
        <v>Since FY21</v>
      </c>
      <c r="JF128" s="12">
        <f t="shared" si="269"/>
        <v>44441</v>
      </c>
      <c r="JG128" s="109">
        <f t="shared" si="291"/>
        <v>43.186218060200659</v>
      </c>
      <c r="JH128" s="109">
        <f t="shared" si="291"/>
        <v>20</v>
      </c>
      <c r="JI128" s="109"/>
      <c r="JJ128" s="40"/>
      <c r="JN128" s="12" t="str">
        <f t="shared" si="294"/>
        <v>Since FY21</v>
      </c>
      <c r="JO128" s="12">
        <f t="shared" si="294"/>
        <v>44427</v>
      </c>
      <c r="JP128" s="109">
        <f t="shared" si="295"/>
        <v>20.220383581635755</v>
      </c>
      <c r="JQ128" s="109">
        <f t="shared" si="295"/>
        <v>3</v>
      </c>
      <c r="JR128" s="109" t="e">
        <f t="shared" si="296"/>
        <v>#N/A</v>
      </c>
      <c r="JS128" s="109" t="e">
        <f t="shared" si="296"/>
        <v>#N/A</v>
      </c>
      <c r="JT128" s="40" t="e">
        <f>NA()</f>
        <v>#N/A</v>
      </c>
      <c r="JU128" s="40" t="e">
        <f>NA()</f>
        <v>#N/A</v>
      </c>
    </row>
    <row r="129" spans="13:281" x14ac:dyDescent="0.25">
      <c r="M129" s="5" t="str" cm="1">
        <f t="array" ref="M129">LOOKUP(2,1/($G$19:$G$35&lt;=$V129)/($H$19:$H$35&gt;=$V129),$F$19:$F$35)</f>
        <v>2H19</v>
      </c>
      <c r="N129" s="5" t="str" cm="1">
        <f t="array" ref="N129">LOOKUP(2,1/($G$8:$G$16&lt;=$V129)/($H$8:$H$16&gt;=$V129),$F$8:$F$16)</f>
        <v>FY19</v>
      </c>
      <c r="O129" s="5" t="str">
        <f>IFERROR(N129&amp;"-"&amp;COUNTIF($N$19:N129,N129),NA())</f>
        <v>FY19-47</v>
      </c>
      <c r="P129" s="5">
        <f>COUNTIF(V$19:V129,"&gt;="&amp;MAX($V:$V)-183)</f>
        <v>0</v>
      </c>
      <c r="Q129" s="5">
        <f>COUNTIF(V$19:V129,"&gt;="&amp;MAX($V:$V)-365)</f>
        <v>0</v>
      </c>
      <c r="R129" s="5" cm="1">
        <f t="array" ref="R129">LOOKUP(2,1/($G$46:$G$50&lt;=$V129)/($H$46:$H$50&gt;=$V129),$F$46:$F$50)</f>
        <v>0</v>
      </c>
      <c r="S129" s="5" cm="1">
        <f t="array" ref="S129">LOOKUP(2,1/($G$53:$G$56&lt;=$V129)/($H$53:$H$56&gt;=$V129),$F$53:$F$56)</f>
        <v>0</v>
      </c>
      <c r="T129" s="5" t="e">
        <f>IFERROR(IF($R129&gt;0,$R129&amp;"-"&amp;COUNTIF($R$19:$R129,$R129),NA()),NA())</f>
        <v>#N/A</v>
      </c>
      <c r="U129" s="5" t="e">
        <f>IFERROR(IF($S129&gt;0,$S129&amp;"-"&amp;COUNTIF($S$19:$S129,$S129),NA()),NA())</f>
        <v>#N/A</v>
      </c>
      <c r="V129" s="10">
        <v>43608</v>
      </c>
      <c r="W129" s="101">
        <v>12325589.702333063</v>
      </c>
      <c r="X129" s="101">
        <v>14819056.499115042</v>
      </c>
      <c r="Y129" s="102">
        <v>3000000</v>
      </c>
      <c r="II129" s="12"/>
      <c r="IJ129" s="12"/>
      <c r="IK129" s="109"/>
      <c r="IL129" s="109"/>
      <c r="IP129" s="12"/>
      <c r="IQ129" s="12"/>
      <c r="IR129" s="109"/>
      <c r="IS129" s="109"/>
      <c r="IW129" s="16" t="s">
        <v>169</v>
      </c>
      <c r="IX129" s="12">
        <v>44882</v>
      </c>
      <c r="IY129" s="103">
        <v>51026175.37245363</v>
      </c>
      <c r="IZ129" s="104">
        <v>30000000</v>
      </c>
      <c r="JE129" s="12" t="str">
        <f t="shared" si="271"/>
        <v>Since FY21</v>
      </c>
      <c r="JF129" s="12">
        <f t="shared" si="269"/>
        <v>44448</v>
      </c>
      <c r="JG129" s="109">
        <f t="shared" si="291"/>
        <v>19.506276923076921</v>
      </c>
      <c r="JH129" s="109">
        <f t="shared" si="291"/>
        <v>3</v>
      </c>
      <c r="JI129" s="109"/>
      <c r="JJ129" s="40"/>
      <c r="JN129" s="12" t="str">
        <f t="shared" si="294"/>
        <v>Since FY21</v>
      </c>
      <c r="JO129" s="12">
        <f t="shared" si="294"/>
        <v>44434</v>
      </c>
      <c r="JP129" s="109">
        <f t="shared" si="295"/>
        <v>29.212562359379749</v>
      </c>
      <c r="JQ129" s="109">
        <f t="shared" si="295"/>
        <v>8</v>
      </c>
      <c r="JR129" s="109" t="e">
        <f t="shared" si="296"/>
        <v>#N/A</v>
      </c>
      <c r="JS129" s="109" t="e">
        <f t="shared" si="296"/>
        <v>#N/A</v>
      </c>
      <c r="JT129" s="40" t="e">
        <f>NA()</f>
        <v>#N/A</v>
      </c>
      <c r="JU129" s="40" t="e">
        <f>NA()</f>
        <v>#N/A</v>
      </c>
    </row>
    <row r="130" spans="13:281" x14ac:dyDescent="0.25">
      <c r="M130" s="5" t="str" cm="1">
        <f t="array" ref="M130">LOOKUP(2,1/($G$19:$G$35&lt;=$V130)/($H$19:$H$35&gt;=$V130),$F$19:$F$35)</f>
        <v>2H19</v>
      </c>
      <c r="N130" s="5" t="str" cm="1">
        <f t="array" ref="N130">LOOKUP(2,1/($G$8:$G$16&lt;=$V130)/($H$8:$H$16&gt;=$V130),$F$8:$F$16)</f>
        <v>FY19</v>
      </c>
      <c r="O130" s="5" t="str">
        <f>IFERROR(N130&amp;"-"&amp;COUNTIF($N$19:N130,N130),NA())</f>
        <v>FY19-48</v>
      </c>
      <c r="P130" s="5">
        <f>COUNTIF(V$19:V130,"&gt;="&amp;MAX($V:$V)-183)</f>
        <v>0</v>
      </c>
      <c r="Q130" s="5">
        <f>COUNTIF(V$19:V130,"&gt;="&amp;MAX($V:$V)-365)</f>
        <v>0</v>
      </c>
      <c r="R130" s="5" cm="1">
        <f t="array" ref="R130">LOOKUP(2,1/($G$46:$G$50&lt;=$V130)/($H$46:$H$50&gt;=$V130),$F$46:$F$50)</f>
        <v>0</v>
      </c>
      <c r="S130" s="5" cm="1">
        <f t="array" ref="S130">LOOKUP(2,1/($G$53:$G$56&lt;=$V130)/($H$53:$H$56&gt;=$V130),$F$53:$F$56)</f>
        <v>0</v>
      </c>
      <c r="T130" s="5" t="e">
        <f>IFERROR(IF($R130&gt;0,$R130&amp;"-"&amp;COUNTIF($R$19:$R130,$R130),NA()),NA())</f>
        <v>#N/A</v>
      </c>
      <c r="U130" s="5" t="e">
        <f>IFERROR(IF($S130&gt;0,$S130&amp;"-"&amp;COUNTIF($S$19:$S130,$S130),NA()),NA())</f>
        <v>#N/A</v>
      </c>
      <c r="V130" s="10">
        <v>43615</v>
      </c>
      <c r="W130" s="101">
        <v>15336385.914969984</v>
      </c>
      <c r="X130" s="101">
        <v>18438936.785568416</v>
      </c>
      <c r="Y130" s="102">
        <v>8000000</v>
      </c>
      <c r="II130" s="12"/>
      <c r="IJ130" s="12"/>
      <c r="IK130" s="109"/>
      <c r="IL130" s="109"/>
      <c r="IP130" s="12"/>
      <c r="IQ130" s="12"/>
      <c r="IR130" s="109"/>
      <c r="IS130" s="109"/>
      <c r="IW130" s="16" t="s">
        <v>169</v>
      </c>
      <c r="IX130" s="12">
        <v>44889</v>
      </c>
      <c r="IY130" s="103">
        <v>71266594.101550624</v>
      </c>
      <c r="IZ130" s="104">
        <v>50000000</v>
      </c>
      <c r="JE130" s="12" t="str">
        <f t="shared" si="271"/>
        <v>Since FY21</v>
      </c>
      <c r="JF130" s="12">
        <f t="shared" si="269"/>
        <v>44455</v>
      </c>
      <c r="JG130" s="109">
        <f t="shared" si="291"/>
        <v>25.355454910307085</v>
      </c>
      <c r="JH130" s="109">
        <f t="shared" si="291"/>
        <v>8</v>
      </c>
      <c r="JI130" s="109"/>
      <c r="JJ130" s="40"/>
      <c r="JN130" s="12" t="str">
        <f t="shared" si="294"/>
        <v>Since FY21</v>
      </c>
      <c r="JO130" s="12">
        <f t="shared" si="294"/>
        <v>44441</v>
      </c>
      <c r="JP130" s="109">
        <f t="shared" si="295"/>
        <v>43.186218060200659</v>
      </c>
      <c r="JQ130" s="109">
        <f t="shared" si="295"/>
        <v>20</v>
      </c>
      <c r="JR130" s="109" t="e">
        <f t="shared" si="296"/>
        <v>#N/A</v>
      </c>
      <c r="JS130" s="109" t="e">
        <f t="shared" si="296"/>
        <v>#N/A</v>
      </c>
      <c r="JT130" s="40" t="e">
        <f>NA()</f>
        <v>#N/A</v>
      </c>
      <c r="JU130" s="40" t="e">
        <f>NA()</f>
        <v>#N/A</v>
      </c>
    </row>
    <row r="131" spans="13:281" x14ac:dyDescent="0.25">
      <c r="M131" s="5" t="str" cm="1">
        <f t="array" ref="M131">LOOKUP(2,1/($G$19:$G$35&lt;=$V131)/($H$19:$H$35&gt;=$V131),$F$19:$F$35)</f>
        <v>2H19</v>
      </c>
      <c r="N131" s="5" t="str" cm="1">
        <f t="array" ref="N131">LOOKUP(2,1/($G$8:$G$16&lt;=$V131)/($H$8:$H$16&gt;=$V131),$F$8:$F$16)</f>
        <v>FY19</v>
      </c>
      <c r="O131" s="5" t="str">
        <f>IFERROR(N131&amp;"-"&amp;COUNTIF($N$19:N131,N131),NA())</f>
        <v>FY19-49</v>
      </c>
      <c r="P131" s="5">
        <f>COUNTIF(V$19:V131,"&gt;="&amp;MAX($V:$V)-183)</f>
        <v>0</v>
      </c>
      <c r="Q131" s="5">
        <f>COUNTIF(V$19:V131,"&gt;="&amp;MAX($V:$V)-365)</f>
        <v>0</v>
      </c>
      <c r="R131" s="5" cm="1">
        <f t="array" ref="R131">LOOKUP(2,1/($G$46:$G$50&lt;=$V131)/($H$46:$H$50&gt;=$V131),$F$46:$F$50)</f>
        <v>0</v>
      </c>
      <c r="S131" s="5" cm="1">
        <f t="array" ref="S131">LOOKUP(2,1/($G$53:$G$56&lt;=$V131)/($H$53:$H$56&gt;=$V131),$F$53:$F$56)</f>
        <v>0</v>
      </c>
      <c r="T131" s="5" t="e">
        <f>IFERROR(IF($R131&gt;0,$R131&amp;"-"&amp;COUNTIF($R$19:$R131,$R131),NA()),NA())</f>
        <v>#N/A</v>
      </c>
      <c r="U131" s="5" t="e">
        <f>IFERROR(IF($S131&gt;0,$S131&amp;"-"&amp;COUNTIF($S$19:$S131,$S131),NA()),NA())</f>
        <v>#N/A</v>
      </c>
      <c r="V131" s="10">
        <v>43622</v>
      </c>
      <c r="W131" s="101">
        <v>18797418.899684388</v>
      </c>
      <c r="X131" s="101">
        <v>22600136.743090544</v>
      </c>
      <c r="Y131" s="102">
        <v>12000000</v>
      </c>
      <c r="II131" s="12"/>
      <c r="IJ131" s="12"/>
      <c r="IK131" s="109"/>
      <c r="IL131" s="109"/>
      <c r="IP131" s="12"/>
      <c r="IQ131" s="12"/>
      <c r="IR131" s="109"/>
      <c r="IS131" s="109"/>
      <c r="IW131" s="16" t="s">
        <v>169</v>
      </c>
      <c r="IX131" s="12">
        <v>44896</v>
      </c>
      <c r="IY131" s="103">
        <v>25213057.950744905</v>
      </c>
      <c r="IZ131" s="104">
        <v>8000000</v>
      </c>
      <c r="JE131" s="12" t="str">
        <f t="shared" si="271"/>
        <v>Since FY21</v>
      </c>
      <c r="JF131" s="12">
        <f t="shared" si="269"/>
        <v>44462</v>
      </c>
      <c r="JG131" s="109">
        <f t="shared" si="291"/>
        <v>19.222718151413801</v>
      </c>
      <c r="JH131" s="109">
        <f t="shared" si="291"/>
        <v>3</v>
      </c>
      <c r="JI131" s="109"/>
      <c r="JJ131" s="40"/>
      <c r="JN131" s="12" t="str">
        <f t="shared" si="294"/>
        <v>Since FY21</v>
      </c>
      <c r="JO131" s="12">
        <f t="shared" si="294"/>
        <v>44448</v>
      </c>
      <c r="JP131" s="109">
        <f t="shared" si="295"/>
        <v>19.506276923076921</v>
      </c>
      <c r="JQ131" s="109">
        <f t="shared" si="295"/>
        <v>3</v>
      </c>
      <c r="JR131" s="109" t="e">
        <f t="shared" si="296"/>
        <v>#N/A</v>
      </c>
      <c r="JS131" s="109" t="e">
        <f t="shared" si="296"/>
        <v>#N/A</v>
      </c>
      <c r="JT131" s="40" t="e">
        <f>NA()</f>
        <v>#N/A</v>
      </c>
      <c r="JU131" s="40" t="e">
        <f>NA()</f>
        <v>#N/A</v>
      </c>
    </row>
    <row r="132" spans="13:281" x14ac:dyDescent="0.25">
      <c r="M132" s="5" t="str" cm="1">
        <f t="array" ref="M132">LOOKUP(2,1/($G$19:$G$35&lt;=$V132)/($H$19:$H$35&gt;=$V132),$F$19:$F$35)</f>
        <v>2H19</v>
      </c>
      <c r="N132" s="5" t="str" cm="1">
        <f t="array" ref="N132">LOOKUP(2,1/($G$8:$G$16&lt;=$V132)/($H$8:$H$16&gt;=$V132),$F$8:$F$16)</f>
        <v>FY19</v>
      </c>
      <c r="O132" s="5" t="str">
        <f>IFERROR(N132&amp;"-"&amp;COUNTIF($N$19:N132,N132),NA())</f>
        <v>FY19-50</v>
      </c>
      <c r="P132" s="5">
        <f>COUNTIF(V$19:V132,"&gt;="&amp;MAX($V:$V)-183)</f>
        <v>0</v>
      </c>
      <c r="Q132" s="5">
        <f>COUNTIF(V$19:V132,"&gt;="&amp;MAX($V:$V)-365)</f>
        <v>0</v>
      </c>
      <c r="R132" s="5" cm="1">
        <f t="array" ref="R132">LOOKUP(2,1/($G$46:$G$50&lt;=$V132)/($H$46:$H$50&gt;=$V132),$F$46:$F$50)</f>
        <v>0</v>
      </c>
      <c r="S132" s="5" cm="1">
        <f t="array" ref="S132">LOOKUP(2,1/($G$53:$G$56&lt;=$V132)/($H$53:$H$56&gt;=$V132),$F$53:$F$56)</f>
        <v>0</v>
      </c>
      <c r="T132" s="5" t="e">
        <f>IFERROR(IF($R132&gt;0,$R132&amp;"-"&amp;COUNTIF($R$19:$R132,$R132),NA()),NA())</f>
        <v>#N/A</v>
      </c>
      <c r="U132" s="5" t="e">
        <f>IFERROR(IF($S132&gt;0,$S132&amp;"-"&amp;COUNTIF($S$19:$S132,$S132),NA()),NA())</f>
        <v>#N/A</v>
      </c>
      <c r="V132" s="10">
        <v>43629</v>
      </c>
      <c r="W132" s="101">
        <v>22750507.333374586</v>
      </c>
      <c r="X132" s="101">
        <v>27352934.966916267</v>
      </c>
      <c r="Y132" s="102">
        <v>20000000</v>
      </c>
      <c r="II132" s="12"/>
      <c r="IJ132" s="12"/>
      <c r="IK132" s="109"/>
      <c r="IL132" s="109"/>
      <c r="IP132" s="12"/>
      <c r="IQ132" s="12"/>
      <c r="IR132" s="109"/>
      <c r="IS132" s="109"/>
      <c r="IW132" s="16" t="s">
        <v>169</v>
      </c>
      <c r="IX132" s="12">
        <v>44903</v>
      </c>
      <c r="IY132" s="103">
        <v>38341626.147765279</v>
      </c>
      <c r="IZ132" s="104">
        <v>20000000</v>
      </c>
      <c r="JE132" s="12" t="str">
        <f t="shared" si="271"/>
        <v>Since FY21</v>
      </c>
      <c r="JF132" s="12">
        <f t="shared" si="269"/>
        <v>44469</v>
      </c>
      <c r="JG132" s="109">
        <f t="shared" si="291"/>
        <v>26.314208574034662</v>
      </c>
      <c r="JH132" s="109">
        <f t="shared" si="291"/>
        <v>8</v>
      </c>
      <c r="JI132" s="109"/>
      <c r="JJ132" s="40"/>
      <c r="JN132" s="12" t="str">
        <f t="shared" si="294"/>
        <v>Since FY21</v>
      </c>
      <c r="JO132" s="12">
        <f t="shared" si="294"/>
        <v>44455</v>
      </c>
      <c r="JP132" s="109">
        <f t="shared" si="295"/>
        <v>25.355454910307085</v>
      </c>
      <c r="JQ132" s="109">
        <f t="shared" si="295"/>
        <v>8</v>
      </c>
      <c r="JR132" s="109" t="e">
        <f t="shared" si="296"/>
        <v>#N/A</v>
      </c>
      <c r="JS132" s="109" t="e">
        <f t="shared" si="296"/>
        <v>#N/A</v>
      </c>
      <c r="JT132" s="40" t="e">
        <f>NA()</f>
        <v>#N/A</v>
      </c>
      <c r="JU132" s="40" t="e">
        <f>NA()</f>
        <v>#N/A</v>
      </c>
    </row>
    <row r="133" spans="13:281" x14ac:dyDescent="0.25">
      <c r="M133" s="5" t="str" cm="1">
        <f t="array" ref="M133">LOOKUP(2,1/($G$19:$G$35&lt;=$V133)/($H$19:$H$35&gt;=$V133),$F$19:$F$35)</f>
        <v>2H19</v>
      </c>
      <c r="N133" s="5" t="str" cm="1">
        <f t="array" ref="N133">LOOKUP(2,1/($G$8:$G$16&lt;=$V133)/($H$8:$H$16&gt;=$V133),$F$8:$F$16)</f>
        <v>FY19</v>
      </c>
      <c r="O133" s="5" t="str">
        <f>IFERROR(N133&amp;"-"&amp;COUNTIF($N$19:N133,N133),NA())</f>
        <v>FY19-51</v>
      </c>
      <c r="P133" s="5">
        <f>COUNTIF(V$19:V133,"&gt;="&amp;MAX($V:$V)-183)</f>
        <v>0</v>
      </c>
      <c r="Q133" s="5">
        <f>COUNTIF(V$19:V133,"&gt;="&amp;MAX($V:$V)-365)</f>
        <v>0</v>
      </c>
      <c r="R133" s="5" cm="1">
        <f t="array" ref="R133">LOOKUP(2,1/($G$46:$G$50&lt;=$V133)/($H$46:$H$50&gt;=$V133),$F$46:$F$50)</f>
        <v>0</v>
      </c>
      <c r="S133" s="5" cm="1">
        <f t="array" ref="S133">LOOKUP(2,1/($G$53:$G$56&lt;=$V133)/($H$53:$H$56&gt;=$V133),$F$53:$F$56)</f>
        <v>0</v>
      </c>
      <c r="T133" s="5" t="e">
        <f>IFERROR(IF($R133&gt;0,$R133&amp;"-"&amp;COUNTIF($R$19:$R133,$R133),NA()),NA())</f>
        <v>#N/A</v>
      </c>
      <c r="U133" s="5" t="e">
        <f>IFERROR(IF($S133&gt;0,$S133&amp;"-"&amp;COUNTIF($S$19:$S133,$S133),NA()),NA())</f>
        <v>#N/A</v>
      </c>
      <c r="V133" s="10">
        <v>43636</v>
      </c>
      <c r="W133" s="101">
        <v>27826067.454669226</v>
      </c>
      <c r="X133" s="101">
        <v>33455280.900748815</v>
      </c>
      <c r="Y133" s="102">
        <v>30000000</v>
      </c>
      <c r="II133" s="12"/>
      <c r="IJ133" s="12"/>
      <c r="IK133" s="109"/>
      <c r="IL133" s="109"/>
      <c r="IP133" s="12"/>
      <c r="IQ133" s="12"/>
      <c r="IR133" s="109"/>
      <c r="IS133" s="109"/>
      <c r="IW133" s="16" t="s">
        <v>169</v>
      </c>
      <c r="IX133" s="12">
        <v>44910</v>
      </c>
      <c r="IY133" s="103">
        <v>50094358.163575552</v>
      </c>
      <c r="IZ133" s="104">
        <v>30000000</v>
      </c>
      <c r="JE133" s="12" t="str">
        <f t="shared" si="271"/>
        <v>Since FY21</v>
      </c>
      <c r="JF133" s="12">
        <f t="shared" si="269"/>
        <v>44476</v>
      </c>
      <c r="JG133" s="109">
        <f t="shared" si="291"/>
        <v>42.338397567649736</v>
      </c>
      <c r="JH133" s="109">
        <f t="shared" si="291"/>
        <v>20</v>
      </c>
      <c r="JI133" s="109"/>
      <c r="JJ133" s="40"/>
      <c r="JN133" s="12" t="str">
        <f t="shared" ref="JN133:JO148" si="297">IF(OR(ISBLANK(IW69),$IZ69&gt;=$JO$66),NA(),IW69)</f>
        <v>Since FY21</v>
      </c>
      <c r="JO133" s="12">
        <f t="shared" si="297"/>
        <v>44462</v>
      </c>
      <c r="JP133" s="109">
        <f t="shared" ref="JP133:JQ148" si="298">IF(OR(ISBLANK(IY69),$IZ69&gt;=$JO$66),NA(),IY69)/1000000</f>
        <v>19.222718151413801</v>
      </c>
      <c r="JQ133" s="109">
        <f t="shared" si="298"/>
        <v>3</v>
      </c>
      <c r="JR133" s="109" t="e">
        <f t="shared" ref="JR133:JS148" si="299">IF(OR(ISBLANK(IY69),$IZ69&lt;$JR$66),NA(),IY69)/1000000</f>
        <v>#N/A</v>
      </c>
      <c r="JS133" s="109" t="e">
        <f t="shared" si="299"/>
        <v>#N/A</v>
      </c>
      <c r="JT133" s="40" t="e">
        <f>NA()</f>
        <v>#N/A</v>
      </c>
      <c r="JU133" s="40" t="e">
        <f>NA()</f>
        <v>#N/A</v>
      </c>
    </row>
    <row r="134" spans="13:281" x14ac:dyDescent="0.25">
      <c r="M134" s="5" t="str" cm="1">
        <f t="array" ref="M134">LOOKUP(2,1/($G$19:$G$35&lt;=$V134)/($H$19:$H$35&gt;=$V134),$F$19:$F$35)</f>
        <v>2H19</v>
      </c>
      <c r="N134" s="5" t="str" cm="1">
        <f t="array" ref="N134">LOOKUP(2,1/($G$8:$G$16&lt;=$V134)/($H$8:$H$16&gt;=$V134),$F$8:$F$16)</f>
        <v>FY19</v>
      </c>
      <c r="O134" s="5" t="str">
        <f>IFERROR(N134&amp;"-"&amp;COUNTIF($N$19:N134,N134),NA())</f>
        <v>FY19-52</v>
      </c>
      <c r="P134" s="5">
        <f>COUNTIF(V$19:V134,"&gt;="&amp;MAX($V:$V)-183)</f>
        <v>0</v>
      </c>
      <c r="Q134" s="5">
        <f>COUNTIF(V$19:V134,"&gt;="&amp;MAX($V:$V)-365)</f>
        <v>0</v>
      </c>
      <c r="R134" s="5" cm="1">
        <f t="array" ref="R134">LOOKUP(2,1/($G$46:$G$50&lt;=$V134)/($H$46:$H$50&gt;=$V134),$F$46:$F$50)</f>
        <v>0</v>
      </c>
      <c r="S134" s="5" cm="1">
        <f t="array" ref="S134">LOOKUP(2,1/($G$53:$G$56&lt;=$V134)/($H$53:$H$56&gt;=$V134),$F$53:$F$56)</f>
        <v>0</v>
      </c>
      <c r="T134" s="5" t="e">
        <f>IFERROR(IF($R134&gt;0,$R134&amp;"-"&amp;COUNTIF($R$19:$R134,$R134),NA()),NA())</f>
        <v>#N/A</v>
      </c>
      <c r="U134" s="5" t="e">
        <f>IFERROR(IF($S134&gt;0,$S134&amp;"-"&amp;COUNTIF($S$19:$S134,$S134),NA()),NA())</f>
        <v>#N/A</v>
      </c>
      <c r="V134" s="10">
        <v>43643</v>
      </c>
      <c r="W134" s="101">
        <v>37957462.714276873</v>
      </c>
      <c r="X134" s="101">
        <v>45636257.421375088</v>
      </c>
      <c r="Y134" s="102">
        <v>40000000</v>
      </c>
      <c r="II134" s="12"/>
      <c r="IJ134" s="12"/>
      <c r="IK134" s="109"/>
      <c r="IL134" s="109"/>
      <c r="IP134" s="12"/>
      <c r="IQ134" s="12"/>
      <c r="IR134" s="109"/>
      <c r="IS134" s="109"/>
      <c r="IW134" s="16" t="s">
        <v>169</v>
      </c>
      <c r="IX134" s="12">
        <v>44917</v>
      </c>
      <c r="IY134" s="103">
        <v>75733957.798723027</v>
      </c>
      <c r="IZ134" s="104">
        <v>50000000</v>
      </c>
      <c r="JE134" s="12" t="str">
        <f t="shared" si="271"/>
        <v>Since FY21</v>
      </c>
      <c r="JF134" s="12">
        <f t="shared" si="269"/>
        <v>44483</v>
      </c>
      <c r="JG134" s="109">
        <f t="shared" si="291"/>
        <v>59.016362663423536</v>
      </c>
      <c r="JH134" s="109">
        <f t="shared" si="291"/>
        <v>40</v>
      </c>
      <c r="JI134" s="109"/>
      <c r="JJ134" s="40"/>
      <c r="JN134" s="12" t="str">
        <f t="shared" si="297"/>
        <v>Since FY21</v>
      </c>
      <c r="JO134" s="12">
        <f t="shared" si="297"/>
        <v>44469</v>
      </c>
      <c r="JP134" s="109">
        <f t="shared" si="298"/>
        <v>26.314208574034662</v>
      </c>
      <c r="JQ134" s="109">
        <f t="shared" si="298"/>
        <v>8</v>
      </c>
      <c r="JR134" s="109" t="e">
        <f t="shared" si="299"/>
        <v>#N/A</v>
      </c>
      <c r="JS134" s="109" t="e">
        <f t="shared" si="299"/>
        <v>#N/A</v>
      </c>
      <c r="JT134" s="40" t="e">
        <f>NA()</f>
        <v>#N/A</v>
      </c>
      <c r="JU134" s="40" t="e">
        <f>NA()</f>
        <v>#N/A</v>
      </c>
    </row>
    <row r="135" spans="13:281" x14ac:dyDescent="0.25">
      <c r="M135" s="5" t="str" cm="1">
        <f t="array" ref="M135">LOOKUP(2,1/($G$19:$G$35&lt;=$V135)/($H$19:$H$35&gt;=$V135),$F$19:$F$35)</f>
        <v>1H20</v>
      </c>
      <c r="N135" s="5" t="str" cm="1">
        <f t="array" ref="N135">LOOKUP(2,1/($G$8:$G$16&lt;=$V135)/($H$8:$H$16&gt;=$V135),$F$8:$F$16)</f>
        <v>FY20</v>
      </c>
      <c r="O135" s="5" t="str">
        <f>IFERROR(N135&amp;"-"&amp;COUNTIF($N$19:N135,N135),NA())</f>
        <v>FY20-1</v>
      </c>
      <c r="P135" s="5">
        <f>COUNTIF(V$19:V135,"&gt;="&amp;MAX($V:$V)-183)</f>
        <v>0</v>
      </c>
      <c r="Q135" s="5">
        <f>COUNTIF(V$19:V135,"&gt;="&amp;MAX($V:$V)-365)</f>
        <v>0</v>
      </c>
      <c r="R135" s="5" cm="1">
        <f t="array" ref="R135">LOOKUP(2,1/($G$46:$G$50&lt;=$V135)/($H$46:$H$50&gt;=$V135),$F$46:$F$50)</f>
        <v>0</v>
      </c>
      <c r="S135" s="5" cm="1">
        <f t="array" ref="S135">LOOKUP(2,1/($G$53:$G$56&lt;=$V135)/($H$53:$H$56&gt;=$V135),$F$53:$F$56)</f>
        <v>0</v>
      </c>
      <c r="T135" s="5" t="e">
        <f>IFERROR(IF($R135&gt;0,$R135&amp;"-"&amp;COUNTIF($R$19:$R135,$R135),NA()),NA())</f>
        <v>#N/A</v>
      </c>
      <c r="U135" s="5" t="e">
        <f>IFERROR(IF($S135&gt;0,$S135&amp;"-"&amp;COUNTIF($S$19:$S135,$S135),NA()),NA())</f>
        <v>#N/A</v>
      </c>
      <c r="V135" s="10">
        <v>43650</v>
      </c>
      <c r="W135" s="101">
        <v>52868604.987932429</v>
      </c>
      <c r="X135" s="101">
        <v>63563923.776991166</v>
      </c>
      <c r="Y135" s="102">
        <v>60000000</v>
      </c>
      <c r="II135" s="12"/>
      <c r="IJ135" s="12"/>
      <c r="IK135" s="109"/>
      <c r="IL135" s="109"/>
      <c r="IP135" s="12"/>
      <c r="IQ135" s="12"/>
      <c r="IR135" s="109"/>
      <c r="IS135" s="109"/>
      <c r="IW135" s="16" t="s">
        <v>169</v>
      </c>
      <c r="IX135" s="12">
        <v>44924</v>
      </c>
      <c r="IY135" s="103">
        <v>137554844.39039224</v>
      </c>
      <c r="IZ135" s="104">
        <v>100000000</v>
      </c>
      <c r="JE135" s="12" t="str">
        <f t="shared" si="271"/>
        <v>Since FY21</v>
      </c>
      <c r="JF135" s="12">
        <f t="shared" si="269"/>
        <v>44490</v>
      </c>
      <c r="JG135" s="109">
        <f t="shared" si="291"/>
        <v>83.423387290969913</v>
      </c>
      <c r="JH135" s="109">
        <f t="shared" si="291"/>
        <v>60</v>
      </c>
      <c r="JI135" s="109"/>
      <c r="JJ135" s="40"/>
      <c r="JN135" s="12" t="str">
        <f t="shared" si="297"/>
        <v>Since FY21</v>
      </c>
      <c r="JO135" s="12">
        <f t="shared" si="297"/>
        <v>44476</v>
      </c>
      <c r="JP135" s="109">
        <f t="shared" si="298"/>
        <v>42.338397567649736</v>
      </c>
      <c r="JQ135" s="109">
        <f t="shared" si="298"/>
        <v>20</v>
      </c>
      <c r="JR135" s="109" t="e">
        <f t="shared" si="299"/>
        <v>#N/A</v>
      </c>
      <c r="JS135" s="109" t="e">
        <f t="shared" si="299"/>
        <v>#N/A</v>
      </c>
      <c r="JT135" s="40" t="e">
        <f>NA()</f>
        <v>#N/A</v>
      </c>
      <c r="JU135" s="40" t="e">
        <f>NA()</f>
        <v>#N/A</v>
      </c>
    </row>
    <row r="136" spans="13:281" x14ac:dyDescent="0.25">
      <c r="M136" s="5" t="str" cm="1">
        <f t="array" ref="M136">LOOKUP(2,1/($G$19:$G$35&lt;=$V136)/($H$19:$H$35&gt;=$V136),$F$19:$F$35)</f>
        <v>1H20</v>
      </c>
      <c r="N136" s="5" t="str" cm="1">
        <f t="array" ref="N136">LOOKUP(2,1/($G$8:$G$16&lt;=$V136)/($H$8:$H$16&gt;=$V136),$F$8:$F$16)</f>
        <v>FY20</v>
      </c>
      <c r="O136" s="5" t="str">
        <f>IFERROR(N136&amp;"-"&amp;COUNTIF($N$19:N136,N136),NA())</f>
        <v>FY20-2</v>
      </c>
      <c r="P136" s="5">
        <f>COUNTIF(V$19:V136,"&gt;="&amp;MAX($V:$V)-183)</f>
        <v>0</v>
      </c>
      <c r="Q136" s="5">
        <f>COUNTIF(V$19:V136,"&gt;="&amp;MAX($V:$V)-365)</f>
        <v>0</v>
      </c>
      <c r="R136" s="5" cm="1">
        <f t="array" ref="R136">LOOKUP(2,1/($G$46:$G$50&lt;=$V136)/($H$46:$H$50&gt;=$V136),$F$46:$F$50)</f>
        <v>0</v>
      </c>
      <c r="S136" s="5" cm="1">
        <f t="array" ref="S136">LOOKUP(2,1/($G$53:$G$56&lt;=$V136)/($H$53:$H$56&gt;=$V136),$F$53:$F$56)</f>
        <v>0</v>
      </c>
      <c r="T136" s="5" t="e">
        <f>IFERROR(IF($R136&gt;0,$R136&amp;"-"&amp;COUNTIF($R$19:$R136,$R136),NA()),NA())</f>
        <v>#N/A</v>
      </c>
      <c r="U136" s="5" t="e">
        <f>IFERROR(IF($S136&gt;0,$S136&amp;"-"&amp;COUNTIF($S$19:$S136,$S136),NA()),NA())</f>
        <v>#N/A</v>
      </c>
      <c r="V136" s="10">
        <v>43657</v>
      </c>
      <c r="W136" s="101">
        <v>73766786.311034098</v>
      </c>
      <c r="X136" s="101">
        <v>88689807.181756303</v>
      </c>
      <c r="Y136" s="102">
        <v>80000000</v>
      </c>
      <c r="II136" s="12"/>
      <c r="IJ136" s="12"/>
      <c r="IK136" s="109"/>
      <c r="IL136" s="109"/>
      <c r="IP136" s="12"/>
      <c r="IQ136" s="12"/>
      <c r="IR136" s="109"/>
      <c r="IS136" s="109"/>
      <c r="IW136" s="16" t="s">
        <v>169</v>
      </c>
      <c r="IX136" s="12">
        <v>44931</v>
      </c>
      <c r="IY136" s="103">
        <v>20659761.872909699</v>
      </c>
      <c r="IZ136" s="104">
        <v>4000000</v>
      </c>
      <c r="JE136" s="12" t="str">
        <f t="shared" si="271"/>
        <v>Since FY21</v>
      </c>
      <c r="JF136" s="12">
        <f t="shared" si="269"/>
        <v>44497</v>
      </c>
      <c r="JG136" s="109">
        <f t="shared" si="291"/>
        <v>18.862208574034657</v>
      </c>
      <c r="JH136" s="109">
        <f t="shared" si="291"/>
        <v>3</v>
      </c>
      <c r="JI136" s="109"/>
      <c r="JJ136" s="40"/>
      <c r="JN136" s="12" t="str">
        <f t="shared" si="297"/>
        <v>Since FY21</v>
      </c>
      <c r="JO136" s="12">
        <f t="shared" si="297"/>
        <v>44483</v>
      </c>
      <c r="JP136" s="109">
        <f t="shared" si="298"/>
        <v>59.016362663423536</v>
      </c>
      <c r="JQ136" s="109">
        <f t="shared" si="298"/>
        <v>40</v>
      </c>
      <c r="JR136" s="109" t="e">
        <f t="shared" si="299"/>
        <v>#N/A</v>
      </c>
      <c r="JS136" s="109" t="e">
        <f t="shared" si="299"/>
        <v>#N/A</v>
      </c>
      <c r="JT136" s="40" t="e">
        <f>NA()</f>
        <v>#N/A</v>
      </c>
      <c r="JU136" s="40" t="e">
        <f>NA()</f>
        <v>#N/A</v>
      </c>
    </row>
    <row r="137" spans="13:281" x14ac:dyDescent="0.25">
      <c r="M137" s="5" t="str" cm="1">
        <f t="array" ref="M137">LOOKUP(2,1/($G$19:$G$35&lt;=$V137)/($H$19:$H$35&gt;=$V137),$F$19:$F$35)</f>
        <v>1H20</v>
      </c>
      <c r="N137" s="5" t="str" cm="1">
        <f t="array" ref="N137">LOOKUP(2,1/($G$8:$G$16&lt;=$V137)/($H$8:$H$16&gt;=$V137),$F$8:$F$16)</f>
        <v>FY20</v>
      </c>
      <c r="O137" s="5" t="str">
        <f>IFERROR(N137&amp;"-"&amp;COUNTIF($N$19:N137,N137),NA())</f>
        <v>FY20-3</v>
      </c>
      <c r="P137" s="5">
        <f>COUNTIF(V$19:V137,"&gt;="&amp;MAX($V:$V)-183)</f>
        <v>0</v>
      </c>
      <c r="Q137" s="5">
        <f>COUNTIF(V$19:V137,"&gt;="&amp;MAX($V:$V)-365)</f>
        <v>0</v>
      </c>
      <c r="R137" s="5" cm="1">
        <f t="array" ref="R137">LOOKUP(2,1/($G$46:$G$50&lt;=$V137)/($H$46:$H$50&gt;=$V137),$F$46:$F$50)</f>
        <v>0</v>
      </c>
      <c r="S137" s="5" cm="1">
        <f t="array" ref="S137">LOOKUP(2,1/($G$53:$G$56&lt;=$V137)/($H$53:$H$56&gt;=$V137),$F$53:$F$56)</f>
        <v>0</v>
      </c>
      <c r="T137" s="5" t="e">
        <f>IFERROR(IF($R137&gt;0,$R137&amp;"-"&amp;COUNTIF($R$19:$R137,$R137),NA()),NA())</f>
        <v>#N/A</v>
      </c>
      <c r="U137" s="5" t="e">
        <f>IFERROR(IF($S137&gt;0,$S137&amp;"-"&amp;COUNTIF($S$19:$S137,$S137),NA()),NA())</f>
        <v>#N/A</v>
      </c>
      <c r="V137" s="10">
        <v>43664</v>
      </c>
      <c r="W137" s="101">
        <v>149659728.94362274</v>
      </c>
      <c r="X137" s="101">
        <v>179935892.10891765</v>
      </c>
      <c r="Y137" s="102">
        <v>110000000</v>
      </c>
      <c r="IP137" s="12"/>
      <c r="IQ137" s="12"/>
      <c r="IR137" s="109"/>
      <c r="IS137" s="109"/>
      <c r="IW137" s="16" t="s">
        <v>169</v>
      </c>
      <c r="IX137" s="12">
        <v>44938</v>
      </c>
      <c r="IY137" s="103">
        <v>22177022.316813622</v>
      </c>
      <c r="IZ137" s="104">
        <v>4000000</v>
      </c>
      <c r="JE137" s="12" t="str">
        <f t="shared" si="271"/>
        <v>Since FY21</v>
      </c>
      <c r="JF137" s="12">
        <f t="shared" si="269"/>
        <v>44504</v>
      </c>
      <c r="JG137" s="109">
        <f t="shared" si="291"/>
        <v>25.128435147461236</v>
      </c>
      <c r="JH137" s="109">
        <f t="shared" si="291"/>
        <v>8</v>
      </c>
      <c r="JI137" s="109"/>
      <c r="JJ137" s="40"/>
      <c r="JN137" s="12" t="str">
        <f t="shared" si="297"/>
        <v>Since FY21</v>
      </c>
      <c r="JO137" s="12">
        <f t="shared" si="297"/>
        <v>44490</v>
      </c>
      <c r="JP137" s="109">
        <f t="shared" si="298"/>
        <v>83.423387290969913</v>
      </c>
      <c r="JQ137" s="109">
        <f t="shared" si="298"/>
        <v>60</v>
      </c>
      <c r="JR137" s="109" t="e">
        <f t="shared" si="299"/>
        <v>#N/A</v>
      </c>
      <c r="JS137" s="109" t="e">
        <f t="shared" si="299"/>
        <v>#N/A</v>
      </c>
      <c r="JT137" s="40" t="e">
        <f>NA()</f>
        <v>#N/A</v>
      </c>
      <c r="JU137" s="40" t="e">
        <f>NA()</f>
        <v>#N/A</v>
      </c>
    </row>
    <row r="138" spans="13:281" x14ac:dyDescent="0.25">
      <c r="M138" s="5" t="str" cm="1">
        <f t="array" ref="M138">LOOKUP(2,1/($G$19:$G$35&lt;=$V138)/($H$19:$H$35&gt;=$V138),$F$19:$F$35)</f>
        <v>1H20</v>
      </c>
      <c r="N138" s="5" t="str" cm="1">
        <f t="array" ref="N138">LOOKUP(2,1/($G$8:$G$16&lt;=$V138)/($H$8:$H$16&gt;=$V138),$F$8:$F$16)</f>
        <v>FY20</v>
      </c>
      <c r="O138" s="5" t="str">
        <f>IFERROR(N138&amp;"-"&amp;COUNTIF($N$19:N138,N138),NA())</f>
        <v>FY20-4</v>
      </c>
      <c r="P138" s="5">
        <f>COUNTIF(V$19:V138,"&gt;="&amp;MAX($V:$V)-183)</f>
        <v>0</v>
      </c>
      <c r="Q138" s="5">
        <f>COUNTIF(V$19:V138,"&gt;="&amp;MAX($V:$V)-365)</f>
        <v>0</v>
      </c>
      <c r="R138" s="5" cm="1">
        <f t="array" ref="R138">LOOKUP(2,1/($G$46:$G$50&lt;=$V138)/($H$46:$H$50&gt;=$V138),$F$46:$F$50)</f>
        <v>0</v>
      </c>
      <c r="S138" s="5" cm="1">
        <f t="array" ref="S138">LOOKUP(2,1/($G$53:$G$56&lt;=$V138)/($H$53:$H$56&gt;=$V138),$F$53:$F$56)</f>
        <v>0</v>
      </c>
      <c r="T138" s="5" t="e">
        <f>IFERROR(IF($R138&gt;0,$R138&amp;"-"&amp;COUNTIF($R$19:$R138,$R138),NA()),NA())</f>
        <v>#N/A</v>
      </c>
      <c r="U138" s="5" t="e">
        <f>IFERROR(IF($S138&gt;0,$S138&amp;"-"&amp;COUNTIF($S$19:$S138,$S138),NA()),NA())</f>
        <v>#N/A</v>
      </c>
      <c r="V138" s="10">
        <v>43671</v>
      </c>
      <c r="W138" s="101">
        <v>14254130.329847144</v>
      </c>
      <c r="X138" s="101">
        <v>17137740.895575222</v>
      </c>
      <c r="Y138" s="102">
        <v>3000000</v>
      </c>
      <c r="IP138" s="12"/>
      <c r="IQ138" s="12"/>
      <c r="IR138" s="109"/>
      <c r="IS138" s="109"/>
      <c r="IW138" s="16" t="s">
        <v>169</v>
      </c>
      <c r="IX138" s="12">
        <v>44945</v>
      </c>
      <c r="IY138" s="103">
        <v>28696273.517786555</v>
      </c>
      <c r="IZ138" s="104">
        <v>8000000</v>
      </c>
      <c r="JE138" s="12" t="str">
        <f t="shared" si="271"/>
        <v>Since FY21</v>
      </c>
      <c r="JF138" s="12">
        <f t="shared" si="269"/>
        <v>44511</v>
      </c>
      <c r="JG138" s="109">
        <f t="shared" si="291"/>
        <v>41.533547217999399</v>
      </c>
      <c r="JH138" s="109">
        <f t="shared" si="291"/>
        <v>20</v>
      </c>
      <c r="JI138" s="109"/>
      <c r="JJ138" s="40"/>
      <c r="JN138" s="12" t="str">
        <f t="shared" si="297"/>
        <v>Since FY21</v>
      </c>
      <c r="JO138" s="12">
        <f t="shared" si="297"/>
        <v>44497</v>
      </c>
      <c r="JP138" s="109">
        <f t="shared" si="298"/>
        <v>18.862208574034657</v>
      </c>
      <c r="JQ138" s="109">
        <f t="shared" si="298"/>
        <v>3</v>
      </c>
      <c r="JR138" s="109" t="e">
        <f t="shared" si="299"/>
        <v>#N/A</v>
      </c>
      <c r="JS138" s="109" t="e">
        <f t="shared" si="299"/>
        <v>#N/A</v>
      </c>
      <c r="JT138" s="40" t="e">
        <f>NA()</f>
        <v>#N/A</v>
      </c>
      <c r="JU138" s="40" t="e">
        <f>NA()</f>
        <v>#N/A</v>
      </c>
    </row>
    <row r="139" spans="13:281" x14ac:dyDescent="0.25">
      <c r="M139" s="5" t="str" cm="1">
        <f t="array" ref="M139">LOOKUP(2,1/($G$19:$G$35&lt;=$V139)/($H$19:$H$35&gt;=$V139),$F$19:$F$35)</f>
        <v>1H20</v>
      </c>
      <c r="N139" s="5" t="str" cm="1">
        <f t="array" ref="N139">LOOKUP(2,1/($G$8:$G$16&lt;=$V139)/($H$8:$H$16&gt;=$V139),$F$8:$F$16)</f>
        <v>FY20</v>
      </c>
      <c r="O139" s="5" t="str">
        <f>IFERROR(N139&amp;"-"&amp;COUNTIF($N$19:N139,N139),NA())</f>
        <v>FY20-5</v>
      </c>
      <c r="P139" s="5">
        <f>COUNTIF(V$19:V139,"&gt;="&amp;MAX($V:$V)-183)</f>
        <v>0</v>
      </c>
      <c r="Q139" s="5">
        <f>COUNTIF(V$19:V139,"&gt;="&amp;MAX($V:$V)-365)</f>
        <v>0</v>
      </c>
      <c r="R139" s="5" cm="1">
        <f t="array" ref="R139">LOOKUP(2,1/($G$46:$G$50&lt;=$V139)/($H$46:$H$50&gt;=$V139),$F$46:$F$50)</f>
        <v>0</v>
      </c>
      <c r="S139" s="5" cm="1">
        <f t="array" ref="S139">LOOKUP(2,1/($G$53:$G$56&lt;=$V139)/($H$53:$H$56&gt;=$V139),$F$53:$F$56)</f>
        <v>0</v>
      </c>
      <c r="T139" s="5" t="e">
        <f>IFERROR(IF($R139&gt;0,$R139&amp;"-"&amp;COUNTIF($R$19:$R139,$R139),NA()),NA())</f>
        <v>#N/A</v>
      </c>
      <c r="U139" s="5" t="e">
        <f>IFERROR(IF($S139&gt;0,$S139&amp;"-"&amp;COUNTIF($S$19:$S139,$S139),NA()),NA())</f>
        <v>#N/A</v>
      </c>
      <c r="V139" s="10">
        <v>43678</v>
      </c>
      <c r="W139" s="101">
        <v>17621573.612228479</v>
      </c>
      <c r="X139" s="101">
        <v>21186417.953982305</v>
      </c>
      <c r="Y139" s="102">
        <v>8000000</v>
      </c>
      <c r="IW139" s="16" t="s">
        <v>169</v>
      </c>
      <c r="IX139" s="12">
        <v>44952</v>
      </c>
      <c r="IY139" s="103">
        <v>41976722.529644273</v>
      </c>
      <c r="IZ139" s="104">
        <v>20000000</v>
      </c>
      <c r="JE139" s="12" t="str">
        <f t="shared" si="271"/>
        <v>Since FY21</v>
      </c>
      <c r="JF139" s="12">
        <f t="shared" si="269"/>
        <v>44518</v>
      </c>
      <c r="JG139" s="109">
        <f t="shared" si="291"/>
        <v>57.357794101550631</v>
      </c>
      <c r="JH139" s="109">
        <f t="shared" si="291"/>
        <v>40</v>
      </c>
      <c r="JI139" s="109"/>
      <c r="JJ139" s="40"/>
      <c r="JN139" s="12" t="str">
        <f t="shared" si="297"/>
        <v>Since FY21</v>
      </c>
      <c r="JO139" s="12">
        <f t="shared" si="297"/>
        <v>44504</v>
      </c>
      <c r="JP139" s="109">
        <f t="shared" si="298"/>
        <v>25.128435147461236</v>
      </c>
      <c r="JQ139" s="109">
        <f t="shared" si="298"/>
        <v>8</v>
      </c>
      <c r="JR139" s="109" t="e">
        <f t="shared" si="299"/>
        <v>#N/A</v>
      </c>
      <c r="JS139" s="109" t="e">
        <f t="shared" si="299"/>
        <v>#N/A</v>
      </c>
      <c r="JT139" s="40" t="e">
        <f>NA()</f>
        <v>#N/A</v>
      </c>
      <c r="JU139" s="40" t="e">
        <f>NA()</f>
        <v>#N/A</v>
      </c>
    </row>
    <row r="140" spans="13:281" x14ac:dyDescent="0.25">
      <c r="M140" s="5" t="str" cm="1">
        <f t="array" ref="M140">LOOKUP(2,1/($G$19:$G$35&lt;=$V140)/($H$19:$H$35&gt;=$V140),$F$19:$F$35)</f>
        <v>1H20</v>
      </c>
      <c r="N140" s="5" t="str" cm="1">
        <f t="array" ref="N140">LOOKUP(2,1/($G$8:$G$16&lt;=$V140)/($H$8:$H$16&gt;=$V140),$F$8:$F$16)</f>
        <v>FY20</v>
      </c>
      <c r="O140" s="5" t="str">
        <f>IFERROR(N140&amp;"-"&amp;COUNTIF($N$19:N140,N140),NA())</f>
        <v>FY20-6</v>
      </c>
      <c r="P140" s="5">
        <f>COUNTIF(V$19:V140,"&gt;="&amp;MAX($V:$V)-183)</f>
        <v>0</v>
      </c>
      <c r="Q140" s="5">
        <f>COUNTIF(V$19:V140,"&gt;="&amp;MAX($V:$V)-365)</f>
        <v>0</v>
      </c>
      <c r="R140" s="5" cm="1">
        <f t="array" ref="R140">LOOKUP(2,1/($G$46:$G$50&lt;=$V140)/($H$46:$H$50&gt;=$V140),$F$46:$F$50)</f>
        <v>0</v>
      </c>
      <c r="S140" s="5" cm="1">
        <f t="array" ref="S140">LOOKUP(2,1/($G$53:$G$56&lt;=$V140)/($H$53:$H$56&gt;=$V140),$F$53:$F$56)</f>
        <v>0</v>
      </c>
      <c r="T140" s="5" t="e">
        <f>IFERROR(IF($R140&gt;0,$R140&amp;"-"&amp;COUNTIF($R$19:$R140,$R140),NA()),NA())</f>
        <v>#N/A</v>
      </c>
      <c r="U140" s="5" t="e">
        <f>IFERROR(IF($S140&gt;0,$S140&amp;"-"&amp;COUNTIF($S$19:$S140,$S140),NA()),NA())</f>
        <v>#N/A</v>
      </c>
      <c r="V140" s="10">
        <v>43685</v>
      </c>
      <c r="W140" s="101">
        <v>22977947.397735007</v>
      </c>
      <c r="X140" s="101">
        <v>27626386.156296801</v>
      </c>
      <c r="Y140" s="102">
        <v>12000000</v>
      </c>
      <c r="IW140" s="16" t="s">
        <v>169</v>
      </c>
      <c r="IX140" s="12">
        <v>44959</v>
      </c>
      <c r="IY140" s="103">
        <v>59808873.700212829</v>
      </c>
      <c r="IZ140" s="104">
        <v>40000000</v>
      </c>
      <c r="JE140" s="12" t="str">
        <f t="shared" si="271"/>
        <v>Since FY21</v>
      </c>
      <c r="JF140" s="12">
        <f t="shared" si="269"/>
        <v>44525</v>
      </c>
      <c r="JG140" s="109">
        <f t="shared" si="291"/>
        <v>81.402100334448164</v>
      </c>
      <c r="JH140" s="109">
        <f t="shared" si="291"/>
        <v>60</v>
      </c>
      <c r="JI140" s="109"/>
      <c r="JJ140" s="40"/>
      <c r="JN140" s="12" t="str">
        <f t="shared" si="297"/>
        <v>Since FY21</v>
      </c>
      <c r="JO140" s="12">
        <f t="shared" si="297"/>
        <v>44511</v>
      </c>
      <c r="JP140" s="109">
        <f t="shared" si="298"/>
        <v>41.533547217999399</v>
      </c>
      <c r="JQ140" s="109">
        <f t="shared" si="298"/>
        <v>20</v>
      </c>
      <c r="JR140" s="109" t="e">
        <f t="shared" si="299"/>
        <v>#N/A</v>
      </c>
      <c r="JS140" s="109" t="e">
        <f t="shared" si="299"/>
        <v>#N/A</v>
      </c>
      <c r="JT140" s="40" t="e">
        <f>NA()</f>
        <v>#N/A</v>
      </c>
      <c r="JU140" s="40" t="e">
        <f>NA()</f>
        <v>#N/A</v>
      </c>
    </row>
    <row r="141" spans="13:281" x14ac:dyDescent="0.25">
      <c r="M141" s="5" t="str" cm="1">
        <f t="array" ref="M141">LOOKUP(2,1/($G$19:$G$35&lt;=$V141)/($H$19:$H$35&gt;=$V141),$F$19:$F$35)</f>
        <v>1H20</v>
      </c>
      <c r="N141" s="5" t="str" cm="1">
        <f t="array" ref="N141">LOOKUP(2,1/($G$8:$G$16&lt;=$V141)/($H$8:$H$16&gt;=$V141),$F$8:$F$16)</f>
        <v>FY20</v>
      </c>
      <c r="O141" s="5" t="str">
        <f>IFERROR(N141&amp;"-"&amp;COUNTIF($N$19:N141,N141),NA())</f>
        <v>FY20-7</v>
      </c>
      <c r="P141" s="5">
        <f>COUNTIF(V$19:V141,"&gt;="&amp;MAX($V:$V)-183)</f>
        <v>0</v>
      </c>
      <c r="Q141" s="5">
        <f>COUNTIF(V$19:V141,"&gt;="&amp;MAX($V:$V)-365)</f>
        <v>0</v>
      </c>
      <c r="R141" s="5" cm="1">
        <f t="array" ref="R141">LOOKUP(2,1/($G$46:$G$50&lt;=$V141)/($H$46:$H$50&gt;=$V141),$F$46:$F$50)</f>
        <v>0</v>
      </c>
      <c r="S141" s="5" cm="1">
        <f t="array" ref="S141">LOOKUP(2,1/($G$53:$G$56&lt;=$V141)/($H$53:$H$56&gt;=$V141),$F$53:$F$56)</f>
        <v>0</v>
      </c>
      <c r="T141" s="5" t="e">
        <f>IFERROR(IF($R141&gt;0,$R141&amp;"-"&amp;COUNTIF($R$19:$R141,$R141),NA()),NA())</f>
        <v>#N/A</v>
      </c>
      <c r="U141" s="5" t="e">
        <f>IFERROR(IF($S141&gt;0,$S141&amp;"-"&amp;COUNTIF($S$19:$S141,$S141),NA()),NA())</f>
        <v>#N/A</v>
      </c>
      <c r="V141" s="10">
        <v>43692</v>
      </c>
      <c r="W141" s="101">
        <v>29967446.995482393</v>
      </c>
      <c r="X141" s="101">
        <v>36029861.522668488</v>
      </c>
      <c r="Y141" s="102">
        <v>20000000</v>
      </c>
      <c r="IW141" s="16" t="s">
        <v>169</v>
      </c>
      <c r="IX141" s="12">
        <v>44966</v>
      </c>
      <c r="IY141" s="103">
        <v>20069480.4499848</v>
      </c>
      <c r="IZ141" s="104">
        <v>4000000</v>
      </c>
      <c r="JE141" s="12" t="str">
        <f t="shared" si="271"/>
        <v>Since FY21</v>
      </c>
      <c r="JF141" s="12">
        <f t="shared" si="269"/>
        <v>44532</v>
      </c>
      <c r="JG141" s="109">
        <f t="shared" si="291"/>
        <v>109.81424530252357</v>
      </c>
      <c r="JH141" s="109">
        <f t="shared" si="291"/>
        <v>80</v>
      </c>
      <c r="JI141" s="109"/>
      <c r="JJ141" s="40"/>
      <c r="JN141" s="12" t="str">
        <f t="shared" si="297"/>
        <v>Since FY21</v>
      </c>
      <c r="JO141" s="12">
        <f t="shared" si="297"/>
        <v>44518</v>
      </c>
      <c r="JP141" s="109">
        <f t="shared" si="298"/>
        <v>57.357794101550631</v>
      </c>
      <c r="JQ141" s="109">
        <f t="shared" si="298"/>
        <v>40</v>
      </c>
      <c r="JR141" s="109" t="e">
        <f t="shared" si="299"/>
        <v>#N/A</v>
      </c>
      <c r="JS141" s="109" t="e">
        <f t="shared" si="299"/>
        <v>#N/A</v>
      </c>
      <c r="JT141" s="40" t="e">
        <f>NA()</f>
        <v>#N/A</v>
      </c>
      <c r="JU141" s="40" t="e">
        <f>NA()</f>
        <v>#N/A</v>
      </c>
    </row>
    <row r="142" spans="13:281" x14ac:dyDescent="0.25">
      <c r="M142" s="5" t="str" cm="1">
        <f t="array" ref="M142">LOOKUP(2,1/($G$19:$G$35&lt;=$V142)/($H$19:$H$35&gt;=$V142),$F$19:$F$35)</f>
        <v>1H20</v>
      </c>
      <c r="N142" s="5" t="str" cm="1">
        <f t="array" ref="N142">LOOKUP(2,1/($G$8:$G$16&lt;=$V142)/($H$8:$H$16&gt;=$V142),$F$8:$F$16)</f>
        <v>FY20</v>
      </c>
      <c r="O142" s="5" t="str">
        <f>IFERROR(N142&amp;"-"&amp;COUNTIF($N$19:N142,N142),NA())</f>
        <v>FY20-8</v>
      </c>
      <c r="P142" s="5">
        <f>COUNTIF(V$19:V142,"&gt;="&amp;MAX($V:$V)-183)</f>
        <v>0</v>
      </c>
      <c r="Q142" s="5">
        <f>COUNTIF(V$19:V142,"&gt;="&amp;MAX($V:$V)-365)</f>
        <v>0</v>
      </c>
      <c r="R142" s="5" cm="1">
        <f t="array" ref="R142">LOOKUP(2,1/($G$46:$G$50&lt;=$V142)/($H$46:$H$50&gt;=$V142),$F$46:$F$50)</f>
        <v>0</v>
      </c>
      <c r="S142" s="5" cm="1">
        <f t="array" ref="S142">LOOKUP(2,1/($G$53:$G$56&lt;=$V142)/($H$53:$H$56&gt;=$V142),$F$53:$F$56)</f>
        <v>0</v>
      </c>
      <c r="T142" s="5" t="e">
        <f>IFERROR(IF($R142&gt;0,$R142&amp;"-"&amp;COUNTIF($R$19:$R142,$R142),NA()),NA())</f>
        <v>#N/A</v>
      </c>
      <c r="U142" s="5" t="e">
        <f>IFERROR(IF($S142&gt;0,$S142&amp;"-"&amp;COUNTIF($S$19:$S142,$S142),NA()),NA())</f>
        <v>#N/A</v>
      </c>
      <c r="V142" s="10">
        <v>43699</v>
      </c>
      <c r="W142" s="101">
        <v>39864962.683334358</v>
      </c>
      <c r="X142" s="101">
        <v>47929644.634172902</v>
      </c>
      <c r="Y142" s="102">
        <v>40000000</v>
      </c>
      <c r="IW142" s="16" t="s">
        <v>169</v>
      </c>
      <c r="IX142" s="12">
        <v>44973</v>
      </c>
      <c r="IY142" s="103">
        <v>27295176.771055035</v>
      </c>
      <c r="IZ142" s="104">
        <v>8000000</v>
      </c>
      <c r="JE142" s="12" t="str">
        <f t="shared" si="271"/>
        <v>Since FY21</v>
      </c>
      <c r="JF142" s="12">
        <f t="shared" si="269"/>
        <v>44539</v>
      </c>
      <c r="JG142" s="109">
        <f t="shared" si="291"/>
        <v>18.912447065977499</v>
      </c>
      <c r="JH142" s="109">
        <f t="shared" si="291"/>
        <v>3</v>
      </c>
      <c r="JI142" s="109"/>
      <c r="JJ142" s="40"/>
      <c r="JN142" s="12" t="str">
        <f t="shared" si="297"/>
        <v>Since FY21</v>
      </c>
      <c r="JO142" s="12">
        <f t="shared" si="297"/>
        <v>44525</v>
      </c>
      <c r="JP142" s="109">
        <f t="shared" si="298"/>
        <v>81.402100334448164</v>
      </c>
      <c r="JQ142" s="109">
        <f t="shared" si="298"/>
        <v>60</v>
      </c>
      <c r="JR142" s="109" t="e">
        <f t="shared" si="299"/>
        <v>#N/A</v>
      </c>
      <c r="JS142" s="109" t="e">
        <f t="shared" si="299"/>
        <v>#N/A</v>
      </c>
      <c r="JT142" s="40" t="e">
        <f>NA()</f>
        <v>#N/A</v>
      </c>
      <c r="JU142" s="40" t="e">
        <f>NA()</f>
        <v>#N/A</v>
      </c>
    </row>
    <row r="143" spans="13:281" x14ac:dyDescent="0.25">
      <c r="M143" s="5" t="str" cm="1">
        <f t="array" ref="M143">LOOKUP(2,1/($G$19:$G$35&lt;=$V143)/($H$19:$H$35&gt;=$V143),$F$19:$F$35)</f>
        <v>1H20</v>
      </c>
      <c r="N143" s="5" t="str" cm="1">
        <f t="array" ref="N143">LOOKUP(2,1/($G$8:$G$16&lt;=$V143)/($H$8:$H$16&gt;=$V143),$F$8:$F$16)</f>
        <v>FY20</v>
      </c>
      <c r="O143" s="5" t="str">
        <f>IFERROR(N143&amp;"-"&amp;COUNTIF($N$19:N143,N143),NA())</f>
        <v>FY20-9</v>
      </c>
      <c r="P143" s="5">
        <f>COUNTIF(V$19:V143,"&gt;="&amp;MAX($V:$V)-183)</f>
        <v>0</v>
      </c>
      <c r="Q143" s="5">
        <f>COUNTIF(V$19:V143,"&gt;="&amp;MAX($V:$V)-365)</f>
        <v>0</v>
      </c>
      <c r="R143" s="5" cm="1">
        <f t="array" ref="R143">LOOKUP(2,1/($G$46:$G$50&lt;=$V143)/($H$46:$H$50&gt;=$V143),$F$46:$F$50)</f>
        <v>0</v>
      </c>
      <c r="S143" s="5" cm="1">
        <f t="array" ref="S143">LOOKUP(2,1/($G$53:$G$56&lt;=$V143)/($H$53:$H$56&gt;=$V143),$F$53:$F$56)</f>
        <v>0</v>
      </c>
      <c r="T143" s="5" t="e">
        <f>IFERROR(IF($R143&gt;0,$R143&amp;"-"&amp;COUNTIF($R$19:$R143,$R143),NA()),NA())</f>
        <v>#N/A</v>
      </c>
      <c r="U143" s="5" t="e">
        <f>IFERROR(IF($S143&gt;0,$S143&amp;"-"&amp;COUNTIF($S$19:$S143,$S143),NA()),NA())</f>
        <v>#N/A</v>
      </c>
      <c r="V143" s="10">
        <v>43706</v>
      </c>
      <c r="W143" s="101">
        <v>55027958.16572807</v>
      </c>
      <c r="X143" s="101">
        <v>66160114.102654867</v>
      </c>
      <c r="Y143" s="102">
        <v>60000000</v>
      </c>
      <c r="IW143" s="16" t="s">
        <v>169</v>
      </c>
      <c r="IX143" s="12">
        <v>44980</v>
      </c>
      <c r="IY143" s="103">
        <v>43788940.346609913</v>
      </c>
      <c r="IZ143" s="104">
        <v>20000000</v>
      </c>
      <c r="JE143" s="12" t="str">
        <f t="shared" si="271"/>
        <v>Since FY21</v>
      </c>
      <c r="JF143" s="12">
        <f t="shared" si="269"/>
        <v>44546</v>
      </c>
      <c r="JG143" s="109">
        <f t="shared" si="291"/>
        <v>26.709691456369718</v>
      </c>
      <c r="JH143" s="109">
        <f t="shared" si="291"/>
        <v>8</v>
      </c>
      <c r="JI143" s="109"/>
      <c r="JJ143" s="40"/>
      <c r="JN143" s="12" t="str">
        <f t="shared" si="297"/>
        <v>Since FY21</v>
      </c>
      <c r="JO143" s="12">
        <f t="shared" si="297"/>
        <v>44532</v>
      </c>
      <c r="JP143" s="109">
        <f t="shared" si="298"/>
        <v>109.81424530252357</v>
      </c>
      <c r="JQ143" s="109">
        <f t="shared" si="298"/>
        <v>80</v>
      </c>
      <c r="JR143" s="109" t="e">
        <f t="shared" si="299"/>
        <v>#N/A</v>
      </c>
      <c r="JS143" s="109" t="e">
        <f t="shared" si="299"/>
        <v>#N/A</v>
      </c>
      <c r="JT143" s="40" t="e">
        <f>NA()</f>
        <v>#N/A</v>
      </c>
      <c r="JU143" s="40" t="e">
        <f>NA()</f>
        <v>#N/A</v>
      </c>
    </row>
    <row r="144" spans="13:281" x14ac:dyDescent="0.25">
      <c r="M144" s="5" t="str" cm="1">
        <f t="array" ref="M144">LOOKUP(2,1/($G$19:$G$35&lt;=$V144)/($H$19:$H$35&gt;=$V144),$F$19:$F$35)</f>
        <v>1H20</v>
      </c>
      <c r="N144" s="5" t="str" cm="1">
        <f t="array" ref="N144">LOOKUP(2,1/($G$8:$G$16&lt;=$V144)/($H$8:$H$16&gt;=$V144),$F$8:$F$16)</f>
        <v>FY20</v>
      </c>
      <c r="O144" s="5" t="str">
        <f>IFERROR(N144&amp;"-"&amp;COUNTIF($N$19:N144,N144),NA())</f>
        <v>FY20-10</v>
      </c>
      <c r="P144" s="5">
        <f>COUNTIF(V$19:V144,"&gt;="&amp;MAX($V:$V)-183)</f>
        <v>0</v>
      </c>
      <c r="Q144" s="5">
        <f>COUNTIF(V$19:V144,"&gt;="&amp;MAX($V:$V)-365)</f>
        <v>0</v>
      </c>
      <c r="R144" s="5" cm="1">
        <f t="array" ref="R144">LOOKUP(2,1/($G$46:$G$50&lt;=$V144)/($H$46:$H$50&gt;=$V144),$F$46:$F$50)</f>
        <v>0</v>
      </c>
      <c r="S144" s="5" cm="1">
        <f t="array" ref="S144">LOOKUP(2,1/($G$53:$G$56&lt;=$V144)/($H$53:$H$56&gt;=$V144),$F$53:$F$56)</f>
        <v>0</v>
      </c>
      <c r="T144" s="5" t="e">
        <f>IFERROR(IF($R144&gt;0,$R144&amp;"-"&amp;COUNTIF($R$19:$R144,$R144),NA()),NA())</f>
        <v>#N/A</v>
      </c>
      <c r="U144" s="5" t="e">
        <f>IFERROR(IF($S144&gt;0,$S144&amp;"-"&amp;COUNTIF($S$19:$S144,$S144),NA()),NA())</f>
        <v>#N/A</v>
      </c>
      <c r="V144" s="10">
        <v>43713</v>
      </c>
      <c r="W144" s="101">
        <v>82565532.768116847</v>
      </c>
      <c r="X144" s="101">
        <v>99268540.047106892</v>
      </c>
      <c r="Y144" s="102">
        <v>80000000</v>
      </c>
      <c r="IW144" s="16" t="s">
        <v>169</v>
      </c>
      <c r="IX144" s="12">
        <v>44987</v>
      </c>
      <c r="IY144" s="103">
        <v>60656023.107327446</v>
      </c>
      <c r="IZ144" s="104">
        <v>40000000</v>
      </c>
      <c r="JE144" s="12" t="str">
        <f t="shared" si="271"/>
        <v>Since FY21</v>
      </c>
      <c r="JF144" s="12">
        <f t="shared" si="269"/>
        <v>44553</v>
      </c>
      <c r="JG144" s="109">
        <f t="shared" si="291"/>
        <v>40.654796959562177</v>
      </c>
      <c r="JH144" s="109">
        <f t="shared" si="291"/>
        <v>20</v>
      </c>
      <c r="JI144" s="109"/>
      <c r="JJ144" s="40"/>
      <c r="JN144" s="12" t="str">
        <f t="shared" si="297"/>
        <v>Since FY21</v>
      </c>
      <c r="JO144" s="12">
        <f t="shared" si="297"/>
        <v>44539</v>
      </c>
      <c r="JP144" s="109">
        <f t="shared" si="298"/>
        <v>18.912447065977499</v>
      </c>
      <c r="JQ144" s="109">
        <f t="shared" si="298"/>
        <v>3</v>
      </c>
      <c r="JR144" s="109" t="e">
        <f t="shared" si="299"/>
        <v>#N/A</v>
      </c>
      <c r="JS144" s="109" t="e">
        <f t="shared" si="299"/>
        <v>#N/A</v>
      </c>
      <c r="JT144" s="40" t="e">
        <f>NA()</f>
        <v>#N/A</v>
      </c>
      <c r="JU144" s="40" t="e">
        <f>NA()</f>
        <v>#N/A</v>
      </c>
    </row>
    <row r="145" spans="13:281" x14ac:dyDescent="0.25">
      <c r="M145" s="5" t="str" cm="1">
        <f t="array" ref="M145">LOOKUP(2,1/($G$19:$G$35&lt;=$V145)/($H$19:$H$35&gt;=$V145),$F$19:$F$35)</f>
        <v>1H20</v>
      </c>
      <c r="N145" s="5" t="str" cm="1">
        <f t="array" ref="N145">LOOKUP(2,1/($G$8:$G$16&lt;=$V145)/($H$8:$H$16&gt;=$V145),$F$8:$F$16)</f>
        <v>FY20</v>
      </c>
      <c r="O145" s="5" t="str">
        <f>IFERROR(N145&amp;"-"&amp;COUNTIF($N$19:N145,N145),NA())</f>
        <v>FY20-11</v>
      </c>
      <c r="P145" s="5">
        <f>COUNTIF(V$19:V145,"&gt;="&amp;MAX($V:$V)-183)</f>
        <v>0</v>
      </c>
      <c r="Q145" s="5">
        <f>COUNTIF(V$19:V145,"&gt;="&amp;MAX($V:$V)-365)</f>
        <v>0</v>
      </c>
      <c r="R145" s="5" cm="1">
        <f t="array" ref="R145">LOOKUP(2,1/($G$46:$G$50&lt;=$V145)/($H$46:$H$50&gt;=$V145),$F$46:$F$50)</f>
        <v>0</v>
      </c>
      <c r="S145" s="5" cm="1">
        <f t="array" ref="S145">LOOKUP(2,1/($G$53:$G$56&lt;=$V145)/($H$53:$H$56&gt;=$V145),$F$53:$F$56)</f>
        <v>0</v>
      </c>
      <c r="T145" s="5" t="e">
        <f>IFERROR(IF($R145&gt;0,$R145&amp;"-"&amp;COUNTIF($R$19:$R145,$R145),NA()),NA())</f>
        <v>#N/A</v>
      </c>
      <c r="U145" s="5" t="e">
        <f>IFERROR(IF($S145&gt;0,$S145&amp;"-"&amp;COUNTIF($S$19:$S145,$S145),NA()),NA())</f>
        <v>#N/A</v>
      </c>
      <c r="V145" s="10">
        <v>43720</v>
      </c>
      <c r="W145" s="101">
        <v>124361859.2734699</v>
      </c>
      <c r="X145" s="101">
        <v>149520263.40449288</v>
      </c>
      <c r="Y145" s="102">
        <v>100000000</v>
      </c>
      <c r="IW145" s="16" t="s">
        <v>169</v>
      </c>
      <c r="IX145" s="12">
        <v>44994</v>
      </c>
      <c r="IY145" s="103">
        <v>20922155.062328976</v>
      </c>
      <c r="IZ145" s="104">
        <v>4000000</v>
      </c>
      <c r="JE145" s="12" t="str">
        <f t="shared" si="271"/>
        <v>Since FY21</v>
      </c>
      <c r="JF145" s="12">
        <f t="shared" si="269"/>
        <v>44560</v>
      </c>
      <c r="JG145" s="109">
        <f t="shared" si="291"/>
        <v>45.526023472179993</v>
      </c>
      <c r="JH145" s="109">
        <f t="shared" si="291"/>
        <v>30</v>
      </c>
      <c r="JI145" s="109"/>
      <c r="JJ145" s="40"/>
      <c r="JN145" s="12" t="str">
        <f t="shared" si="297"/>
        <v>Since FY21</v>
      </c>
      <c r="JO145" s="12">
        <f t="shared" si="297"/>
        <v>44546</v>
      </c>
      <c r="JP145" s="109">
        <f t="shared" si="298"/>
        <v>26.709691456369718</v>
      </c>
      <c r="JQ145" s="109">
        <f t="shared" si="298"/>
        <v>8</v>
      </c>
      <c r="JR145" s="109" t="e">
        <f t="shared" si="299"/>
        <v>#N/A</v>
      </c>
      <c r="JS145" s="109" t="e">
        <f t="shared" si="299"/>
        <v>#N/A</v>
      </c>
      <c r="JT145" s="40" t="e">
        <f>NA()</f>
        <v>#N/A</v>
      </c>
      <c r="JU145" s="40" t="e">
        <f>NA()</f>
        <v>#N/A</v>
      </c>
    </row>
    <row r="146" spans="13:281" x14ac:dyDescent="0.25">
      <c r="M146" s="5" t="str" cm="1">
        <f t="array" ref="M146">LOOKUP(2,1/($G$19:$G$35&lt;=$V146)/($H$19:$H$35&gt;=$V146),$F$19:$F$35)</f>
        <v>1H20</v>
      </c>
      <c r="N146" s="5" t="str" cm="1">
        <f t="array" ref="N146">LOOKUP(2,1/($G$8:$G$16&lt;=$V146)/($H$8:$H$16&gt;=$V146),$F$8:$F$16)</f>
        <v>FY20</v>
      </c>
      <c r="O146" s="5" t="str">
        <f>IFERROR(N146&amp;"-"&amp;COUNTIF($N$19:N146,N146),NA())</f>
        <v>FY20-12</v>
      </c>
      <c r="P146" s="5">
        <f>COUNTIF(V$19:V146,"&gt;="&amp;MAX($V:$V)-183)</f>
        <v>0</v>
      </c>
      <c r="Q146" s="5">
        <f>COUNTIF(V$19:V146,"&gt;="&amp;MAX($V:$V)-365)</f>
        <v>0</v>
      </c>
      <c r="R146" s="5" cm="1">
        <f t="array" ref="R146">LOOKUP(2,1/($G$46:$G$50&lt;=$V146)/($H$46:$H$50&gt;=$V146),$F$46:$F$50)</f>
        <v>0</v>
      </c>
      <c r="S146" s="5" cm="1">
        <f t="array" ref="S146">LOOKUP(2,1/($G$53:$G$56&lt;=$V146)/($H$53:$H$56&gt;=$V146),$F$53:$F$56)</f>
        <v>0</v>
      </c>
      <c r="T146" s="5" t="e">
        <f>IFERROR(IF($R146&gt;0,$R146&amp;"-"&amp;COUNTIF($R$19:$R146,$R146),NA()),NA())</f>
        <v>#N/A</v>
      </c>
      <c r="U146" s="5" t="e">
        <f>IFERROR(IF($S146&gt;0,$S146&amp;"-"&amp;COUNTIF($S$19:$S146,$S146),NA()),NA())</f>
        <v>#N/A</v>
      </c>
      <c r="V146" s="10">
        <v>43727</v>
      </c>
      <c r="W146" s="101">
        <v>202664966.89151555</v>
      </c>
      <c r="X146" s="101">
        <v>243664089.69366917</v>
      </c>
      <c r="Y146" s="102">
        <v>150000000</v>
      </c>
      <c r="IW146" s="16" t="s">
        <v>169</v>
      </c>
      <c r="IX146" s="12">
        <v>45001</v>
      </c>
      <c r="IY146" s="103">
        <v>22050697.598054122</v>
      </c>
      <c r="IZ146" s="104">
        <v>4000000</v>
      </c>
      <c r="JE146" s="12" t="str">
        <f t="shared" si="271"/>
        <v>Since FY21</v>
      </c>
      <c r="JF146" s="12">
        <f t="shared" si="269"/>
        <v>44567</v>
      </c>
      <c r="JG146" s="109">
        <f t="shared" si="291"/>
        <v>76.041502462754636</v>
      </c>
      <c r="JH146" s="109">
        <f t="shared" si="291"/>
        <v>60</v>
      </c>
      <c r="JI146" s="109"/>
      <c r="JJ146" s="40"/>
      <c r="JN146" s="12" t="str">
        <f t="shared" si="297"/>
        <v>Since FY21</v>
      </c>
      <c r="JO146" s="12">
        <f t="shared" si="297"/>
        <v>44553</v>
      </c>
      <c r="JP146" s="109">
        <f t="shared" si="298"/>
        <v>40.654796959562177</v>
      </c>
      <c r="JQ146" s="109">
        <f t="shared" si="298"/>
        <v>20</v>
      </c>
      <c r="JR146" s="109" t="e">
        <f t="shared" si="299"/>
        <v>#N/A</v>
      </c>
      <c r="JS146" s="109" t="e">
        <f t="shared" si="299"/>
        <v>#N/A</v>
      </c>
      <c r="JT146" s="40" t="e">
        <f>NA()</f>
        <v>#N/A</v>
      </c>
      <c r="JU146" s="40" t="e">
        <f>NA()</f>
        <v>#N/A</v>
      </c>
    </row>
    <row r="147" spans="13:281" x14ac:dyDescent="0.25">
      <c r="M147" s="5" t="str" cm="1">
        <f t="array" ref="M147">LOOKUP(2,1/($G$19:$G$35&lt;=$V147)/($H$19:$H$35&gt;=$V147),$F$19:$F$35)</f>
        <v>1H20</v>
      </c>
      <c r="N147" s="5" t="str" cm="1">
        <f t="array" ref="N147">LOOKUP(2,1/($G$8:$G$16&lt;=$V147)/($H$8:$H$16&gt;=$V147),$F$8:$F$16)</f>
        <v>FY20</v>
      </c>
      <c r="O147" s="5" t="str">
        <f>IFERROR(N147&amp;"-"&amp;COUNTIF($N$19:N147,N147),NA())</f>
        <v>FY20-13</v>
      </c>
      <c r="P147" s="5">
        <f>COUNTIF(V$19:V147,"&gt;="&amp;MAX($V:$V)-183)</f>
        <v>0</v>
      </c>
      <c r="Q147" s="5">
        <f>COUNTIF(V$19:V147,"&gt;="&amp;MAX($V:$V)-365)</f>
        <v>0</v>
      </c>
      <c r="R147" s="5" cm="1">
        <f t="array" ref="R147">LOOKUP(2,1/($G$46:$G$50&lt;=$V147)/($H$46:$H$50&gt;=$V147),$F$46:$F$50)</f>
        <v>0</v>
      </c>
      <c r="S147" s="5" cm="1">
        <f t="array" ref="S147">LOOKUP(2,1/($G$53:$G$56&lt;=$V147)/($H$53:$H$56&gt;=$V147),$F$53:$F$56)</f>
        <v>0</v>
      </c>
      <c r="T147" s="5" t="e">
        <f>IFERROR(IF($R147&gt;0,$R147&amp;"-"&amp;COUNTIF($R$19:$R147,$R147),NA()),NA())</f>
        <v>#N/A</v>
      </c>
      <c r="U147" s="5" t="e">
        <f>IFERROR(IF($S147&gt;0,$S147&amp;"-"&amp;COUNTIF($S$19:$S147,$S147),NA()),NA())</f>
        <v>#N/A</v>
      </c>
      <c r="V147" s="10">
        <v>43734</v>
      </c>
      <c r="W147" s="101">
        <v>15306639.767312331</v>
      </c>
      <c r="X147" s="101">
        <v>18403172.992239617</v>
      </c>
      <c r="Y147" s="102">
        <v>3000000</v>
      </c>
      <c r="IW147" s="16" t="s">
        <v>169</v>
      </c>
      <c r="IX147" s="12">
        <v>45008</v>
      </c>
      <c r="IY147" s="103">
        <v>25902576.588628761</v>
      </c>
      <c r="IZ147" s="104">
        <v>8000000</v>
      </c>
      <c r="JE147" s="12" t="str">
        <f t="shared" si="271"/>
        <v>Since FY21</v>
      </c>
      <c r="JF147" s="12">
        <f t="shared" si="269"/>
        <v>44574</v>
      </c>
      <c r="JG147" s="109">
        <f t="shared" si="291"/>
        <v>18.115088355123142</v>
      </c>
      <c r="JH147" s="109">
        <f t="shared" si="291"/>
        <v>3</v>
      </c>
      <c r="JI147" s="109"/>
      <c r="JJ147" s="40"/>
      <c r="JN147" s="12" t="str">
        <f t="shared" si="297"/>
        <v>Since FY21</v>
      </c>
      <c r="JO147" s="12">
        <f t="shared" si="297"/>
        <v>44560</v>
      </c>
      <c r="JP147" s="109">
        <f t="shared" si="298"/>
        <v>45.526023472179993</v>
      </c>
      <c r="JQ147" s="109">
        <f t="shared" si="298"/>
        <v>30</v>
      </c>
      <c r="JR147" s="109" t="e">
        <f t="shared" si="299"/>
        <v>#N/A</v>
      </c>
      <c r="JS147" s="109" t="e">
        <f t="shared" si="299"/>
        <v>#N/A</v>
      </c>
      <c r="JT147" s="40" t="e">
        <f>NA()</f>
        <v>#N/A</v>
      </c>
      <c r="JU147" s="40" t="e">
        <f>NA()</f>
        <v>#N/A</v>
      </c>
    </row>
    <row r="148" spans="13:281" x14ac:dyDescent="0.25">
      <c r="M148" s="5" t="str" cm="1">
        <f t="array" ref="M148">LOOKUP(2,1/($G$19:$G$35&lt;=$V148)/($H$19:$H$35&gt;=$V148),$F$19:$F$35)</f>
        <v>1H20</v>
      </c>
      <c r="N148" s="5" t="str" cm="1">
        <f t="array" ref="N148">LOOKUP(2,1/($G$8:$G$16&lt;=$V148)/($H$8:$H$16&gt;=$V148),$F$8:$F$16)</f>
        <v>FY20</v>
      </c>
      <c r="O148" s="5" t="str">
        <f>IFERROR(N148&amp;"-"&amp;COUNTIF($N$19:N148,N148),NA())</f>
        <v>FY20-14</v>
      </c>
      <c r="P148" s="5">
        <f>COUNTIF(V$19:V148,"&gt;="&amp;MAX($V:$V)-183)</f>
        <v>0</v>
      </c>
      <c r="Q148" s="5">
        <f>COUNTIF(V$19:V148,"&gt;="&amp;MAX($V:$V)-365)</f>
        <v>0</v>
      </c>
      <c r="R148" s="5" cm="1">
        <f t="array" ref="R148">LOOKUP(2,1/($G$46:$G$50&lt;=$V148)/($H$46:$H$50&gt;=$V148),$F$46:$F$50)</f>
        <v>0</v>
      </c>
      <c r="S148" s="5" cm="1">
        <f t="array" ref="S148">LOOKUP(2,1/($G$53:$G$56&lt;=$V148)/($H$53:$H$56&gt;=$V148),$F$53:$F$56)</f>
        <v>0</v>
      </c>
      <c r="T148" s="5" t="e">
        <f>IFERROR(IF($R148&gt;0,$R148&amp;"-"&amp;COUNTIF($R$19:$R148,$R148),NA()),NA())</f>
        <v>#N/A</v>
      </c>
      <c r="U148" s="5" t="e">
        <f>IFERROR(IF($S148&gt;0,$S148&amp;"-"&amp;COUNTIF($S$19:$S148,$S148),NA()),NA())</f>
        <v>#N/A</v>
      </c>
      <c r="V148" s="10">
        <v>43741</v>
      </c>
      <c r="W148" s="101">
        <v>18203091.032860946</v>
      </c>
      <c r="X148" s="101">
        <v>22085810.350170188</v>
      </c>
      <c r="Y148" s="102">
        <v>8000000</v>
      </c>
      <c r="IW148" s="16" t="s">
        <v>169</v>
      </c>
      <c r="IX148" s="12">
        <v>45015</v>
      </c>
      <c r="IY148" s="103">
        <v>25590152.994831257</v>
      </c>
      <c r="IZ148" s="104">
        <v>8000000</v>
      </c>
      <c r="JE148" s="12" t="str">
        <f t="shared" si="271"/>
        <v>Since FY21</v>
      </c>
      <c r="JF148" s="12">
        <f t="shared" si="269"/>
        <v>44581</v>
      </c>
      <c r="JG148" s="109">
        <f t="shared" si="291"/>
        <v>23.312285071450287</v>
      </c>
      <c r="JH148" s="109">
        <f t="shared" si="291"/>
        <v>8</v>
      </c>
      <c r="JI148" s="109"/>
      <c r="JJ148" s="40"/>
      <c r="JN148" s="12" t="str">
        <f t="shared" si="297"/>
        <v>Since FY21</v>
      </c>
      <c r="JO148" s="12">
        <f t="shared" si="297"/>
        <v>44567</v>
      </c>
      <c r="JP148" s="109">
        <f t="shared" si="298"/>
        <v>76.041502462754636</v>
      </c>
      <c r="JQ148" s="109">
        <f t="shared" si="298"/>
        <v>60</v>
      </c>
      <c r="JR148" s="109" t="e">
        <f t="shared" si="299"/>
        <v>#N/A</v>
      </c>
      <c r="JS148" s="109" t="e">
        <f t="shared" si="299"/>
        <v>#N/A</v>
      </c>
      <c r="JT148" s="40" t="e">
        <f>NA()</f>
        <v>#N/A</v>
      </c>
      <c r="JU148" s="40" t="e">
        <f>NA()</f>
        <v>#N/A</v>
      </c>
    </row>
    <row r="149" spans="13:281" x14ac:dyDescent="0.25">
      <c r="M149" s="5" t="str" cm="1">
        <f t="array" ref="M149">LOOKUP(2,1/($G$19:$G$35&lt;=$V149)/($H$19:$H$35&gt;=$V149),$F$19:$F$35)</f>
        <v>1H20</v>
      </c>
      <c r="N149" s="5" t="str" cm="1">
        <f t="array" ref="N149">LOOKUP(2,1/($G$8:$G$16&lt;=$V149)/($H$8:$H$16&gt;=$V149),$F$8:$F$16)</f>
        <v>FY20</v>
      </c>
      <c r="O149" s="5" t="str">
        <f>IFERROR(N149&amp;"-"&amp;COUNTIF($N$19:N149,N149),NA())</f>
        <v>FY20-15</v>
      </c>
      <c r="P149" s="5">
        <f>COUNTIF(V$19:V149,"&gt;="&amp;MAX($V:$V)-183)</f>
        <v>0</v>
      </c>
      <c r="Q149" s="5">
        <f>COUNTIF(V$19:V149,"&gt;="&amp;MAX($V:$V)-365)</f>
        <v>0</v>
      </c>
      <c r="R149" s="5" cm="1">
        <f t="array" ref="R149">LOOKUP(2,1/($G$46:$G$50&lt;=$V149)/($H$46:$H$50&gt;=$V149),$F$46:$F$50)</f>
        <v>0</v>
      </c>
      <c r="S149" s="5" cm="1">
        <f t="array" ref="S149">LOOKUP(2,1/($G$53:$G$56&lt;=$V149)/($H$53:$H$56&gt;=$V149),$F$53:$F$56)</f>
        <v>0</v>
      </c>
      <c r="T149" s="5" t="e">
        <f>IFERROR(IF($R149&gt;0,$R149&amp;"-"&amp;COUNTIF($R$19:$R149,$R149),NA()),NA())</f>
        <v>#N/A</v>
      </c>
      <c r="U149" s="5" t="e">
        <f>IFERROR(IF($S149&gt;0,$S149&amp;"-"&amp;COUNTIF($S$19:$S149,$S149),NA()),NA())</f>
        <v>#N/A</v>
      </c>
      <c r="V149" s="10">
        <v>43748</v>
      </c>
      <c r="W149" s="101">
        <v>21627957.918188009</v>
      </c>
      <c r="X149" s="101">
        <v>26241201.342137512</v>
      </c>
      <c r="Y149" s="102">
        <v>12000000</v>
      </c>
      <c r="IW149" s="16" t="s">
        <v>169</v>
      </c>
      <c r="IX149" s="12">
        <v>45022</v>
      </c>
      <c r="IY149" s="103">
        <v>41047026.208574027</v>
      </c>
      <c r="IZ149" s="104">
        <v>20000000</v>
      </c>
      <c r="JE149" s="12" t="str">
        <f t="shared" si="271"/>
        <v>Since FY21</v>
      </c>
      <c r="JF149" s="12">
        <f t="shared" si="269"/>
        <v>44588</v>
      </c>
      <c r="JG149" s="109">
        <f t="shared" si="291"/>
        <v>34.469990878686531</v>
      </c>
      <c r="JH149" s="109">
        <f t="shared" si="291"/>
        <v>20</v>
      </c>
      <c r="JI149" s="109"/>
      <c r="JJ149" s="40"/>
      <c r="JN149" s="12" t="str">
        <f t="shared" ref="JN149:JO164" si="300">IF(OR(ISBLANK(IW85),$IZ85&gt;=$JO$66),NA(),IW85)</f>
        <v>Since FY21</v>
      </c>
      <c r="JO149" s="12">
        <f t="shared" si="300"/>
        <v>44574</v>
      </c>
      <c r="JP149" s="109">
        <f t="shared" ref="JP149:JQ164" si="301">IF(OR(ISBLANK(IY85),$IZ85&gt;=$JO$66),NA(),IY85)/1000000</f>
        <v>18.115088355123142</v>
      </c>
      <c r="JQ149" s="109">
        <f t="shared" si="301"/>
        <v>3</v>
      </c>
      <c r="JR149" s="109" t="e">
        <f t="shared" ref="JR149:JS164" si="302">IF(OR(ISBLANK(IY85),$IZ85&lt;$JR$66),NA(),IY85)/1000000</f>
        <v>#N/A</v>
      </c>
      <c r="JS149" s="109" t="e">
        <f t="shared" si="302"/>
        <v>#N/A</v>
      </c>
      <c r="JT149" s="40" t="e">
        <f>NA()</f>
        <v>#N/A</v>
      </c>
      <c r="JU149" s="40" t="e">
        <f>NA()</f>
        <v>#N/A</v>
      </c>
    </row>
    <row r="150" spans="13:281" x14ac:dyDescent="0.25">
      <c r="M150" s="5" t="str" cm="1">
        <f t="array" ref="M150">LOOKUP(2,1/($G$19:$G$35&lt;=$V150)/($H$19:$H$35&gt;=$V150),$F$19:$F$35)</f>
        <v>1H20</v>
      </c>
      <c r="N150" s="5" t="str" cm="1">
        <f t="array" ref="N150">LOOKUP(2,1/($G$8:$G$16&lt;=$V150)/($H$8:$H$16&gt;=$V150),$F$8:$F$16)</f>
        <v>FY20</v>
      </c>
      <c r="O150" s="5" t="str">
        <f>IFERROR(N150&amp;"-"&amp;COUNTIF($N$19:N150,N150),NA())</f>
        <v>FY20-16</v>
      </c>
      <c r="P150" s="5">
        <f>COUNTIF(V$19:V150,"&gt;="&amp;MAX($V:$V)-183)</f>
        <v>0</v>
      </c>
      <c r="Q150" s="5">
        <f>COUNTIF(V$19:V150,"&gt;="&amp;MAX($V:$V)-365)</f>
        <v>0</v>
      </c>
      <c r="R150" s="5" cm="1">
        <f t="array" ref="R150">LOOKUP(2,1/($G$46:$G$50&lt;=$V150)/($H$46:$H$50&gt;=$V150),$F$46:$F$50)</f>
        <v>0</v>
      </c>
      <c r="S150" s="5" cm="1">
        <f t="array" ref="S150">LOOKUP(2,1/($G$53:$G$56&lt;=$V150)/($H$53:$H$56&gt;=$V150),$F$53:$F$56)</f>
        <v>0</v>
      </c>
      <c r="T150" s="5" t="e">
        <f>IFERROR(IF($R150&gt;0,$R150&amp;"-"&amp;COUNTIF($R$19:$R150,$R150),NA()),NA())</f>
        <v>#N/A</v>
      </c>
      <c r="U150" s="5" t="e">
        <f>IFERROR(IF($S150&gt;0,$S150&amp;"-"&amp;COUNTIF($S$19:$S150,$S150),NA()),NA())</f>
        <v>#N/A</v>
      </c>
      <c r="V150" s="10">
        <v>43755</v>
      </c>
      <c r="W150" s="101">
        <v>14675381.397363698</v>
      </c>
      <c r="X150" s="101">
        <v>17805640.249421377</v>
      </c>
      <c r="Y150" s="102">
        <v>3000000</v>
      </c>
      <c r="IW150" s="16" t="s">
        <v>169</v>
      </c>
      <c r="IX150" s="12">
        <v>45029</v>
      </c>
      <c r="IY150" s="103">
        <v>49471698.145332925</v>
      </c>
      <c r="IZ150" s="104">
        <v>30000000</v>
      </c>
      <c r="JE150" s="12" t="str">
        <f t="shared" si="271"/>
        <v>Since FY21</v>
      </c>
      <c r="JF150" s="12">
        <f t="shared" si="269"/>
        <v>44595</v>
      </c>
      <c r="JG150" s="109">
        <f t="shared" si="291"/>
        <v>56.254159197324419</v>
      </c>
      <c r="JH150" s="109">
        <f t="shared" si="291"/>
        <v>40</v>
      </c>
      <c r="JI150" s="109"/>
      <c r="JJ150" s="40"/>
      <c r="JN150" s="12" t="str">
        <f t="shared" si="300"/>
        <v>Since FY21</v>
      </c>
      <c r="JO150" s="12">
        <f t="shared" si="300"/>
        <v>44581</v>
      </c>
      <c r="JP150" s="109">
        <f t="shared" si="301"/>
        <v>23.312285071450287</v>
      </c>
      <c r="JQ150" s="109">
        <f t="shared" si="301"/>
        <v>8</v>
      </c>
      <c r="JR150" s="109" t="e">
        <f t="shared" si="302"/>
        <v>#N/A</v>
      </c>
      <c r="JS150" s="109" t="e">
        <f t="shared" si="302"/>
        <v>#N/A</v>
      </c>
      <c r="JT150" s="40" t="e">
        <f>NA()</f>
        <v>#N/A</v>
      </c>
      <c r="JU150" s="40" t="e">
        <f>NA()</f>
        <v>#N/A</v>
      </c>
    </row>
    <row r="151" spans="13:281" x14ac:dyDescent="0.25">
      <c r="M151" s="5" t="str" cm="1">
        <f t="array" ref="M151">LOOKUP(2,1/($G$19:$G$35&lt;=$V151)/($H$19:$H$35&gt;=$V151),$F$19:$F$35)</f>
        <v>1H20</v>
      </c>
      <c r="N151" s="5" t="str" cm="1">
        <f t="array" ref="N151">LOOKUP(2,1/($G$8:$G$16&lt;=$V151)/($H$8:$H$16&gt;=$V151),$F$8:$F$16)</f>
        <v>FY20</v>
      </c>
      <c r="O151" s="5" t="str">
        <f>IFERROR(N151&amp;"-"&amp;COUNTIF($N$19:N151,N151),NA())</f>
        <v>FY20-17</v>
      </c>
      <c r="P151" s="5">
        <f>COUNTIF(V$19:V151,"&gt;="&amp;MAX($V:$V)-183)</f>
        <v>0</v>
      </c>
      <c r="Q151" s="5">
        <f>COUNTIF(V$19:V151,"&gt;="&amp;MAX($V:$V)-365)</f>
        <v>0</v>
      </c>
      <c r="R151" s="5" cm="1">
        <f t="array" ref="R151">LOOKUP(2,1/($G$46:$G$50&lt;=$V151)/($H$46:$H$50&gt;=$V151),$F$46:$F$50)</f>
        <v>0</v>
      </c>
      <c r="S151" s="5" cm="1">
        <f t="array" ref="S151">LOOKUP(2,1/($G$53:$G$56&lt;=$V151)/($H$53:$H$56&gt;=$V151),$F$53:$F$56)</f>
        <v>0</v>
      </c>
      <c r="T151" s="5" t="e">
        <f>IFERROR(IF($R151&gt;0,$R151&amp;"-"&amp;COUNTIF($R$19:$R151,$R151),NA()),NA())</f>
        <v>#N/A</v>
      </c>
      <c r="U151" s="5" t="e">
        <f>IFERROR(IF($S151&gt;0,$S151&amp;"-"&amp;COUNTIF($S$19:$S151,$S151),NA()),NA())</f>
        <v>#N/A</v>
      </c>
      <c r="V151" s="10">
        <v>43762</v>
      </c>
      <c r="W151" s="101">
        <v>19900891.144253977</v>
      </c>
      <c r="X151" s="101">
        <v>24145751.225323349</v>
      </c>
      <c r="Y151" s="102">
        <v>8000000</v>
      </c>
      <c r="IW151" s="16" t="s">
        <v>169</v>
      </c>
      <c r="IX151" s="12">
        <v>45036</v>
      </c>
      <c r="IY151" s="103">
        <v>21741040.681058068</v>
      </c>
      <c r="IZ151" s="104">
        <v>4000000</v>
      </c>
      <c r="JE151" s="12" t="str">
        <f t="shared" si="271"/>
        <v>Since FY21</v>
      </c>
      <c r="JF151" s="12">
        <f t="shared" si="269"/>
        <v>44602</v>
      </c>
      <c r="JG151" s="109">
        <f t="shared" si="291"/>
        <v>79.133284037701429</v>
      </c>
      <c r="JH151" s="109">
        <f t="shared" si="291"/>
        <v>60</v>
      </c>
      <c r="JI151" s="109"/>
      <c r="JJ151" s="40"/>
      <c r="JN151" s="12" t="str">
        <f t="shared" si="300"/>
        <v>Since FY21</v>
      </c>
      <c r="JO151" s="12">
        <f t="shared" si="300"/>
        <v>44588</v>
      </c>
      <c r="JP151" s="109">
        <f t="shared" si="301"/>
        <v>34.469990878686531</v>
      </c>
      <c r="JQ151" s="109">
        <f t="shared" si="301"/>
        <v>20</v>
      </c>
      <c r="JR151" s="109" t="e">
        <f t="shared" si="302"/>
        <v>#N/A</v>
      </c>
      <c r="JS151" s="109" t="e">
        <f t="shared" si="302"/>
        <v>#N/A</v>
      </c>
      <c r="JT151" s="40" t="e">
        <f>NA()</f>
        <v>#N/A</v>
      </c>
      <c r="JU151" s="40" t="e">
        <f>NA()</f>
        <v>#N/A</v>
      </c>
    </row>
    <row r="152" spans="13:281" x14ac:dyDescent="0.25">
      <c r="M152" s="5" t="str" cm="1">
        <f t="array" ref="M152">LOOKUP(2,1/($G$19:$G$35&lt;=$V152)/($H$19:$H$35&gt;=$V152),$F$19:$F$35)</f>
        <v>1H20</v>
      </c>
      <c r="N152" s="5" t="str" cm="1">
        <f t="array" ref="N152">LOOKUP(2,1/($G$8:$G$16&lt;=$V152)/($H$8:$H$16&gt;=$V152),$F$8:$F$16)</f>
        <v>FY20</v>
      </c>
      <c r="O152" s="5" t="str">
        <f>IFERROR(N152&amp;"-"&amp;COUNTIF($N$19:N152,N152),NA())</f>
        <v>FY20-18</v>
      </c>
      <c r="P152" s="5">
        <f>COUNTIF(V$19:V152,"&gt;="&amp;MAX($V:$V)-183)</f>
        <v>0</v>
      </c>
      <c r="Q152" s="5">
        <f>COUNTIF(V$19:V152,"&gt;="&amp;MAX($V:$V)-365)</f>
        <v>0</v>
      </c>
      <c r="R152" s="5" cm="1">
        <f t="array" ref="R152">LOOKUP(2,1/($G$46:$G$50&lt;=$V152)/($H$46:$H$50&gt;=$V152),$F$46:$F$50)</f>
        <v>0</v>
      </c>
      <c r="S152" s="5" cm="1">
        <f t="array" ref="S152">LOOKUP(2,1/($G$53:$G$56&lt;=$V152)/($H$53:$H$56&gt;=$V152),$F$53:$F$56)</f>
        <v>0</v>
      </c>
      <c r="T152" s="5" t="e">
        <f>IFERROR(IF($R152&gt;0,$R152&amp;"-"&amp;COUNTIF($R$19:$R152,$R152),NA()),NA())</f>
        <v>#N/A</v>
      </c>
      <c r="U152" s="5" t="e">
        <f>IFERROR(IF($S152&gt;0,$S152&amp;"-"&amp;COUNTIF($S$19:$S152,$S152),NA()),NA())</f>
        <v>#N/A</v>
      </c>
      <c r="V152" s="10">
        <v>43769</v>
      </c>
      <c r="W152" s="101">
        <v>22777251.067516554</v>
      </c>
      <c r="X152" s="101">
        <v>27635638.720217835</v>
      </c>
      <c r="Y152" s="102">
        <v>12000000</v>
      </c>
      <c r="IW152" s="16" t="s">
        <v>169</v>
      </c>
      <c r="IX152" s="12">
        <v>45043</v>
      </c>
      <c r="IY152" s="103">
        <v>27045895.28732137</v>
      </c>
      <c r="IZ152" s="104">
        <v>8000000</v>
      </c>
      <c r="JE152" s="12" t="str">
        <f t="shared" si="271"/>
        <v>Since FY21</v>
      </c>
      <c r="JF152" s="12">
        <f t="shared" si="271"/>
        <v>44609</v>
      </c>
      <c r="JG152" s="109">
        <f t="shared" si="291"/>
        <v>115.9472403770143</v>
      </c>
      <c r="JH152" s="109">
        <f t="shared" si="291"/>
        <v>80</v>
      </c>
      <c r="JI152" s="109"/>
      <c r="JJ152" s="40"/>
      <c r="JN152" s="12" t="str">
        <f t="shared" si="300"/>
        <v>Since FY21</v>
      </c>
      <c r="JO152" s="12">
        <f t="shared" si="300"/>
        <v>44595</v>
      </c>
      <c r="JP152" s="109">
        <f t="shared" si="301"/>
        <v>56.254159197324419</v>
      </c>
      <c r="JQ152" s="109">
        <f t="shared" si="301"/>
        <v>40</v>
      </c>
      <c r="JR152" s="109" t="e">
        <f t="shared" si="302"/>
        <v>#N/A</v>
      </c>
      <c r="JS152" s="109" t="e">
        <f t="shared" si="302"/>
        <v>#N/A</v>
      </c>
      <c r="JT152" s="40" t="e">
        <f>NA()</f>
        <v>#N/A</v>
      </c>
      <c r="JU152" s="40" t="e">
        <f>NA()</f>
        <v>#N/A</v>
      </c>
    </row>
    <row r="153" spans="13:281" x14ac:dyDescent="0.25">
      <c r="M153" s="5" t="str" cm="1">
        <f t="array" ref="M153">LOOKUP(2,1/($G$19:$G$35&lt;=$V153)/($H$19:$H$35&gt;=$V153),$F$19:$F$35)</f>
        <v>1H20</v>
      </c>
      <c r="N153" s="5" t="str" cm="1">
        <f t="array" ref="N153">LOOKUP(2,1/($G$8:$G$16&lt;=$V153)/($H$8:$H$16&gt;=$V153),$F$8:$F$16)</f>
        <v>FY20</v>
      </c>
      <c r="O153" s="5" t="str">
        <f>IFERROR(N153&amp;"-"&amp;COUNTIF($N$19:N153,N153),NA())</f>
        <v>FY20-19</v>
      </c>
      <c r="P153" s="5">
        <f>COUNTIF(V$19:V153,"&gt;="&amp;MAX($V:$V)-183)</f>
        <v>0</v>
      </c>
      <c r="Q153" s="5">
        <f>COUNTIF(V$19:V153,"&gt;="&amp;MAX($V:$V)-365)</f>
        <v>0</v>
      </c>
      <c r="R153" s="5" cm="1">
        <f t="array" ref="R153">LOOKUP(2,1/($G$46:$G$50&lt;=$V153)/($H$46:$H$50&gt;=$V153),$F$46:$F$50)</f>
        <v>0</v>
      </c>
      <c r="S153" s="5" cm="1">
        <f t="array" ref="S153">LOOKUP(2,1/($G$53:$G$56&lt;=$V153)/($H$53:$H$56&gt;=$V153),$F$53:$F$56)</f>
        <v>0</v>
      </c>
      <c r="T153" s="5" t="e">
        <f>IFERROR(IF($R153&gt;0,$R153&amp;"-"&amp;COUNTIF($R$19:$R153,$R153),NA()),NA())</f>
        <v>#N/A</v>
      </c>
      <c r="U153" s="5" t="e">
        <f>IFERROR(IF($S153&gt;0,$S153&amp;"-"&amp;COUNTIF($S$19:$S153,$S153),NA()),NA())</f>
        <v>#N/A</v>
      </c>
      <c r="V153" s="10">
        <v>43776</v>
      </c>
      <c r="W153" s="101">
        <v>30483818.305588219</v>
      </c>
      <c r="X153" s="101">
        <v>36986016.750170186</v>
      </c>
      <c r="Y153" s="102">
        <v>20000000</v>
      </c>
      <c r="IW153" s="16" t="s">
        <v>169</v>
      </c>
      <c r="IX153" s="12">
        <v>45050</v>
      </c>
      <c r="IY153" s="103">
        <v>41813564.487686224</v>
      </c>
      <c r="IZ153" s="104">
        <v>20000000</v>
      </c>
      <c r="JE153" s="12" t="str">
        <f t="shared" ref="JE153:JF216" si="303">IF(ISBLANK(IW91),NA(),IW91)</f>
        <v>Since FY21</v>
      </c>
      <c r="JF153" s="12">
        <f t="shared" si="303"/>
        <v>44616</v>
      </c>
      <c r="JG153" s="109">
        <f t="shared" si="291"/>
        <v>244.63164487686225</v>
      </c>
      <c r="JH153" s="109">
        <f t="shared" si="291"/>
        <v>120</v>
      </c>
      <c r="JI153" s="109"/>
      <c r="JJ153" s="40"/>
      <c r="JN153" s="12" t="str">
        <f t="shared" si="300"/>
        <v>Since FY21</v>
      </c>
      <c r="JO153" s="12">
        <f t="shared" si="300"/>
        <v>44602</v>
      </c>
      <c r="JP153" s="109">
        <f t="shared" si="301"/>
        <v>79.133284037701429</v>
      </c>
      <c r="JQ153" s="109">
        <f t="shared" si="301"/>
        <v>60</v>
      </c>
      <c r="JR153" s="109" t="e">
        <f t="shared" si="302"/>
        <v>#N/A</v>
      </c>
      <c r="JS153" s="109" t="e">
        <f t="shared" si="302"/>
        <v>#N/A</v>
      </c>
      <c r="JT153" s="40" t="e">
        <f>NA()</f>
        <v>#N/A</v>
      </c>
      <c r="JU153" s="40" t="e">
        <f>NA()</f>
        <v>#N/A</v>
      </c>
    </row>
    <row r="154" spans="13:281" x14ac:dyDescent="0.25">
      <c r="M154" s="5" t="str" cm="1">
        <f t="array" ref="M154">LOOKUP(2,1/($G$19:$G$35&lt;=$V154)/($H$19:$H$35&gt;=$V154),$F$19:$F$35)</f>
        <v>1H20</v>
      </c>
      <c r="N154" s="5" t="str" cm="1">
        <f t="array" ref="N154">LOOKUP(2,1/($G$8:$G$16&lt;=$V154)/($H$8:$H$16&gt;=$V154),$F$8:$F$16)</f>
        <v>FY20</v>
      </c>
      <c r="O154" s="5" t="str">
        <f>IFERROR(N154&amp;"-"&amp;COUNTIF($N$19:N154,N154),NA())</f>
        <v>FY20-20</v>
      </c>
      <c r="P154" s="5">
        <f>COUNTIF(V$19:V154,"&gt;="&amp;MAX($V:$V)-183)</f>
        <v>0</v>
      </c>
      <c r="Q154" s="5">
        <f>COUNTIF(V$19:V154,"&gt;="&amp;MAX($V:$V)-365)</f>
        <v>0</v>
      </c>
      <c r="R154" s="5" cm="1">
        <f t="array" ref="R154">LOOKUP(2,1/($G$46:$G$50&lt;=$V154)/($H$46:$H$50&gt;=$V154),$F$46:$F$50)</f>
        <v>0</v>
      </c>
      <c r="S154" s="5" cm="1">
        <f t="array" ref="S154">LOOKUP(2,1/($G$53:$G$56&lt;=$V154)/($H$53:$H$56&gt;=$V154),$F$53:$F$56)</f>
        <v>0</v>
      </c>
      <c r="T154" s="5" t="e">
        <f>IFERROR(IF($R154&gt;0,$R154&amp;"-"&amp;COUNTIF($R$19:$R154,$R154),NA()),NA())</f>
        <v>#N/A</v>
      </c>
      <c r="U154" s="5" t="e">
        <f>IFERROR(IF($S154&gt;0,$S154&amp;"-"&amp;COUNTIF($S$19:$S154,$S154),NA()),NA())</f>
        <v>#N/A</v>
      </c>
      <c r="V154" s="10">
        <v>43783</v>
      </c>
      <c r="W154" s="101">
        <v>40529243.888854511</v>
      </c>
      <c r="X154" s="101">
        <v>49174131.610347182</v>
      </c>
      <c r="Y154" s="102">
        <v>30000000</v>
      </c>
      <c r="IW154" s="16" t="s">
        <v>169</v>
      </c>
      <c r="IX154" s="12">
        <v>45057</v>
      </c>
      <c r="IY154" s="103">
        <v>19348700.760109454</v>
      </c>
      <c r="IZ154" s="104">
        <v>4000000</v>
      </c>
      <c r="JE154" s="12" t="str">
        <f t="shared" si="303"/>
        <v>Since FY21</v>
      </c>
      <c r="JF154" s="12">
        <f t="shared" si="303"/>
        <v>44623</v>
      </c>
      <c r="JG154" s="109">
        <f t="shared" si="291"/>
        <v>19.764375068409851</v>
      </c>
      <c r="JH154" s="109">
        <f t="shared" si="291"/>
        <v>3</v>
      </c>
      <c r="JI154" s="109"/>
      <c r="JJ154" s="40"/>
      <c r="JN154" s="12" t="str">
        <f t="shared" si="300"/>
        <v>Since FY21</v>
      </c>
      <c r="JO154" s="12">
        <f t="shared" si="300"/>
        <v>44609</v>
      </c>
      <c r="JP154" s="109">
        <f t="shared" si="301"/>
        <v>115.9472403770143</v>
      </c>
      <c r="JQ154" s="109">
        <f t="shared" si="301"/>
        <v>80</v>
      </c>
      <c r="JR154" s="109" t="e">
        <f t="shared" si="302"/>
        <v>#N/A</v>
      </c>
      <c r="JS154" s="109" t="e">
        <f t="shared" si="302"/>
        <v>#N/A</v>
      </c>
      <c r="JT154" s="40" t="e">
        <f>NA()</f>
        <v>#N/A</v>
      </c>
      <c r="JU154" s="40" t="e">
        <f>NA()</f>
        <v>#N/A</v>
      </c>
    </row>
    <row r="155" spans="13:281" x14ac:dyDescent="0.25">
      <c r="M155" s="5" t="str" cm="1">
        <f t="array" ref="M155">LOOKUP(2,1/($G$19:$G$35&lt;=$V155)/($H$19:$H$35&gt;=$V155),$F$19:$F$35)</f>
        <v>1H20</v>
      </c>
      <c r="N155" s="5" t="str" cm="1">
        <f t="array" ref="N155">LOOKUP(2,1/($G$8:$G$16&lt;=$V155)/($H$8:$H$16&gt;=$V155),$F$8:$F$16)</f>
        <v>FY20</v>
      </c>
      <c r="O155" s="5" t="str">
        <f>IFERROR(N155&amp;"-"&amp;COUNTIF($N$19:N155,N155),NA())</f>
        <v>FY20-21</v>
      </c>
      <c r="P155" s="5">
        <f>COUNTIF(V$19:V155,"&gt;="&amp;MAX($V:$V)-183)</f>
        <v>0</v>
      </c>
      <c r="Q155" s="5">
        <f>COUNTIF(V$19:V155,"&gt;="&amp;MAX($V:$V)-365)</f>
        <v>0</v>
      </c>
      <c r="R155" s="5" cm="1">
        <f t="array" ref="R155">LOOKUP(2,1/($G$46:$G$50&lt;=$V155)/($H$46:$H$50&gt;=$V155),$F$46:$F$50)</f>
        <v>0</v>
      </c>
      <c r="S155" s="5" cm="1">
        <f t="array" ref="S155">LOOKUP(2,1/($G$53:$G$56&lt;=$V155)/($H$53:$H$56&gt;=$V155),$F$53:$F$56)</f>
        <v>0</v>
      </c>
      <c r="T155" s="5" t="e">
        <f>IFERROR(IF($R155&gt;0,$R155&amp;"-"&amp;COUNTIF($R$19:$R155,$R155),NA()),NA())</f>
        <v>#N/A</v>
      </c>
      <c r="U155" s="5" t="e">
        <f>IFERROR(IF($S155&gt;0,$S155&amp;"-"&amp;COUNTIF($S$19:$S155,$S155),NA()),NA())</f>
        <v>#N/A</v>
      </c>
      <c r="V155" s="10">
        <v>43790</v>
      </c>
      <c r="W155" s="101">
        <v>48609266.415000923</v>
      </c>
      <c r="X155" s="101">
        <v>58977622.94132062</v>
      </c>
      <c r="Y155" s="102">
        <v>40000000</v>
      </c>
      <c r="IW155" s="16" t="s">
        <v>169</v>
      </c>
      <c r="IX155" s="12">
        <v>45064</v>
      </c>
      <c r="IY155" s="103">
        <v>19409982.487078138</v>
      </c>
      <c r="IZ155" s="104">
        <v>4000000</v>
      </c>
      <c r="JE155" s="12" t="str">
        <f t="shared" si="303"/>
        <v>Since FY21</v>
      </c>
      <c r="JF155" s="12">
        <f t="shared" si="303"/>
        <v>44630</v>
      </c>
      <c r="JG155" s="109">
        <f t="shared" si="291"/>
        <v>26.335124840377009</v>
      </c>
      <c r="JH155" s="109">
        <f t="shared" si="291"/>
        <v>8</v>
      </c>
      <c r="JI155" s="109"/>
      <c r="JJ155" s="40"/>
      <c r="JN155" s="12" t="e">
        <f t="shared" si="300"/>
        <v>#N/A</v>
      </c>
      <c r="JO155" s="12" t="e">
        <f t="shared" si="300"/>
        <v>#N/A</v>
      </c>
      <c r="JP155" s="109" t="e">
        <f t="shared" si="301"/>
        <v>#N/A</v>
      </c>
      <c r="JQ155" s="109" t="e">
        <f t="shared" si="301"/>
        <v>#N/A</v>
      </c>
      <c r="JR155" s="109">
        <f t="shared" si="302"/>
        <v>244.63164487686225</v>
      </c>
      <c r="JS155" s="109">
        <f t="shared" si="302"/>
        <v>120</v>
      </c>
      <c r="JT155" s="40" t="e">
        <f>NA()</f>
        <v>#N/A</v>
      </c>
      <c r="JU155" s="40" t="e">
        <f>NA()</f>
        <v>#N/A</v>
      </c>
    </row>
    <row r="156" spans="13:281" x14ac:dyDescent="0.25">
      <c r="M156" s="5" t="str" cm="1">
        <f t="array" ref="M156">LOOKUP(2,1/($G$19:$G$35&lt;=$V156)/($H$19:$H$35&gt;=$V156),$F$19:$F$35)</f>
        <v>1H20</v>
      </c>
      <c r="N156" s="5" t="str" cm="1">
        <f t="array" ref="N156">LOOKUP(2,1/($G$8:$G$16&lt;=$V156)/($H$8:$H$16&gt;=$V156),$F$8:$F$16)</f>
        <v>FY20</v>
      </c>
      <c r="O156" s="5" t="str">
        <f>IFERROR(N156&amp;"-"&amp;COUNTIF($N$19:N156,N156),NA())</f>
        <v>FY20-22</v>
      </c>
      <c r="P156" s="5">
        <f>COUNTIF(V$19:V156,"&gt;="&amp;MAX($V:$V)-183)</f>
        <v>0</v>
      </c>
      <c r="Q156" s="5">
        <f>COUNTIF(V$19:V156,"&gt;="&amp;MAX($V:$V)-365)</f>
        <v>0</v>
      </c>
      <c r="R156" s="5" cm="1">
        <f t="array" ref="R156">LOOKUP(2,1/($G$46:$G$50&lt;=$V156)/($H$46:$H$50&gt;=$V156),$F$46:$F$50)</f>
        <v>0</v>
      </c>
      <c r="S156" s="5" cm="1">
        <f t="array" ref="S156">LOOKUP(2,1/($G$53:$G$56&lt;=$V156)/($H$53:$H$56&gt;=$V156),$F$53:$F$56)</f>
        <v>0</v>
      </c>
      <c r="T156" s="5" t="e">
        <f>IFERROR(IF($R156&gt;0,$R156&amp;"-"&amp;COUNTIF($R$19:$R156,$R156),NA()),NA())</f>
        <v>#N/A</v>
      </c>
      <c r="U156" s="5" t="e">
        <f>IFERROR(IF($S156&gt;0,$S156&amp;"-"&amp;COUNTIF($S$19:$S156,$S156),NA()),NA())</f>
        <v>#N/A</v>
      </c>
      <c r="V156" s="10">
        <v>43797</v>
      </c>
      <c r="W156" s="101">
        <v>15126397.920663407</v>
      </c>
      <c r="X156" s="101">
        <v>18352858.597140912</v>
      </c>
      <c r="Y156" s="102">
        <v>3000000</v>
      </c>
      <c r="IW156" s="16" t="s">
        <v>169</v>
      </c>
      <c r="IX156" s="12">
        <v>45071</v>
      </c>
      <c r="IY156" s="103">
        <v>30887849.079219788</v>
      </c>
      <c r="IZ156" s="104">
        <v>12000000</v>
      </c>
      <c r="JE156" s="12" t="str">
        <f t="shared" si="303"/>
        <v>Since FY21</v>
      </c>
      <c r="JF156" s="12">
        <f t="shared" si="303"/>
        <v>44637</v>
      </c>
      <c r="JG156" s="109">
        <f t="shared" si="291"/>
        <v>40.906184493767107</v>
      </c>
      <c r="JH156" s="109">
        <f t="shared" si="291"/>
        <v>20</v>
      </c>
      <c r="JI156" s="109"/>
      <c r="JJ156" s="40"/>
      <c r="JN156" s="12" t="str">
        <f t="shared" si="300"/>
        <v>Since FY21</v>
      </c>
      <c r="JO156" s="12">
        <f t="shared" si="300"/>
        <v>44623</v>
      </c>
      <c r="JP156" s="109">
        <f t="shared" si="301"/>
        <v>19.764375068409851</v>
      </c>
      <c r="JQ156" s="109">
        <f t="shared" si="301"/>
        <v>3</v>
      </c>
      <c r="JR156" s="109" t="e">
        <f t="shared" si="302"/>
        <v>#N/A</v>
      </c>
      <c r="JS156" s="109" t="e">
        <f t="shared" si="302"/>
        <v>#N/A</v>
      </c>
      <c r="JT156" s="40" t="e">
        <f>NA()</f>
        <v>#N/A</v>
      </c>
      <c r="JU156" s="40" t="e">
        <f>NA()</f>
        <v>#N/A</v>
      </c>
    </row>
    <row r="157" spans="13:281" x14ac:dyDescent="0.25">
      <c r="M157" s="5" t="str" cm="1">
        <f t="array" ref="M157">LOOKUP(2,1/($G$19:$G$35&lt;=$V157)/($H$19:$H$35&gt;=$V157),$F$19:$F$35)</f>
        <v>1H20</v>
      </c>
      <c r="N157" s="5" t="str" cm="1">
        <f t="array" ref="N157">LOOKUP(2,1/($G$8:$G$16&lt;=$V157)/($H$8:$H$16&gt;=$V157),$F$8:$F$16)</f>
        <v>FY20</v>
      </c>
      <c r="O157" s="5" t="str">
        <f>IFERROR(N157&amp;"-"&amp;COUNTIF($N$19:N157,N157),NA())</f>
        <v>FY20-23</v>
      </c>
      <c r="P157" s="5">
        <f>COUNTIF(V$19:V157,"&gt;="&amp;MAX($V:$V)-183)</f>
        <v>0</v>
      </c>
      <c r="Q157" s="5">
        <f>COUNTIF(V$19:V157,"&gt;="&amp;MAX($V:$V)-365)</f>
        <v>0</v>
      </c>
      <c r="R157" s="5" cm="1">
        <f t="array" ref="R157">LOOKUP(2,1/($G$46:$G$50&lt;=$V157)/($H$46:$H$50&gt;=$V157),$F$46:$F$50)</f>
        <v>0</v>
      </c>
      <c r="S157" s="5" cm="1">
        <f t="array" ref="S157">LOOKUP(2,1/($G$53:$G$56&lt;=$V157)/($H$53:$H$56&gt;=$V157),$F$53:$F$56)</f>
        <v>0</v>
      </c>
      <c r="T157" s="5" t="e">
        <f>IFERROR(IF($R157&gt;0,$R157&amp;"-"&amp;COUNTIF($R$19:$R157,$R157),NA()),NA())</f>
        <v>#N/A</v>
      </c>
      <c r="U157" s="5" t="e">
        <f>IFERROR(IF($S157&gt;0,$S157&amp;"-"&amp;COUNTIF($S$19:$S157,$S157),NA()),NA())</f>
        <v>#N/A</v>
      </c>
      <c r="V157" s="10">
        <v>43804</v>
      </c>
      <c r="W157" s="101">
        <v>20501358.252367102</v>
      </c>
      <c r="X157" s="101">
        <v>24874297.967597004</v>
      </c>
      <c r="Y157" s="102">
        <v>8000000</v>
      </c>
      <c r="IW157" s="16" t="s">
        <v>169</v>
      </c>
      <c r="IX157" s="12">
        <v>45078</v>
      </c>
      <c r="IY157" s="103">
        <v>40719506.810504526</v>
      </c>
      <c r="IZ157" s="104">
        <v>20000000</v>
      </c>
      <c r="JE157" s="12" t="str">
        <f t="shared" si="303"/>
        <v>Since FY21</v>
      </c>
      <c r="JF157" s="12">
        <f t="shared" si="303"/>
        <v>44644</v>
      </c>
      <c r="JG157" s="109">
        <f t="shared" si="291"/>
        <v>19.376209911827303</v>
      </c>
      <c r="JH157" s="109">
        <f t="shared" si="291"/>
        <v>3</v>
      </c>
      <c r="JI157" s="109"/>
      <c r="JJ157" s="40"/>
      <c r="JN157" s="12" t="str">
        <f t="shared" si="300"/>
        <v>Since FY21</v>
      </c>
      <c r="JO157" s="12">
        <f t="shared" si="300"/>
        <v>44630</v>
      </c>
      <c r="JP157" s="109">
        <f t="shared" si="301"/>
        <v>26.335124840377009</v>
      </c>
      <c r="JQ157" s="109">
        <f t="shared" si="301"/>
        <v>8</v>
      </c>
      <c r="JR157" s="109" t="e">
        <f t="shared" si="302"/>
        <v>#N/A</v>
      </c>
      <c r="JS157" s="109" t="e">
        <f t="shared" si="302"/>
        <v>#N/A</v>
      </c>
      <c r="JT157" s="40" t="e">
        <f>NA()</f>
        <v>#N/A</v>
      </c>
      <c r="JU157" s="40" t="e">
        <f>NA()</f>
        <v>#N/A</v>
      </c>
    </row>
    <row r="158" spans="13:281" x14ac:dyDescent="0.25">
      <c r="M158" s="5" t="str" cm="1">
        <f t="array" ref="M158">LOOKUP(2,1/($G$19:$G$35&lt;=$V158)/($H$19:$H$35&gt;=$V158),$F$19:$F$35)</f>
        <v>1H20</v>
      </c>
      <c r="N158" s="5" t="str" cm="1">
        <f t="array" ref="N158">LOOKUP(2,1/($G$8:$G$16&lt;=$V158)/($H$8:$H$16&gt;=$V158),$F$8:$F$16)</f>
        <v>FY20</v>
      </c>
      <c r="O158" s="5" t="str">
        <f>IFERROR(N158&amp;"-"&amp;COUNTIF($N$19:N158,N158),NA())</f>
        <v>FY20-24</v>
      </c>
      <c r="P158" s="5">
        <f>COUNTIF(V$19:V158,"&gt;="&amp;MAX($V:$V)-183)</f>
        <v>0</v>
      </c>
      <c r="Q158" s="5">
        <f>COUNTIF(V$19:V158,"&gt;="&amp;MAX($V:$V)-365)</f>
        <v>0</v>
      </c>
      <c r="R158" s="5" cm="1">
        <f t="array" ref="R158">LOOKUP(2,1/($G$46:$G$50&lt;=$V158)/($H$46:$H$50&gt;=$V158),$F$46:$F$50)</f>
        <v>0</v>
      </c>
      <c r="S158" s="5" cm="1">
        <f t="array" ref="S158">LOOKUP(2,1/($G$53:$G$56&lt;=$V158)/($H$53:$H$56&gt;=$V158),$F$53:$F$56)</f>
        <v>0</v>
      </c>
      <c r="T158" s="5" t="e">
        <f>IFERROR(IF($R158&gt;0,$R158&amp;"-"&amp;COUNTIF($R$19:$R158,$R158),NA()),NA())</f>
        <v>#N/A</v>
      </c>
      <c r="U158" s="5" t="e">
        <f>IFERROR(IF($S158&gt;0,$S158&amp;"-"&amp;COUNTIF($S$19:$S158,$S158),NA()),NA())</f>
        <v>#N/A</v>
      </c>
      <c r="V158" s="10">
        <v>43811</v>
      </c>
      <c r="W158" s="101">
        <v>25306949.43994059</v>
      </c>
      <c r="X158" s="101">
        <v>30704921.755479921</v>
      </c>
      <c r="Y158" s="102">
        <v>12000000</v>
      </c>
      <c r="IW158" s="16" t="s">
        <v>169</v>
      </c>
      <c r="IX158" s="12">
        <v>45085</v>
      </c>
      <c r="IY158" s="103">
        <v>56400732.701318517</v>
      </c>
      <c r="IZ158" s="104">
        <v>40000000</v>
      </c>
      <c r="JE158" s="12" t="str">
        <f t="shared" si="303"/>
        <v>Since FY21</v>
      </c>
      <c r="JF158" s="12">
        <f t="shared" si="303"/>
        <v>44651</v>
      </c>
      <c r="JG158" s="109">
        <f t="shared" si="291"/>
        <v>27.161959987838248</v>
      </c>
      <c r="JH158" s="109">
        <f t="shared" si="291"/>
        <v>8</v>
      </c>
      <c r="JI158" s="109"/>
      <c r="JJ158" s="40"/>
      <c r="JN158" s="12" t="str">
        <f t="shared" si="300"/>
        <v>Since FY21</v>
      </c>
      <c r="JO158" s="12">
        <f t="shared" si="300"/>
        <v>44637</v>
      </c>
      <c r="JP158" s="109">
        <f t="shared" si="301"/>
        <v>40.906184493767107</v>
      </c>
      <c r="JQ158" s="109">
        <f t="shared" si="301"/>
        <v>20</v>
      </c>
      <c r="JR158" s="109" t="e">
        <f t="shared" si="302"/>
        <v>#N/A</v>
      </c>
      <c r="JS158" s="109" t="e">
        <f t="shared" si="302"/>
        <v>#N/A</v>
      </c>
      <c r="JT158" s="40" t="e">
        <f>NA()</f>
        <v>#N/A</v>
      </c>
      <c r="JU158" s="40" t="e">
        <f>NA()</f>
        <v>#N/A</v>
      </c>
    </row>
    <row r="159" spans="13:281" x14ac:dyDescent="0.25">
      <c r="M159" s="5" t="str" cm="1">
        <f t="array" ref="M159">LOOKUP(2,1/($G$19:$G$35&lt;=$V159)/($H$19:$H$35&gt;=$V159),$F$19:$F$35)</f>
        <v>1H20</v>
      </c>
      <c r="N159" s="5" t="str" cm="1">
        <f t="array" ref="N159">LOOKUP(2,1/($G$8:$G$16&lt;=$V159)/($H$8:$H$16&gt;=$V159),$F$8:$F$16)</f>
        <v>FY20</v>
      </c>
      <c r="O159" s="5" t="str">
        <f>IFERROR(N159&amp;"-"&amp;COUNTIF($N$19:N159,N159),NA())</f>
        <v>FY20-25</v>
      </c>
      <c r="P159" s="5">
        <f>COUNTIF(V$19:V159,"&gt;="&amp;MAX($V:$V)-183)</f>
        <v>0</v>
      </c>
      <c r="Q159" s="5">
        <f>COUNTIF(V$19:V159,"&gt;="&amp;MAX($V:$V)-365)</f>
        <v>0</v>
      </c>
      <c r="R159" s="5" cm="1">
        <f t="array" ref="R159">LOOKUP(2,1/($G$46:$G$50&lt;=$V159)/($H$46:$H$50&gt;=$V159),$F$46:$F$50)</f>
        <v>0</v>
      </c>
      <c r="S159" s="5" cm="1">
        <f t="array" ref="S159">LOOKUP(2,1/($G$53:$G$56&lt;=$V159)/($H$53:$H$56&gt;=$V159),$F$53:$F$56)</f>
        <v>0</v>
      </c>
      <c r="T159" s="5" t="e">
        <f>IFERROR(IF($R159&gt;0,$R159&amp;"-"&amp;COUNTIF($R$19:$R159,$R159),NA()),NA())</f>
        <v>#N/A</v>
      </c>
      <c r="U159" s="5" t="e">
        <f>IFERROR(IF($S159&gt;0,$S159&amp;"-"&amp;COUNTIF($S$19:$S159,$S159),NA()),NA())</f>
        <v>#N/A</v>
      </c>
      <c r="V159" s="10">
        <v>43818</v>
      </c>
      <c r="W159" s="101">
        <v>25742781.855312832</v>
      </c>
      <c r="X159" s="101">
        <v>31233717.22505106</v>
      </c>
      <c r="Y159" s="102">
        <v>15000000</v>
      </c>
      <c r="IW159" s="16" t="s">
        <v>169</v>
      </c>
      <c r="IX159" s="12">
        <v>45092</v>
      </c>
      <c r="IY159" s="103">
        <v>87731429.334205076</v>
      </c>
      <c r="IZ159" s="104">
        <v>60000000</v>
      </c>
      <c r="JE159" s="12" t="str">
        <f t="shared" si="303"/>
        <v>Since FY21</v>
      </c>
      <c r="JF159" s="12">
        <f t="shared" si="303"/>
        <v>44658</v>
      </c>
      <c r="JG159" s="109">
        <f t="shared" si="291"/>
        <v>42.925571784736995</v>
      </c>
      <c r="JH159" s="109">
        <f t="shared" si="291"/>
        <v>20</v>
      </c>
      <c r="JI159" s="109"/>
      <c r="JJ159" s="40"/>
      <c r="JN159" s="12" t="str">
        <f t="shared" si="300"/>
        <v>Since FY21</v>
      </c>
      <c r="JO159" s="12">
        <f t="shared" si="300"/>
        <v>44644</v>
      </c>
      <c r="JP159" s="109">
        <f t="shared" si="301"/>
        <v>19.376209911827303</v>
      </c>
      <c r="JQ159" s="109">
        <f t="shared" si="301"/>
        <v>3</v>
      </c>
      <c r="JR159" s="109" t="e">
        <f t="shared" si="302"/>
        <v>#N/A</v>
      </c>
      <c r="JS159" s="109" t="e">
        <f t="shared" si="302"/>
        <v>#N/A</v>
      </c>
      <c r="JT159" s="40" t="e">
        <f>NA()</f>
        <v>#N/A</v>
      </c>
      <c r="JU159" s="40" t="e">
        <f>NA()</f>
        <v>#N/A</v>
      </c>
    </row>
    <row r="160" spans="13:281" x14ac:dyDescent="0.25">
      <c r="M160" s="5" t="str" cm="1">
        <f t="array" ref="M160">LOOKUP(2,1/($G$19:$G$35&lt;=$V160)/($H$19:$H$35&gt;=$V160),$F$19:$F$35)</f>
        <v>1H20</v>
      </c>
      <c r="N160" s="5" t="str" cm="1">
        <f t="array" ref="N160">LOOKUP(2,1/($G$8:$G$16&lt;=$V160)/($H$8:$H$16&gt;=$V160),$F$8:$F$16)</f>
        <v>FY20</v>
      </c>
      <c r="O160" s="5" t="str">
        <f>IFERROR(N160&amp;"-"&amp;COUNTIF($N$19:N160,N160),NA())</f>
        <v>FY20-26</v>
      </c>
      <c r="P160" s="5">
        <f>COUNTIF(V$19:V160,"&gt;="&amp;MAX($V:$V)-183)</f>
        <v>0</v>
      </c>
      <c r="Q160" s="5">
        <f>COUNTIF(V$19:V160,"&gt;="&amp;MAX($V:$V)-365)</f>
        <v>0</v>
      </c>
      <c r="R160" s="5" cm="1">
        <f t="array" ref="R160">LOOKUP(2,1/($G$46:$G$50&lt;=$V160)/($H$46:$H$50&gt;=$V160),$F$46:$F$50)</f>
        <v>0</v>
      </c>
      <c r="S160" s="5" cm="1">
        <f t="array" ref="S160">LOOKUP(2,1/($G$53:$G$56&lt;=$V160)/($H$53:$H$56&gt;=$V160),$F$53:$F$56)</f>
        <v>0</v>
      </c>
      <c r="T160" s="5" t="e">
        <f>IFERROR(IF($R160&gt;0,$R160&amp;"-"&amp;COUNTIF($R$19:$R160,$R160),NA()),NA())</f>
        <v>#N/A</v>
      </c>
      <c r="U160" s="5" t="e">
        <f>IFERROR(IF($S160&gt;0,$S160&amp;"-"&amp;COUNTIF($S$19:$S160,$S160),NA()),NA())</f>
        <v>#N/A</v>
      </c>
      <c r="V160" s="10">
        <v>43825</v>
      </c>
      <c r="W160" s="101">
        <v>25073378.303112816</v>
      </c>
      <c r="X160" s="101">
        <v>30421529.895166781</v>
      </c>
      <c r="Y160" s="102">
        <v>20000000</v>
      </c>
      <c r="IW160" s="16" t="s">
        <v>169</v>
      </c>
      <c r="IX160" s="12">
        <v>45099</v>
      </c>
      <c r="IY160" s="103">
        <v>169147583.30609131</v>
      </c>
      <c r="IZ160" s="104">
        <v>100000000</v>
      </c>
      <c r="JE160" s="12" t="str">
        <f t="shared" si="303"/>
        <v>Since FY21</v>
      </c>
      <c r="JF160" s="12">
        <f t="shared" si="303"/>
        <v>44665</v>
      </c>
      <c r="JG160" s="109">
        <f t="shared" si="291"/>
        <v>20.606947765278193</v>
      </c>
      <c r="JH160" s="109">
        <f t="shared" si="291"/>
        <v>4</v>
      </c>
      <c r="JI160" s="109"/>
      <c r="JJ160" s="40"/>
      <c r="JN160" s="12" t="str">
        <f t="shared" si="300"/>
        <v>Since FY21</v>
      </c>
      <c r="JO160" s="12">
        <f t="shared" si="300"/>
        <v>44651</v>
      </c>
      <c r="JP160" s="109">
        <f t="shared" si="301"/>
        <v>27.161959987838248</v>
      </c>
      <c r="JQ160" s="109">
        <f t="shared" si="301"/>
        <v>8</v>
      </c>
      <c r="JR160" s="109" t="e">
        <f t="shared" si="302"/>
        <v>#N/A</v>
      </c>
      <c r="JS160" s="109" t="e">
        <f t="shared" si="302"/>
        <v>#N/A</v>
      </c>
      <c r="JT160" s="40" t="e">
        <f>NA()</f>
        <v>#N/A</v>
      </c>
      <c r="JU160" s="40" t="e">
        <f>NA()</f>
        <v>#N/A</v>
      </c>
    </row>
    <row r="161" spans="13:281" x14ac:dyDescent="0.25">
      <c r="M161" s="5" t="str" cm="1">
        <f t="array" ref="M161">LOOKUP(2,1/($G$19:$G$35&lt;=$V161)/($H$19:$H$35&gt;=$V161),$F$19:$F$35)</f>
        <v>2H20</v>
      </c>
      <c r="N161" s="5" t="str" cm="1">
        <f t="array" ref="N161">LOOKUP(2,1/($G$8:$G$16&lt;=$V161)/($H$8:$H$16&gt;=$V161),$F$8:$F$16)</f>
        <v>FY20</v>
      </c>
      <c r="O161" s="5" t="str">
        <f>IFERROR(N161&amp;"-"&amp;COUNTIF($N$19:N161,N161),NA())</f>
        <v>FY20-27</v>
      </c>
      <c r="P161" s="5">
        <f>COUNTIF(V$19:V161,"&gt;="&amp;MAX($V:$V)-183)</f>
        <v>0</v>
      </c>
      <c r="Q161" s="5">
        <f>COUNTIF(V$19:V161,"&gt;="&amp;MAX($V:$V)-365)</f>
        <v>0</v>
      </c>
      <c r="R161" s="5" cm="1">
        <f t="array" ref="R161">LOOKUP(2,1/($G$46:$G$50&lt;=$V161)/($H$46:$H$50&gt;=$V161),$F$46:$F$50)</f>
        <v>0</v>
      </c>
      <c r="S161" s="5" cm="1">
        <f t="array" ref="S161">LOOKUP(2,1/($G$53:$G$56&lt;=$V161)/($H$53:$H$56&gt;=$V161),$F$53:$F$56)</f>
        <v>0</v>
      </c>
      <c r="T161" s="5" t="e">
        <f>IFERROR(IF($R161&gt;0,$R161&amp;"-"&amp;COUNTIF($R$19:$R161,$R161),NA()),NA())</f>
        <v>#N/A</v>
      </c>
      <c r="U161" s="5" t="e">
        <f>IFERROR(IF($S161&gt;0,$S161&amp;"-"&amp;COUNTIF($S$19:$S161,$S161),NA()),NA())</f>
        <v>#N/A</v>
      </c>
      <c r="V161" s="10">
        <v>43832</v>
      </c>
      <c r="W161" s="101">
        <v>14302579.986385295</v>
      </c>
      <c r="X161" s="101">
        <v>17353320.29748128</v>
      </c>
      <c r="Y161" s="102">
        <v>3000000</v>
      </c>
      <c r="IW161" s="16" t="s">
        <v>169</v>
      </c>
      <c r="IX161" s="12">
        <v>45106</v>
      </c>
      <c r="IY161" s="103">
        <v>19524423.123024959</v>
      </c>
      <c r="IZ161" s="104">
        <v>4000000</v>
      </c>
      <c r="JE161" s="12" t="str">
        <f t="shared" si="303"/>
        <v>Since FY21</v>
      </c>
      <c r="JF161" s="12">
        <f t="shared" si="303"/>
        <v>44672</v>
      </c>
      <c r="JG161" s="109">
        <f t="shared" si="291"/>
        <v>24.23271170568562</v>
      </c>
      <c r="JH161" s="109">
        <f t="shared" si="291"/>
        <v>8</v>
      </c>
      <c r="JI161" s="109"/>
      <c r="JJ161" s="40"/>
      <c r="JN161" s="12" t="str">
        <f t="shared" si="300"/>
        <v>Since FY21</v>
      </c>
      <c r="JO161" s="12">
        <f t="shared" si="300"/>
        <v>44658</v>
      </c>
      <c r="JP161" s="109">
        <f t="shared" si="301"/>
        <v>42.925571784736995</v>
      </c>
      <c r="JQ161" s="109">
        <f t="shared" si="301"/>
        <v>20</v>
      </c>
      <c r="JR161" s="109" t="e">
        <f t="shared" si="302"/>
        <v>#N/A</v>
      </c>
      <c r="JS161" s="109" t="e">
        <f t="shared" si="302"/>
        <v>#N/A</v>
      </c>
      <c r="JT161" s="40" t="e">
        <f>NA()</f>
        <v>#N/A</v>
      </c>
      <c r="JU161" s="40" t="e">
        <f>NA()</f>
        <v>#N/A</v>
      </c>
    </row>
    <row r="162" spans="13:281" x14ac:dyDescent="0.25">
      <c r="M162" s="5" t="str" cm="1">
        <f t="array" ref="M162">LOOKUP(2,1/($G$19:$G$35&lt;=$V162)/($H$19:$H$35&gt;=$V162),$F$19:$F$35)</f>
        <v>2H20</v>
      </c>
      <c r="N162" s="5" t="str" cm="1">
        <f t="array" ref="N162">LOOKUP(2,1/($G$8:$G$16&lt;=$V162)/($H$8:$H$16&gt;=$V162),$F$8:$F$16)</f>
        <v>FY20</v>
      </c>
      <c r="O162" s="5" t="str">
        <f>IFERROR(N162&amp;"-"&amp;COUNTIF($N$19:N162,N162),NA())</f>
        <v>FY20-28</v>
      </c>
      <c r="P162" s="5">
        <f>COUNTIF(V$19:V162,"&gt;="&amp;MAX($V:$V)-183)</f>
        <v>0</v>
      </c>
      <c r="Q162" s="5">
        <f>COUNTIF(V$19:V162,"&gt;="&amp;MAX($V:$V)-365)</f>
        <v>0</v>
      </c>
      <c r="R162" s="5" cm="1">
        <f t="array" ref="R162">LOOKUP(2,1/($G$46:$G$50&lt;=$V162)/($H$46:$H$50&gt;=$V162),$F$46:$F$50)</f>
        <v>0</v>
      </c>
      <c r="S162" s="5" cm="1">
        <f t="array" ref="S162">LOOKUP(2,1/($G$53:$G$56&lt;=$V162)/($H$53:$H$56&gt;=$V162),$F$53:$F$56)</f>
        <v>0</v>
      </c>
      <c r="T162" s="5" t="e">
        <f>IFERROR(IF($R162&gt;0,$R162&amp;"-"&amp;COUNTIF($R$19:$R162,$R162),NA()),NA())</f>
        <v>#N/A</v>
      </c>
      <c r="U162" s="5" t="e">
        <f>IFERROR(IF($S162&gt;0,$S162&amp;"-"&amp;COUNTIF($S$19:$S162,$S162),NA()),NA())</f>
        <v>#N/A</v>
      </c>
      <c r="V162" s="10">
        <v>43839</v>
      </c>
      <c r="W162" s="101">
        <v>20379060.090352122</v>
      </c>
      <c r="X162" s="101">
        <v>24725913.607624229</v>
      </c>
      <c r="Y162" s="102">
        <v>8000000</v>
      </c>
      <c r="IW162" s="16" t="s">
        <v>169</v>
      </c>
      <c r="IX162" s="12">
        <v>45113</v>
      </c>
      <c r="IY162" s="103">
        <v>31154789.255748071</v>
      </c>
      <c r="IZ162" s="104">
        <v>12000000</v>
      </c>
      <c r="JE162" s="12" t="str">
        <f t="shared" si="303"/>
        <v>Since FY21</v>
      </c>
      <c r="JF162" s="12">
        <f t="shared" si="303"/>
        <v>44679</v>
      </c>
      <c r="JG162" s="109">
        <f t="shared" si="291"/>
        <v>39.401901124961988</v>
      </c>
      <c r="JH162" s="109">
        <f t="shared" si="291"/>
        <v>20</v>
      </c>
      <c r="JI162" s="109"/>
      <c r="JJ162" s="40"/>
      <c r="JN162" s="12" t="str">
        <f t="shared" si="300"/>
        <v>Since FY21</v>
      </c>
      <c r="JO162" s="12">
        <f t="shared" si="300"/>
        <v>44665</v>
      </c>
      <c r="JP162" s="109">
        <f t="shared" si="301"/>
        <v>20.606947765278193</v>
      </c>
      <c r="JQ162" s="109">
        <f t="shared" si="301"/>
        <v>4</v>
      </c>
      <c r="JR162" s="109" t="e">
        <f t="shared" si="302"/>
        <v>#N/A</v>
      </c>
      <c r="JS162" s="109" t="e">
        <f t="shared" si="302"/>
        <v>#N/A</v>
      </c>
      <c r="JT162" s="40" t="e">
        <f>NA()</f>
        <v>#N/A</v>
      </c>
      <c r="JU162" s="40" t="e">
        <f>NA()</f>
        <v>#N/A</v>
      </c>
    </row>
    <row r="163" spans="13:281" x14ac:dyDescent="0.25">
      <c r="M163" s="5" t="str" cm="1">
        <f t="array" ref="M163">LOOKUP(2,1/($G$19:$G$35&lt;=$V163)/($H$19:$H$35&gt;=$V163),$F$19:$F$35)</f>
        <v>2H20</v>
      </c>
      <c r="N163" s="5" t="str" cm="1">
        <f t="array" ref="N163">LOOKUP(2,1/($G$8:$G$16&lt;=$V163)/($H$8:$H$16&gt;=$V163),$F$8:$F$16)</f>
        <v>FY20</v>
      </c>
      <c r="O163" s="5" t="str">
        <f>IFERROR(N163&amp;"-"&amp;COUNTIF($N$19:N163,N163),NA())</f>
        <v>FY20-29</v>
      </c>
      <c r="P163" s="5">
        <f>COUNTIF(V$19:V163,"&gt;="&amp;MAX($V:$V)-183)</f>
        <v>0</v>
      </c>
      <c r="Q163" s="5">
        <f>COUNTIF(V$19:V163,"&gt;="&amp;MAX($V:$V)-365)</f>
        <v>0</v>
      </c>
      <c r="R163" s="5" cm="1">
        <f t="array" ref="R163">LOOKUP(2,1/($G$46:$G$50&lt;=$V163)/($H$46:$H$50&gt;=$V163),$F$46:$F$50)</f>
        <v>0</v>
      </c>
      <c r="S163" s="5" cm="1">
        <f t="array" ref="S163">LOOKUP(2,1/($G$53:$G$56&lt;=$V163)/($H$53:$H$56&gt;=$V163),$F$53:$F$56)</f>
        <v>0</v>
      </c>
      <c r="T163" s="5" t="e">
        <f>IFERROR(IF($R163&gt;0,$R163&amp;"-"&amp;COUNTIF($R$19:$R163,$R163),NA()),NA())</f>
        <v>#N/A</v>
      </c>
      <c r="U163" s="5" t="e">
        <f>IFERROR(IF($S163&gt;0,$S163&amp;"-"&amp;COUNTIF($S$19:$S163,$S163),NA()),NA())</f>
        <v>#N/A</v>
      </c>
      <c r="V163" s="10">
        <v>43846</v>
      </c>
      <c r="W163" s="101">
        <v>25817218.392227244</v>
      </c>
      <c r="X163" s="101">
        <v>31324031.075289316</v>
      </c>
      <c r="Y163" s="102">
        <v>12000000</v>
      </c>
      <c r="IW163" s="16" t="s">
        <v>169</v>
      </c>
      <c r="IX163" s="12">
        <v>45120</v>
      </c>
      <c r="IY163" s="103">
        <v>40570238.531110391</v>
      </c>
      <c r="IZ163" s="104">
        <v>20000000</v>
      </c>
      <c r="JE163" s="12" t="str">
        <f t="shared" si="303"/>
        <v>Since FY21</v>
      </c>
      <c r="JF163" s="12">
        <f t="shared" si="303"/>
        <v>44686</v>
      </c>
      <c r="JG163" s="109">
        <f t="shared" si="291"/>
        <v>58.067244025539672</v>
      </c>
      <c r="JH163" s="109">
        <f t="shared" si="291"/>
        <v>40</v>
      </c>
      <c r="JI163" s="109"/>
      <c r="JJ163" s="40"/>
      <c r="JN163" s="12" t="str">
        <f t="shared" si="300"/>
        <v>Since FY21</v>
      </c>
      <c r="JO163" s="12">
        <f t="shared" si="300"/>
        <v>44672</v>
      </c>
      <c r="JP163" s="109">
        <f t="shared" si="301"/>
        <v>24.23271170568562</v>
      </c>
      <c r="JQ163" s="109">
        <f t="shared" si="301"/>
        <v>8</v>
      </c>
      <c r="JR163" s="109" t="e">
        <f t="shared" si="302"/>
        <v>#N/A</v>
      </c>
      <c r="JS163" s="109" t="e">
        <f t="shared" si="302"/>
        <v>#N/A</v>
      </c>
      <c r="JT163" s="40" t="e">
        <f>NA()</f>
        <v>#N/A</v>
      </c>
      <c r="JU163" s="40" t="e">
        <f>NA()</f>
        <v>#N/A</v>
      </c>
    </row>
    <row r="164" spans="13:281" x14ac:dyDescent="0.25">
      <c r="M164" s="5" t="str" cm="1">
        <f t="array" ref="M164">LOOKUP(2,1/($G$19:$G$35&lt;=$V164)/($H$19:$H$35&gt;=$V164),$F$19:$F$35)</f>
        <v>2H20</v>
      </c>
      <c r="N164" s="5" t="str" cm="1">
        <f t="array" ref="N164">LOOKUP(2,1/($G$8:$G$16&lt;=$V164)/($H$8:$H$16&gt;=$V164),$F$8:$F$16)</f>
        <v>FY20</v>
      </c>
      <c r="O164" s="5" t="str">
        <f>IFERROR(N164&amp;"-"&amp;COUNTIF($N$19:N164,N164),NA())</f>
        <v>FY20-30</v>
      </c>
      <c r="P164" s="5">
        <f>COUNTIF(V$19:V164,"&gt;="&amp;MAX($V:$V)-183)</f>
        <v>0</v>
      </c>
      <c r="Q164" s="5">
        <f>COUNTIF(V$19:V164,"&gt;="&amp;MAX($V:$V)-365)</f>
        <v>0</v>
      </c>
      <c r="R164" s="5" cm="1">
        <f t="array" ref="R164">LOOKUP(2,1/($G$46:$G$50&lt;=$V164)/($H$46:$H$50&gt;=$V164),$F$46:$F$50)</f>
        <v>0</v>
      </c>
      <c r="S164" s="5" cm="1">
        <f t="array" ref="S164">LOOKUP(2,1/($G$53:$G$56&lt;=$V164)/($H$53:$H$56&gt;=$V164),$F$53:$F$56)</f>
        <v>0</v>
      </c>
      <c r="T164" s="5" t="e">
        <f>IFERROR(IF($R164&gt;0,$R164&amp;"-"&amp;COUNTIF($R$19:$R164,$R164),NA()),NA())</f>
        <v>#N/A</v>
      </c>
      <c r="U164" s="5" t="e">
        <f>IFERROR(IF($S164&gt;0,$S164&amp;"-"&amp;COUNTIF($S$19:$S164,$S164),NA()),NA())</f>
        <v>#N/A</v>
      </c>
      <c r="V164" s="10">
        <v>43853</v>
      </c>
      <c r="W164" s="101">
        <v>34282351.135590076</v>
      </c>
      <c r="X164" s="101">
        <v>41594776.632811442</v>
      </c>
      <c r="Y164" s="102">
        <v>20000000</v>
      </c>
      <c r="IW164" s="16" t="s">
        <v>169</v>
      </c>
      <c r="IX164" s="12">
        <v>45127</v>
      </c>
      <c r="IY164" s="103">
        <v>60836962.188078903</v>
      </c>
      <c r="IZ164" s="104">
        <v>40000000</v>
      </c>
      <c r="JE164" s="12" t="str">
        <f t="shared" si="303"/>
        <v>Since FY21</v>
      </c>
      <c r="JF164" s="12">
        <f t="shared" si="303"/>
        <v>44693</v>
      </c>
      <c r="JG164" s="109">
        <f t="shared" si="291"/>
        <v>83.810205168744289</v>
      </c>
      <c r="JH164" s="109">
        <f t="shared" si="291"/>
        <v>60</v>
      </c>
      <c r="JI164" s="109"/>
      <c r="JJ164" s="40"/>
      <c r="JN164" s="12" t="str">
        <f t="shared" si="300"/>
        <v>Since FY21</v>
      </c>
      <c r="JO164" s="12">
        <f t="shared" si="300"/>
        <v>44679</v>
      </c>
      <c r="JP164" s="109">
        <f t="shared" si="301"/>
        <v>39.401901124961988</v>
      </c>
      <c r="JQ164" s="109">
        <f t="shared" si="301"/>
        <v>20</v>
      </c>
      <c r="JR164" s="109" t="e">
        <f t="shared" si="302"/>
        <v>#N/A</v>
      </c>
      <c r="JS164" s="109" t="e">
        <f t="shared" si="302"/>
        <v>#N/A</v>
      </c>
      <c r="JT164" s="40" t="e">
        <f>NA()</f>
        <v>#N/A</v>
      </c>
      <c r="JU164" s="40" t="e">
        <f>NA()</f>
        <v>#N/A</v>
      </c>
    </row>
    <row r="165" spans="13:281" x14ac:dyDescent="0.25">
      <c r="M165" s="5" t="str" cm="1">
        <f t="array" ref="M165">LOOKUP(2,1/($G$19:$G$35&lt;=$V165)/($H$19:$H$35&gt;=$V165),$F$19:$F$35)</f>
        <v>2H20</v>
      </c>
      <c r="N165" s="5" t="str" cm="1">
        <f t="array" ref="N165">LOOKUP(2,1/($G$8:$G$16&lt;=$V165)/($H$8:$H$16&gt;=$V165),$F$8:$F$16)</f>
        <v>FY20</v>
      </c>
      <c r="O165" s="5" t="str">
        <f>IFERROR(N165&amp;"-"&amp;COUNTIF($N$19:N165,N165),NA())</f>
        <v>FY20-31</v>
      </c>
      <c r="P165" s="5">
        <f>COUNTIF(V$19:V165,"&gt;="&amp;MAX($V:$V)-183)</f>
        <v>0</v>
      </c>
      <c r="Q165" s="5">
        <f>COUNTIF(V$19:V165,"&gt;="&amp;MAX($V:$V)-365)</f>
        <v>0</v>
      </c>
      <c r="R165" s="5" cm="1">
        <f t="array" ref="R165">LOOKUP(2,1/($G$46:$G$50&lt;=$V165)/($H$46:$H$50&gt;=$V165),$F$46:$F$50)</f>
        <v>0</v>
      </c>
      <c r="S165" s="5" cm="1">
        <f t="array" ref="S165">LOOKUP(2,1/($G$53:$G$56&lt;=$V165)/($H$53:$H$56&gt;=$V165),$F$53:$F$56)</f>
        <v>0</v>
      </c>
      <c r="T165" s="5" t="e">
        <f>IFERROR(IF($R165&gt;0,$R165&amp;"-"&amp;COUNTIF($R$19:$R165,$R165),NA()),NA())</f>
        <v>#N/A</v>
      </c>
      <c r="U165" s="5" t="e">
        <f>IFERROR(IF($S165&gt;0,$S165&amp;"-"&amp;COUNTIF($S$19:$S165,$S165),NA()),NA())</f>
        <v>#N/A</v>
      </c>
      <c r="V165" s="10">
        <v>43860</v>
      </c>
      <c r="W165" s="101">
        <v>45674629.370629363</v>
      </c>
      <c r="X165" s="101">
        <v>55417027.815384611</v>
      </c>
      <c r="Y165" s="102">
        <v>40000000</v>
      </c>
      <c r="IW165" s="16" t="s">
        <v>169</v>
      </c>
      <c r="IX165" s="12">
        <v>45134</v>
      </c>
      <c r="IY165" s="103">
        <v>84639629.07268171</v>
      </c>
      <c r="IZ165" s="104">
        <v>60000000</v>
      </c>
      <c r="JE165" s="12" t="str">
        <f t="shared" si="303"/>
        <v>Since FY21</v>
      </c>
      <c r="JF165" s="12">
        <f t="shared" si="303"/>
        <v>44700</v>
      </c>
      <c r="JG165" s="109">
        <f t="shared" si="291"/>
        <v>116.72520401337792</v>
      </c>
      <c r="JH165" s="109">
        <f t="shared" si="291"/>
        <v>80</v>
      </c>
      <c r="JI165" s="109"/>
      <c r="JJ165" s="40"/>
      <c r="JN165" s="12" t="str">
        <f t="shared" ref="JN165:JO180" si="304">IF(OR(ISBLANK(IW101),$IZ101&gt;=$JO$66),NA(),IW101)</f>
        <v>Since FY21</v>
      </c>
      <c r="JO165" s="12">
        <f t="shared" si="304"/>
        <v>44686</v>
      </c>
      <c r="JP165" s="109">
        <f t="shared" ref="JP165:JQ180" si="305">IF(OR(ISBLANK(IY101),$IZ101&gt;=$JO$66),NA(),IY101)/1000000</f>
        <v>58.067244025539672</v>
      </c>
      <c r="JQ165" s="109">
        <f t="shared" si="305"/>
        <v>40</v>
      </c>
      <c r="JR165" s="109" t="e">
        <f t="shared" ref="JR165:JS180" si="306">IF(OR(ISBLANK(IY101),$IZ101&lt;$JR$66),NA(),IY101)/1000000</f>
        <v>#N/A</v>
      </c>
      <c r="JS165" s="109" t="e">
        <f t="shared" si="306"/>
        <v>#N/A</v>
      </c>
      <c r="JT165" s="40" t="e">
        <f>NA()</f>
        <v>#N/A</v>
      </c>
      <c r="JU165" s="40" t="e">
        <f>NA()</f>
        <v>#N/A</v>
      </c>
    </row>
    <row r="166" spans="13:281" x14ac:dyDescent="0.25">
      <c r="M166" s="5" t="str" cm="1">
        <f t="array" ref="M166">LOOKUP(2,1/($G$19:$G$35&lt;=$V166)/($H$19:$H$35&gt;=$V166),$F$19:$F$35)</f>
        <v>2H20</v>
      </c>
      <c r="N166" s="5" t="str" cm="1">
        <f t="array" ref="N166">LOOKUP(2,1/($G$8:$G$16&lt;=$V166)/($H$8:$H$16&gt;=$V166),$F$8:$F$16)</f>
        <v>FY20</v>
      </c>
      <c r="O166" s="5" t="str">
        <f>IFERROR(N166&amp;"-"&amp;COUNTIF($N$19:N166,N166),NA())</f>
        <v>FY20-32</v>
      </c>
      <c r="P166" s="5">
        <f>COUNTIF(V$19:V166,"&gt;="&amp;MAX($V:$V)-183)</f>
        <v>0</v>
      </c>
      <c r="Q166" s="5">
        <f>COUNTIF(V$19:V166,"&gt;="&amp;MAX($V:$V)-365)</f>
        <v>0</v>
      </c>
      <c r="R166" s="5" cm="1">
        <f t="array" ref="R166">LOOKUP(2,1/($G$46:$G$50&lt;=$V166)/($H$46:$H$50&gt;=$V166),$F$46:$F$50)</f>
        <v>0</v>
      </c>
      <c r="S166" s="5" cm="1">
        <f t="array" ref="S166">LOOKUP(2,1/($G$53:$G$56&lt;=$V166)/($H$53:$H$56&gt;=$V166),$F$53:$F$56)</f>
        <v>0</v>
      </c>
      <c r="T166" s="5" t="e">
        <f>IFERROR(IF($R166&gt;0,$R166&amp;"-"&amp;COUNTIF($R$19:$R166,$R166),NA()),NA())</f>
        <v>#N/A</v>
      </c>
      <c r="U166" s="5" t="e">
        <f>IFERROR(IF($S166&gt;0,$S166&amp;"-"&amp;COUNTIF($S$19:$S166,$S166),NA()),NA())</f>
        <v>#N/A</v>
      </c>
      <c r="V166" s="10">
        <v>43867</v>
      </c>
      <c r="W166" s="101">
        <v>67313625.100563154</v>
      </c>
      <c r="X166" s="101">
        <v>81671621.334513277</v>
      </c>
      <c r="Y166" s="102">
        <v>60000000</v>
      </c>
      <c r="IW166" s="16" t="s">
        <v>169</v>
      </c>
      <c r="IX166" s="12">
        <v>45141</v>
      </c>
      <c r="IY166" s="103">
        <v>156823488.17696416</v>
      </c>
      <c r="IZ166" s="104">
        <v>100000000</v>
      </c>
      <c r="JE166" s="12" t="str">
        <f t="shared" si="303"/>
        <v>Since FY21</v>
      </c>
      <c r="JF166" s="12">
        <f t="shared" si="303"/>
        <v>44707</v>
      </c>
      <c r="JG166" s="109">
        <f t="shared" si="291"/>
        <v>21.016983155974454</v>
      </c>
      <c r="JH166" s="109">
        <f t="shared" si="291"/>
        <v>4</v>
      </c>
      <c r="JI166" s="109"/>
      <c r="JJ166" s="40"/>
      <c r="JN166" s="12" t="str">
        <f t="shared" si="304"/>
        <v>Since FY21</v>
      </c>
      <c r="JO166" s="12">
        <f t="shared" si="304"/>
        <v>44693</v>
      </c>
      <c r="JP166" s="109">
        <f t="shared" si="305"/>
        <v>83.810205168744289</v>
      </c>
      <c r="JQ166" s="109">
        <f t="shared" si="305"/>
        <v>60</v>
      </c>
      <c r="JR166" s="109" t="e">
        <f t="shared" si="306"/>
        <v>#N/A</v>
      </c>
      <c r="JS166" s="109" t="e">
        <f t="shared" si="306"/>
        <v>#N/A</v>
      </c>
      <c r="JT166" s="40" t="e">
        <f>NA()</f>
        <v>#N/A</v>
      </c>
      <c r="JU166" s="40" t="e">
        <f>NA()</f>
        <v>#N/A</v>
      </c>
    </row>
    <row r="167" spans="13:281" x14ac:dyDescent="0.25">
      <c r="M167" s="5" t="str" cm="1">
        <f t="array" ref="M167">LOOKUP(2,1/($G$19:$G$35&lt;=$V167)/($H$19:$H$35&gt;=$V167),$F$19:$F$35)</f>
        <v>2H20</v>
      </c>
      <c r="N167" s="5" t="str" cm="1">
        <f t="array" ref="N167">LOOKUP(2,1/($G$8:$G$16&lt;=$V167)/($H$8:$H$16&gt;=$V167),$F$8:$F$16)</f>
        <v>FY20</v>
      </c>
      <c r="O167" s="5" t="str">
        <f>IFERROR(N167&amp;"-"&amp;COUNTIF($N$19:N167,N167),NA())</f>
        <v>FY20-33</v>
      </c>
      <c r="P167" s="5">
        <f>COUNTIF(V$19:V167,"&gt;="&amp;MAX($V:$V)-183)</f>
        <v>0</v>
      </c>
      <c r="Q167" s="5">
        <f>COUNTIF(V$19:V167,"&gt;="&amp;MAX($V:$V)-365)</f>
        <v>0</v>
      </c>
      <c r="R167" s="5" cm="1">
        <f t="array" ref="R167">LOOKUP(2,1/($G$46:$G$50&lt;=$V167)/($H$46:$H$50&gt;=$V167),$F$46:$F$50)</f>
        <v>0</v>
      </c>
      <c r="S167" s="5" cm="1">
        <f t="array" ref="S167">LOOKUP(2,1/($G$53:$G$56&lt;=$V167)/($H$53:$H$56&gt;=$V167),$F$53:$F$56)</f>
        <v>0</v>
      </c>
      <c r="T167" s="5" t="e">
        <f>IFERROR(IF($R167&gt;0,$R167&amp;"-"&amp;COUNTIF($R$19:$R167,$R167),NA()),NA())</f>
        <v>#N/A</v>
      </c>
      <c r="U167" s="5" t="e">
        <f>IFERROR(IF($S167&gt;0,$S167&amp;"-"&amp;COUNTIF($S$19:$S167,$S167),NA()),NA())</f>
        <v>#N/A</v>
      </c>
      <c r="V167" s="10">
        <v>43874</v>
      </c>
      <c r="W167" s="101">
        <v>14466345.689708522</v>
      </c>
      <c r="X167" s="101">
        <v>17552017.225323349</v>
      </c>
      <c r="Y167" s="102">
        <v>3000000</v>
      </c>
      <c r="IW167" s="16" t="s">
        <v>169</v>
      </c>
      <c r="IX167" s="12">
        <v>45148</v>
      </c>
      <c r="IY167" s="103">
        <v>20677774.436090227</v>
      </c>
      <c r="IZ167" s="104">
        <v>4000000</v>
      </c>
      <c r="JE167" s="12" t="str">
        <f t="shared" si="303"/>
        <v>Since FY21</v>
      </c>
      <c r="JF167" s="12">
        <f t="shared" si="303"/>
        <v>44714</v>
      </c>
      <c r="JG167" s="109">
        <f t="shared" si="291"/>
        <v>21.125759318941927</v>
      </c>
      <c r="JH167" s="109">
        <f t="shared" si="291"/>
        <v>4</v>
      </c>
      <c r="JI167" s="109"/>
      <c r="JJ167" s="40"/>
      <c r="JN167" s="12" t="str">
        <f t="shared" si="304"/>
        <v>Since FY21</v>
      </c>
      <c r="JO167" s="12">
        <f t="shared" si="304"/>
        <v>44700</v>
      </c>
      <c r="JP167" s="109">
        <f t="shared" si="305"/>
        <v>116.72520401337792</v>
      </c>
      <c r="JQ167" s="109">
        <f t="shared" si="305"/>
        <v>80</v>
      </c>
      <c r="JR167" s="109" t="e">
        <f t="shared" si="306"/>
        <v>#N/A</v>
      </c>
      <c r="JS167" s="109" t="e">
        <f t="shared" si="306"/>
        <v>#N/A</v>
      </c>
      <c r="JT167" s="40" t="e">
        <f>NA()</f>
        <v>#N/A</v>
      </c>
      <c r="JU167" s="40" t="e">
        <f>NA()</f>
        <v>#N/A</v>
      </c>
    </row>
    <row r="168" spans="13:281" x14ac:dyDescent="0.25">
      <c r="M168" s="5" t="str" cm="1">
        <f t="array" ref="M168">LOOKUP(2,1/($G$19:$G$35&lt;=$V168)/($H$19:$H$35&gt;=$V168),$F$19:$F$35)</f>
        <v>2H20</v>
      </c>
      <c r="N168" s="5" t="str" cm="1">
        <f t="array" ref="N168">LOOKUP(2,1/($G$8:$G$16&lt;=$V168)/($H$8:$H$16&gt;=$V168),$F$8:$F$16)</f>
        <v>FY20</v>
      </c>
      <c r="O168" s="5" t="str">
        <f>IFERROR(N168&amp;"-"&amp;COUNTIF($N$19:N168,N168),NA())</f>
        <v>FY20-34</v>
      </c>
      <c r="P168" s="5">
        <f>COUNTIF(V$19:V168,"&gt;="&amp;MAX($V:$V)-183)</f>
        <v>0</v>
      </c>
      <c r="Q168" s="5">
        <f>COUNTIF(V$19:V168,"&gt;="&amp;MAX($V:$V)-365)</f>
        <v>0</v>
      </c>
      <c r="R168" s="5" cm="1">
        <f t="array" ref="R168">LOOKUP(2,1/($G$46:$G$50&lt;=$V168)/($H$46:$H$50&gt;=$V168),$F$46:$F$50)</f>
        <v>0</v>
      </c>
      <c r="S168" s="5" cm="1">
        <f t="array" ref="S168">LOOKUP(2,1/($G$53:$G$56&lt;=$V168)/($H$53:$H$56&gt;=$V168),$F$53:$F$56)</f>
        <v>0</v>
      </c>
      <c r="T168" s="5" t="e">
        <f>IFERROR(IF($R168&gt;0,$R168&amp;"-"&amp;COUNTIF($R$19:$R168,$R168),NA()),NA())</f>
        <v>#N/A</v>
      </c>
      <c r="U168" s="5" t="e">
        <f>IFERROR(IF($S168&gt;0,$S168&amp;"-"&amp;COUNTIF($S$19:$S168,$S168),NA()),NA())</f>
        <v>#N/A</v>
      </c>
      <c r="V168" s="10">
        <v>43881</v>
      </c>
      <c r="W168" s="101">
        <v>21317199.148677409</v>
      </c>
      <c r="X168" s="101">
        <v>25864157.727090299</v>
      </c>
      <c r="Y168" s="102">
        <v>8000000</v>
      </c>
      <c r="IW168" s="16" t="s">
        <v>169</v>
      </c>
      <c r="IX168" s="12">
        <v>45155</v>
      </c>
      <c r="IY168" s="103">
        <v>30840203.334423013</v>
      </c>
      <c r="IZ168" s="104">
        <v>12000000</v>
      </c>
      <c r="JE168" s="12" t="str">
        <f t="shared" si="303"/>
        <v>Since FY21</v>
      </c>
      <c r="JF168" s="12">
        <f t="shared" si="303"/>
        <v>44721</v>
      </c>
      <c r="JG168" s="109">
        <f t="shared" si="291"/>
        <v>27.291882760717545</v>
      </c>
      <c r="JH168" s="109">
        <f t="shared" si="291"/>
        <v>8</v>
      </c>
      <c r="JI168" s="109"/>
      <c r="JJ168" s="40"/>
      <c r="JN168" s="12" t="str">
        <f t="shared" si="304"/>
        <v>Since FY21</v>
      </c>
      <c r="JO168" s="12">
        <f t="shared" si="304"/>
        <v>44707</v>
      </c>
      <c r="JP168" s="109">
        <f t="shared" si="305"/>
        <v>21.016983155974454</v>
      </c>
      <c r="JQ168" s="109">
        <f t="shared" si="305"/>
        <v>4</v>
      </c>
      <c r="JR168" s="109" t="e">
        <f t="shared" si="306"/>
        <v>#N/A</v>
      </c>
      <c r="JS168" s="109" t="e">
        <f t="shared" si="306"/>
        <v>#N/A</v>
      </c>
      <c r="JT168" s="40" t="e">
        <f>NA()</f>
        <v>#N/A</v>
      </c>
      <c r="JU168" s="40" t="e">
        <f>NA()</f>
        <v>#N/A</v>
      </c>
    </row>
    <row r="169" spans="13:281" x14ac:dyDescent="0.25">
      <c r="M169" s="5" t="str" cm="1">
        <f t="array" ref="M169">LOOKUP(2,1/($G$19:$G$35&lt;=$V169)/($H$19:$H$35&gt;=$V169),$F$19:$F$35)</f>
        <v>2H20</v>
      </c>
      <c r="N169" s="5" t="str" cm="1">
        <f t="array" ref="N169">LOOKUP(2,1/($G$8:$G$16&lt;=$V169)/($H$8:$H$16&gt;=$V169),$F$8:$F$16)</f>
        <v>FY20</v>
      </c>
      <c r="O169" s="5" t="str">
        <f>IFERROR(N169&amp;"-"&amp;COUNTIF($N$19:N169,N169),NA())</f>
        <v>FY20-35</v>
      </c>
      <c r="P169" s="5">
        <f>COUNTIF(V$19:V169,"&gt;="&amp;MAX($V:$V)-183)</f>
        <v>0</v>
      </c>
      <c r="Q169" s="5">
        <f>COUNTIF(V$19:V169,"&gt;="&amp;MAX($V:$V)-365)</f>
        <v>0</v>
      </c>
      <c r="R169" s="5" cm="1">
        <f t="array" ref="R169">LOOKUP(2,1/($G$46:$G$50&lt;=$V169)/($H$46:$H$50&gt;=$V169),$F$46:$F$50)</f>
        <v>0</v>
      </c>
      <c r="S169" s="5" cm="1">
        <f t="array" ref="S169">LOOKUP(2,1/($G$53:$G$56&lt;=$V169)/($H$53:$H$56&gt;=$V169),$F$53:$F$56)</f>
        <v>0</v>
      </c>
      <c r="T169" s="5" t="e">
        <f>IFERROR(IF($R169&gt;0,$R169&amp;"-"&amp;COUNTIF($R$19:$R169,$R169),NA()),NA())</f>
        <v>#N/A</v>
      </c>
      <c r="U169" s="5" t="e">
        <f>IFERROR(IF($S169&gt;0,$S169&amp;"-"&amp;COUNTIF($S$19:$S169,$S169),NA()),NA())</f>
        <v>#N/A</v>
      </c>
      <c r="V169" s="10">
        <v>43888</v>
      </c>
      <c r="W169" s="101">
        <v>28132182.912739433</v>
      </c>
      <c r="X169" s="101">
        <v>34132777.528026752</v>
      </c>
      <c r="Y169" s="102">
        <v>12000000</v>
      </c>
      <c r="IW169" s="16" t="s">
        <v>169</v>
      </c>
      <c r="IX169" s="12">
        <v>45162</v>
      </c>
      <c r="IY169" s="103">
        <v>42995307.072027899</v>
      </c>
      <c r="IZ169" s="104">
        <v>20000000</v>
      </c>
      <c r="JE169" s="12" t="str">
        <f t="shared" si="303"/>
        <v>Since FY21</v>
      </c>
      <c r="JF169" s="12">
        <f t="shared" si="303"/>
        <v>44728</v>
      </c>
      <c r="JG169" s="109">
        <f t="shared" si="291"/>
        <v>41.963661416844026</v>
      </c>
      <c r="JH169" s="109">
        <f t="shared" si="291"/>
        <v>20</v>
      </c>
      <c r="JI169" s="109"/>
      <c r="JJ169" s="40"/>
      <c r="JN169" s="12" t="str">
        <f t="shared" si="304"/>
        <v>Since FY21</v>
      </c>
      <c r="JO169" s="12">
        <f t="shared" si="304"/>
        <v>44714</v>
      </c>
      <c r="JP169" s="109">
        <f t="shared" si="305"/>
        <v>21.125759318941927</v>
      </c>
      <c r="JQ169" s="109">
        <f t="shared" si="305"/>
        <v>4</v>
      </c>
      <c r="JR169" s="109" t="e">
        <f t="shared" si="306"/>
        <v>#N/A</v>
      </c>
      <c r="JS169" s="109" t="e">
        <f t="shared" si="306"/>
        <v>#N/A</v>
      </c>
      <c r="JT169" s="40" t="e">
        <f>NA()</f>
        <v>#N/A</v>
      </c>
      <c r="JU169" s="40" t="e">
        <f>NA()</f>
        <v>#N/A</v>
      </c>
    </row>
    <row r="170" spans="13:281" x14ac:dyDescent="0.25">
      <c r="M170" s="5" t="str" cm="1">
        <f t="array" ref="M170">LOOKUP(2,1/($G$19:$G$35&lt;=$V170)/($H$19:$H$35&gt;=$V170),$F$19:$F$35)</f>
        <v>2H20</v>
      </c>
      <c r="N170" s="5" t="str" cm="1">
        <f t="array" ref="N170">LOOKUP(2,1/($G$8:$G$16&lt;=$V170)/($H$8:$H$16&gt;=$V170),$F$8:$F$16)</f>
        <v>FY20</v>
      </c>
      <c r="O170" s="5" t="str">
        <f>IFERROR(N170&amp;"-"&amp;COUNTIF($N$19:N170,N170),NA())</f>
        <v>FY20-36</v>
      </c>
      <c r="P170" s="5">
        <f>COUNTIF(V$19:V170,"&gt;="&amp;MAX($V:$V)-183)</f>
        <v>0</v>
      </c>
      <c r="Q170" s="5">
        <f>COUNTIF(V$19:V170,"&gt;="&amp;MAX($V:$V)-365)</f>
        <v>0</v>
      </c>
      <c r="R170" s="5" cm="1">
        <f t="array" ref="R170">LOOKUP(2,1/($G$46:$G$50&lt;=$V170)/($H$46:$H$50&gt;=$V170),$F$46:$F$50)</f>
        <v>0</v>
      </c>
      <c r="S170" s="5" cm="1">
        <f t="array" ref="S170">LOOKUP(2,1/($G$53:$G$56&lt;=$V170)/($H$53:$H$56&gt;=$V170),$F$53:$F$56)</f>
        <v>0</v>
      </c>
      <c r="T170" s="5" t="e">
        <f>IFERROR(IF($R170&gt;0,$R170&amp;"-"&amp;COUNTIF($R$19:$R170,$R170),NA()),NA())</f>
        <v>#N/A</v>
      </c>
      <c r="U170" s="5" t="e">
        <f>IFERROR(IF($S170&gt;0,$S170&amp;"-"&amp;COUNTIF($S$19:$S170,$S170),NA()),NA())</f>
        <v>#N/A</v>
      </c>
      <c r="V170" s="10">
        <v>43895</v>
      </c>
      <c r="W170" s="101">
        <v>36338271.571906358</v>
      </c>
      <c r="X170" s="101">
        <v>44089224.898193985</v>
      </c>
      <c r="Y170" s="102">
        <v>20000000</v>
      </c>
      <c r="IW170" s="16" t="s">
        <v>169</v>
      </c>
      <c r="IX170" s="12">
        <v>45169</v>
      </c>
      <c r="IY170" s="103">
        <v>59703342.595619485</v>
      </c>
      <c r="IZ170" s="104">
        <v>40000000</v>
      </c>
      <c r="JE170" s="12" t="str">
        <f t="shared" si="303"/>
        <v>Since FY21</v>
      </c>
      <c r="JF170" s="12">
        <f t="shared" si="303"/>
        <v>44735</v>
      </c>
      <c r="JG170" s="109">
        <f t="shared" si="291"/>
        <v>57.463937245363326</v>
      </c>
      <c r="JH170" s="109">
        <f t="shared" si="291"/>
        <v>40</v>
      </c>
      <c r="JI170" s="109"/>
      <c r="JJ170" s="40"/>
      <c r="JN170" s="12" t="str">
        <f t="shared" si="304"/>
        <v>Since FY21</v>
      </c>
      <c r="JO170" s="12">
        <f t="shared" si="304"/>
        <v>44721</v>
      </c>
      <c r="JP170" s="109">
        <f t="shared" si="305"/>
        <v>27.291882760717545</v>
      </c>
      <c r="JQ170" s="109">
        <f t="shared" si="305"/>
        <v>8</v>
      </c>
      <c r="JR170" s="109" t="e">
        <f t="shared" si="306"/>
        <v>#N/A</v>
      </c>
      <c r="JS170" s="109" t="e">
        <f t="shared" si="306"/>
        <v>#N/A</v>
      </c>
      <c r="JT170" s="40" t="e">
        <f>NA()</f>
        <v>#N/A</v>
      </c>
      <c r="JU170" s="40" t="e">
        <f>NA()</f>
        <v>#N/A</v>
      </c>
    </row>
    <row r="171" spans="13:281" x14ac:dyDescent="0.25">
      <c r="M171" s="5" t="str" cm="1">
        <f t="array" ref="M171">LOOKUP(2,1/($G$19:$G$35&lt;=$V171)/($H$19:$H$35&gt;=$V171),$F$19:$F$35)</f>
        <v>2H20</v>
      </c>
      <c r="N171" s="5" t="str" cm="1">
        <f t="array" ref="N171">LOOKUP(2,1/($G$8:$G$16&lt;=$V171)/($H$8:$H$16&gt;=$V171),$F$8:$F$16)</f>
        <v>FY20</v>
      </c>
      <c r="O171" s="5" t="str">
        <f>IFERROR(N171&amp;"-"&amp;COUNTIF($N$19:N171,N171),NA())</f>
        <v>FY20-37</v>
      </c>
      <c r="P171" s="5">
        <f>COUNTIF(V$19:V171,"&gt;="&amp;MAX($V:$V)-183)</f>
        <v>0</v>
      </c>
      <c r="Q171" s="5">
        <f>COUNTIF(V$19:V171,"&gt;="&amp;MAX($V:$V)-365)</f>
        <v>0</v>
      </c>
      <c r="R171" s="5" cm="1">
        <f t="array" ref="R171">LOOKUP(2,1/($G$46:$G$50&lt;=$V171)/($H$46:$H$50&gt;=$V171),$F$46:$F$50)</f>
        <v>0</v>
      </c>
      <c r="S171" s="5" cm="1">
        <f t="array" ref="S171">LOOKUP(2,1/($G$53:$G$56&lt;=$V171)/($H$53:$H$56&gt;=$V171),$F$53:$F$56)</f>
        <v>0</v>
      </c>
      <c r="T171" s="5" t="e">
        <f>IFERROR(IF($R171&gt;0,$R171&amp;"-"&amp;COUNTIF($R$19:$R171,$R171),NA()),NA())</f>
        <v>#N/A</v>
      </c>
      <c r="U171" s="5" t="e">
        <f>IFERROR(IF($S171&gt;0,$S171&amp;"-"&amp;COUNTIF($S$19:$S171,$S171),NA()),NA())</f>
        <v>#N/A</v>
      </c>
      <c r="V171" s="10">
        <v>43902</v>
      </c>
      <c r="W171" s="101">
        <v>47382249.437519006</v>
      </c>
      <c r="X171" s="101">
        <v>57488883.242541812</v>
      </c>
      <c r="Y171" s="102">
        <v>40000000</v>
      </c>
      <c r="IW171" s="16" t="s">
        <v>169</v>
      </c>
      <c r="IX171" s="12">
        <v>45176</v>
      </c>
      <c r="IY171" s="103">
        <v>20222166.06734227</v>
      </c>
      <c r="IZ171" s="104">
        <v>4000000</v>
      </c>
      <c r="JE171" s="12" t="str">
        <f t="shared" si="303"/>
        <v>Since FY21</v>
      </c>
      <c r="JF171" s="12">
        <f t="shared" si="303"/>
        <v>44742</v>
      </c>
      <c r="JG171" s="109">
        <f t="shared" si="291"/>
        <v>77.836461903314074</v>
      </c>
      <c r="JH171" s="109">
        <f t="shared" si="291"/>
        <v>60</v>
      </c>
      <c r="JI171" s="109"/>
      <c r="JJ171" s="40"/>
      <c r="JN171" s="12" t="str">
        <f t="shared" si="304"/>
        <v>Since FY21</v>
      </c>
      <c r="JO171" s="12">
        <f t="shared" si="304"/>
        <v>44728</v>
      </c>
      <c r="JP171" s="109">
        <f t="shared" si="305"/>
        <v>41.963661416844026</v>
      </c>
      <c r="JQ171" s="109">
        <f t="shared" si="305"/>
        <v>20</v>
      </c>
      <c r="JR171" s="109" t="e">
        <f t="shared" si="306"/>
        <v>#N/A</v>
      </c>
      <c r="JS171" s="109" t="e">
        <f t="shared" si="306"/>
        <v>#N/A</v>
      </c>
      <c r="JT171" s="40" t="e">
        <f>NA()</f>
        <v>#N/A</v>
      </c>
      <c r="JU171" s="40" t="e">
        <f>NA()</f>
        <v>#N/A</v>
      </c>
    </row>
    <row r="172" spans="13:281" x14ac:dyDescent="0.25">
      <c r="M172" s="5" t="str" cm="1">
        <f t="array" ref="M172">LOOKUP(2,1/($G$19:$G$35&lt;=$V172)/($H$19:$H$35&gt;=$V172),$F$19:$F$35)</f>
        <v>2H20</v>
      </c>
      <c r="N172" s="5" t="str" cm="1">
        <f t="array" ref="N172">LOOKUP(2,1/($G$8:$G$16&lt;=$V172)/($H$8:$H$16&gt;=$V172),$F$8:$F$16)</f>
        <v>FY20</v>
      </c>
      <c r="O172" s="5" t="str">
        <f>IFERROR(N172&amp;"-"&amp;COUNTIF($N$19:N172,N172),NA())</f>
        <v>FY20-38</v>
      </c>
      <c r="P172" s="5">
        <f>COUNTIF(V$19:V172,"&gt;="&amp;MAX($V:$V)-183)</f>
        <v>0</v>
      </c>
      <c r="Q172" s="5">
        <f>COUNTIF(V$19:V172,"&gt;="&amp;MAX($V:$V)-365)</f>
        <v>0</v>
      </c>
      <c r="R172" s="5" cm="1">
        <f t="array" ref="R172">LOOKUP(2,1/($G$46:$G$50&lt;=$V172)/($H$46:$H$50&gt;=$V172),$F$46:$F$50)</f>
        <v>0</v>
      </c>
      <c r="S172" s="5" cm="1">
        <f t="array" ref="S172">LOOKUP(2,1/($G$53:$G$56&lt;=$V172)/($H$53:$H$56&gt;=$V172),$F$53:$F$56)</f>
        <v>0</v>
      </c>
      <c r="T172" s="5" t="e">
        <f>IFERROR(IF($R172&gt;0,$R172&amp;"-"&amp;COUNTIF($R$19:$R172,$R172),NA()),NA())</f>
        <v>#N/A</v>
      </c>
      <c r="U172" s="5" t="e">
        <f>IFERROR(IF($S172&gt;0,$S172&amp;"-"&amp;COUNTIF($S$19:$S172,$S172),NA()),NA())</f>
        <v>#N/A</v>
      </c>
      <c r="V172" s="10">
        <v>43909</v>
      </c>
      <c r="W172" s="101">
        <v>63680303.55731225</v>
      </c>
      <c r="X172" s="101">
        <v>77263312.306086957</v>
      </c>
      <c r="Y172" s="102">
        <v>60000000</v>
      </c>
      <c r="IW172" s="16" t="s">
        <v>169</v>
      </c>
      <c r="IX172" s="12">
        <v>45183</v>
      </c>
      <c r="IY172" s="103">
        <v>32237415.277323749</v>
      </c>
      <c r="IZ172" s="104">
        <v>12000000</v>
      </c>
      <c r="JE172" s="12" t="str">
        <f t="shared" si="303"/>
        <v>Since FY21</v>
      </c>
      <c r="JF172" s="12">
        <f t="shared" si="303"/>
        <v>44749</v>
      </c>
      <c r="JG172" s="109">
        <f t="shared" si="291"/>
        <v>20.096787838248709</v>
      </c>
      <c r="JH172" s="109">
        <f t="shared" si="291"/>
        <v>4</v>
      </c>
      <c r="JI172" s="109"/>
      <c r="JJ172" s="40"/>
      <c r="JN172" s="12" t="str">
        <f t="shared" si="304"/>
        <v>Since FY21</v>
      </c>
      <c r="JO172" s="12">
        <f t="shared" si="304"/>
        <v>44735</v>
      </c>
      <c r="JP172" s="109">
        <f t="shared" si="305"/>
        <v>57.463937245363326</v>
      </c>
      <c r="JQ172" s="109">
        <f t="shared" si="305"/>
        <v>40</v>
      </c>
      <c r="JR172" s="109" t="e">
        <f t="shared" si="306"/>
        <v>#N/A</v>
      </c>
      <c r="JS172" s="109" t="e">
        <f t="shared" si="306"/>
        <v>#N/A</v>
      </c>
      <c r="JT172" s="40" t="e">
        <f>NA()</f>
        <v>#N/A</v>
      </c>
      <c r="JU172" s="40" t="e">
        <f>NA()</f>
        <v>#N/A</v>
      </c>
    </row>
    <row r="173" spans="13:281" x14ac:dyDescent="0.25">
      <c r="M173" s="5" t="str" cm="1">
        <f t="array" ref="M173">LOOKUP(2,1/($G$19:$G$35&lt;=$V173)/($H$19:$H$35&gt;=$V173),$F$19:$F$35)</f>
        <v>2H20</v>
      </c>
      <c r="N173" s="5" t="str" cm="1">
        <f t="array" ref="N173">LOOKUP(2,1/($G$8:$G$16&lt;=$V173)/($H$8:$H$16&gt;=$V173),$F$8:$F$16)</f>
        <v>FY20</v>
      </c>
      <c r="O173" s="5" t="str">
        <f>IFERROR(N173&amp;"-"&amp;COUNTIF($N$19:N173,N173),NA())</f>
        <v>FY20-39</v>
      </c>
      <c r="P173" s="5">
        <f>COUNTIF(V$19:V173,"&gt;="&amp;MAX($V:$V)-183)</f>
        <v>0</v>
      </c>
      <c r="Q173" s="5">
        <f>COUNTIF(V$19:V173,"&gt;="&amp;MAX($V:$V)-365)</f>
        <v>0</v>
      </c>
      <c r="R173" s="5" cm="1">
        <f t="array" ref="R173">LOOKUP(2,1/($G$46:$G$50&lt;=$V173)/($H$46:$H$50&gt;=$V173),$F$46:$F$50)</f>
        <v>0</v>
      </c>
      <c r="S173" s="5" cm="1">
        <f t="array" ref="S173">LOOKUP(2,1/($G$53:$G$56&lt;=$V173)/($H$53:$H$56&gt;=$V173),$F$53:$F$56)</f>
        <v>0</v>
      </c>
      <c r="T173" s="5" t="e">
        <f>IFERROR(IF($R173&gt;0,$R173&amp;"-"&amp;COUNTIF($R$19:$R173,$R173),NA()),NA())</f>
        <v>#N/A</v>
      </c>
      <c r="U173" s="5" t="e">
        <f>IFERROR(IF($S173&gt;0,$S173&amp;"-"&amp;COUNTIF($S$19:$S173,$S173),NA()),NA())</f>
        <v>#N/A</v>
      </c>
      <c r="V173" s="10">
        <v>43916</v>
      </c>
      <c r="W173" s="101">
        <v>82611427.667984188</v>
      </c>
      <c r="X173" s="101">
        <v>100232445.18956521</v>
      </c>
      <c r="Y173" s="102">
        <v>80000000</v>
      </c>
      <c r="IW173" s="16" t="s">
        <v>169</v>
      </c>
      <c r="IX173" s="12">
        <v>45190</v>
      </c>
      <c r="IY173" s="103">
        <v>41746812.901819773</v>
      </c>
      <c r="IZ173" s="104">
        <v>20000000</v>
      </c>
      <c r="JE173" s="12" t="str">
        <f t="shared" si="303"/>
        <v>Since FY21</v>
      </c>
      <c r="JF173" s="12">
        <f t="shared" si="303"/>
        <v>44756</v>
      </c>
      <c r="JG173" s="109">
        <f t="shared" si="291"/>
        <v>27.258635451505018</v>
      </c>
      <c r="JH173" s="109">
        <f t="shared" si="291"/>
        <v>8</v>
      </c>
      <c r="JI173" s="109"/>
      <c r="JJ173" s="40"/>
      <c r="JN173" s="12" t="str">
        <f t="shared" si="304"/>
        <v>Since FY21</v>
      </c>
      <c r="JO173" s="12">
        <f t="shared" si="304"/>
        <v>44742</v>
      </c>
      <c r="JP173" s="109">
        <f t="shared" si="305"/>
        <v>77.836461903314074</v>
      </c>
      <c r="JQ173" s="109">
        <f t="shared" si="305"/>
        <v>60</v>
      </c>
      <c r="JR173" s="109" t="e">
        <f t="shared" si="306"/>
        <v>#N/A</v>
      </c>
      <c r="JS173" s="109" t="e">
        <f t="shared" si="306"/>
        <v>#N/A</v>
      </c>
      <c r="JT173" s="40" t="e">
        <f>NA()</f>
        <v>#N/A</v>
      </c>
      <c r="JU173" s="40" t="e">
        <f>NA()</f>
        <v>#N/A</v>
      </c>
    </row>
    <row r="174" spans="13:281" x14ac:dyDescent="0.25">
      <c r="M174" s="5" t="str" cm="1">
        <f t="array" ref="M174">LOOKUP(2,1/($G$19:$G$35&lt;=$V174)/($H$19:$H$35&gt;=$V174),$F$19:$F$35)</f>
        <v>2H20</v>
      </c>
      <c r="N174" s="5" t="str" cm="1">
        <f t="array" ref="N174">LOOKUP(2,1/($G$8:$G$16&lt;=$V174)/($H$8:$H$16&gt;=$V174),$F$8:$F$16)</f>
        <v>FY20</v>
      </c>
      <c r="O174" s="5" t="str">
        <f>IFERROR(N174&amp;"-"&amp;COUNTIF($N$19:N174,N174),NA())</f>
        <v>FY20-40</v>
      </c>
      <c r="P174" s="5">
        <f>COUNTIF(V$19:V174,"&gt;="&amp;MAX($V:$V)-183)</f>
        <v>0</v>
      </c>
      <c r="Q174" s="5">
        <f>COUNTIF(V$19:V174,"&gt;="&amp;MAX($V:$V)-365)</f>
        <v>0</v>
      </c>
      <c r="R174" s="5" cm="1">
        <f t="array" ref="R174">LOOKUP(2,1/($G$46:$G$50&lt;=$V174)/($H$46:$H$50&gt;=$V174),$F$46:$F$50)</f>
        <v>0</v>
      </c>
      <c r="S174" s="5" cm="1">
        <f t="array" ref="S174">LOOKUP(2,1/($G$53:$G$56&lt;=$V174)/($H$53:$H$56&gt;=$V174),$F$53:$F$56)</f>
        <v>0</v>
      </c>
      <c r="T174" s="5" t="e">
        <f>IFERROR(IF($R174&gt;0,$R174&amp;"-"&amp;COUNTIF($R$19:$R174,$R174),NA()),NA())</f>
        <v>#N/A</v>
      </c>
      <c r="U174" s="5" t="e">
        <f>IFERROR(IF($S174&gt;0,$S174&amp;"-"&amp;COUNTIF($S$19:$S174,$S174),NA()),NA())</f>
        <v>#N/A</v>
      </c>
      <c r="V174" s="10">
        <v>43923</v>
      </c>
      <c r="W174" s="101">
        <v>15454267.436910914</v>
      </c>
      <c r="X174" s="101">
        <v>18750662.681204014</v>
      </c>
      <c r="Y174" s="102">
        <v>3000000</v>
      </c>
      <c r="IW174" s="16" t="s">
        <v>169</v>
      </c>
      <c r="IX174" s="12">
        <v>45197</v>
      </c>
      <c r="IY174" s="103">
        <v>56641298.899422474</v>
      </c>
      <c r="IZ174" s="104">
        <v>40000000</v>
      </c>
      <c r="JE174" s="12" t="str">
        <f t="shared" si="303"/>
        <v>Since FY21</v>
      </c>
      <c r="JF174" s="12">
        <f t="shared" si="303"/>
        <v>44763</v>
      </c>
      <c r="JG174" s="109">
        <f t="shared" si="291"/>
        <v>20.96840571602311</v>
      </c>
      <c r="JH174" s="109">
        <f t="shared" si="291"/>
        <v>4</v>
      </c>
      <c r="JI174" s="109"/>
      <c r="JJ174" s="40"/>
      <c r="JN174" s="12" t="str">
        <f t="shared" si="304"/>
        <v>Since FY21</v>
      </c>
      <c r="JO174" s="12">
        <f t="shared" si="304"/>
        <v>44749</v>
      </c>
      <c r="JP174" s="109">
        <f t="shared" si="305"/>
        <v>20.096787838248709</v>
      </c>
      <c r="JQ174" s="109">
        <f t="shared" si="305"/>
        <v>4</v>
      </c>
      <c r="JR174" s="109" t="e">
        <f t="shared" si="306"/>
        <v>#N/A</v>
      </c>
      <c r="JS174" s="109" t="e">
        <f t="shared" si="306"/>
        <v>#N/A</v>
      </c>
      <c r="JT174" s="40" t="e">
        <f>NA()</f>
        <v>#N/A</v>
      </c>
      <c r="JU174" s="40" t="e">
        <f>NA()</f>
        <v>#N/A</v>
      </c>
    </row>
    <row r="175" spans="13:281" x14ac:dyDescent="0.25">
      <c r="M175" s="5" t="str" cm="1">
        <f t="array" ref="M175">LOOKUP(2,1/($G$19:$G$35&lt;=$V175)/($H$19:$H$35&gt;=$V175),$F$19:$F$35)</f>
        <v>2H20</v>
      </c>
      <c r="N175" s="5" t="str" cm="1">
        <f t="array" ref="N175">LOOKUP(2,1/($G$8:$G$16&lt;=$V175)/($H$8:$H$16&gt;=$V175),$F$8:$F$16)</f>
        <v>FY20</v>
      </c>
      <c r="O175" s="5" t="str">
        <f>IFERROR(N175&amp;"-"&amp;COUNTIF($N$19:N175,N175),NA())</f>
        <v>FY20-41</v>
      </c>
      <c r="P175" s="5">
        <f>COUNTIF(V$19:V175,"&gt;="&amp;MAX($V:$V)-183)</f>
        <v>0</v>
      </c>
      <c r="Q175" s="5">
        <f>COUNTIF(V$19:V175,"&gt;="&amp;MAX($V:$V)-365)</f>
        <v>0</v>
      </c>
      <c r="R175" s="5" cm="1">
        <f t="array" ref="R175">LOOKUP(2,1/($G$46:$G$50&lt;=$V175)/($H$46:$H$50&gt;=$V175),$F$46:$F$50)</f>
        <v>0</v>
      </c>
      <c r="S175" s="5" cm="1">
        <f t="array" ref="S175">LOOKUP(2,1/($G$53:$G$56&lt;=$V175)/($H$53:$H$56&gt;=$V175),$F$53:$F$56)</f>
        <v>0</v>
      </c>
      <c r="T175" s="5" t="e">
        <f>IFERROR(IF($R175&gt;0,$R175&amp;"-"&amp;COUNTIF($R$19:$R175,$R175),NA()),NA())</f>
        <v>#N/A</v>
      </c>
      <c r="U175" s="5" t="e">
        <f>IFERROR(IF($S175&gt;0,$S175&amp;"-"&amp;COUNTIF($S$19:$S175,$S175),NA()),NA())</f>
        <v>#N/A</v>
      </c>
      <c r="V175" s="10">
        <v>43930</v>
      </c>
      <c r="W175" s="101">
        <v>21964242.505320761</v>
      </c>
      <c r="X175" s="101">
        <v>26649215.43170568</v>
      </c>
      <c r="Y175" s="102">
        <v>8000000</v>
      </c>
      <c r="IW175" s="16" t="s">
        <v>169</v>
      </c>
      <c r="IX175" s="12">
        <v>45204</v>
      </c>
      <c r="IY175" s="103">
        <v>85385106.4618067</v>
      </c>
      <c r="IZ175" s="104">
        <v>60000000</v>
      </c>
      <c r="JE175" s="12" t="str">
        <f t="shared" si="303"/>
        <v>Since FY21</v>
      </c>
      <c r="JF175" s="12">
        <f t="shared" si="303"/>
        <v>44770</v>
      </c>
      <c r="JG175" s="109">
        <f t="shared" si="291"/>
        <v>19.329129096989966</v>
      </c>
      <c r="JH175" s="109">
        <f t="shared" si="291"/>
        <v>4</v>
      </c>
      <c r="JI175" s="109"/>
      <c r="JJ175" s="40"/>
      <c r="JN175" s="12" t="str">
        <f t="shared" si="304"/>
        <v>Since FY21</v>
      </c>
      <c r="JO175" s="12">
        <f t="shared" si="304"/>
        <v>44756</v>
      </c>
      <c r="JP175" s="109">
        <f t="shared" si="305"/>
        <v>27.258635451505018</v>
      </c>
      <c r="JQ175" s="109">
        <f t="shared" si="305"/>
        <v>8</v>
      </c>
      <c r="JR175" s="109" t="e">
        <f t="shared" si="306"/>
        <v>#N/A</v>
      </c>
      <c r="JS175" s="109" t="e">
        <f t="shared" si="306"/>
        <v>#N/A</v>
      </c>
      <c r="JT175" s="40" t="e">
        <f>NA()</f>
        <v>#N/A</v>
      </c>
      <c r="JU175" s="40" t="e">
        <f>NA()</f>
        <v>#N/A</v>
      </c>
    </row>
    <row r="176" spans="13:281" x14ac:dyDescent="0.25">
      <c r="M176" s="5" t="str" cm="1">
        <f t="array" ref="M176">LOOKUP(2,1/($G$19:$G$35&lt;=$V176)/($H$19:$H$35&gt;=$V176),$F$19:$F$35)</f>
        <v>2H20</v>
      </c>
      <c r="N176" s="5" t="str" cm="1">
        <f t="array" ref="N176">LOOKUP(2,1/($G$8:$G$16&lt;=$V176)/($H$8:$H$16&gt;=$V176),$F$8:$F$16)</f>
        <v>FY20</v>
      </c>
      <c r="O176" s="5" t="str">
        <f>IFERROR(N176&amp;"-"&amp;COUNTIF($N$19:N176,N176),NA())</f>
        <v>FY20-42</v>
      </c>
      <c r="P176" s="5">
        <f>COUNTIF(V$19:V176,"&gt;="&amp;MAX($V:$V)-183)</f>
        <v>0</v>
      </c>
      <c r="Q176" s="5">
        <f>COUNTIF(V$19:V176,"&gt;="&amp;MAX($V:$V)-365)</f>
        <v>0</v>
      </c>
      <c r="R176" s="5" cm="1">
        <f t="array" ref="R176">LOOKUP(2,1/($G$46:$G$50&lt;=$V176)/($H$46:$H$50&gt;=$V176),$F$46:$F$50)</f>
        <v>0</v>
      </c>
      <c r="S176" s="5" cm="1">
        <f t="array" ref="S176">LOOKUP(2,1/($G$53:$G$56&lt;=$V176)/($H$53:$H$56&gt;=$V176),$F$53:$F$56)</f>
        <v>0</v>
      </c>
      <c r="T176" s="5" t="e">
        <f>IFERROR(IF($R176&gt;0,$R176&amp;"-"&amp;COUNTIF($R$19:$R176,$R176),NA()),NA())</f>
        <v>#N/A</v>
      </c>
      <c r="U176" s="5" t="e">
        <f>IFERROR(IF($S176&gt;0,$S176&amp;"-"&amp;COUNTIF($S$19:$S176,$S176),NA()),NA())</f>
        <v>#N/A</v>
      </c>
      <c r="V176" s="10">
        <v>43937</v>
      </c>
      <c r="W176" s="101">
        <v>28686509.212526601</v>
      </c>
      <c r="X176" s="101">
        <v>34805341.627558529</v>
      </c>
      <c r="Y176" s="102">
        <v>12000000</v>
      </c>
      <c r="JE176" s="12" t="str">
        <f t="shared" si="303"/>
        <v>Since FY21</v>
      </c>
      <c r="JF176" s="12">
        <f t="shared" si="303"/>
        <v>44777</v>
      </c>
      <c r="JG176" s="109">
        <f t="shared" si="291"/>
        <v>24.328928428093644</v>
      </c>
      <c r="JH176" s="109">
        <f t="shared" si="291"/>
        <v>8</v>
      </c>
      <c r="JI176" s="109"/>
      <c r="JJ176" s="40"/>
      <c r="JN176" s="12" t="str">
        <f t="shared" si="304"/>
        <v>Since FY21</v>
      </c>
      <c r="JO176" s="12">
        <f t="shared" si="304"/>
        <v>44763</v>
      </c>
      <c r="JP176" s="109">
        <f t="shared" si="305"/>
        <v>20.96840571602311</v>
      </c>
      <c r="JQ176" s="109">
        <f t="shared" si="305"/>
        <v>4</v>
      </c>
      <c r="JR176" s="109" t="e">
        <f t="shared" si="306"/>
        <v>#N/A</v>
      </c>
      <c r="JS176" s="109" t="e">
        <f t="shared" si="306"/>
        <v>#N/A</v>
      </c>
      <c r="JT176" s="40" t="e">
        <f>NA()</f>
        <v>#N/A</v>
      </c>
      <c r="JU176" s="40" t="e">
        <f>NA()</f>
        <v>#N/A</v>
      </c>
    </row>
    <row r="177" spans="13:281" x14ac:dyDescent="0.25">
      <c r="M177" s="5" t="str" cm="1">
        <f t="array" ref="M177">LOOKUP(2,1/($G$19:$G$35&lt;=$V177)/($H$19:$H$35&gt;=$V177),$F$19:$F$35)</f>
        <v>2H20</v>
      </c>
      <c r="N177" s="5" t="str" cm="1">
        <f t="array" ref="N177">LOOKUP(2,1/($G$8:$G$16&lt;=$V177)/($H$8:$H$16&gt;=$V177),$F$8:$F$16)</f>
        <v>FY20</v>
      </c>
      <c r="O177" s="5" t="str">
        <f>IFERROR(N177&amp;"-"&amp;COUNTIF($N$19:N177,N177),NA())</f>
        <v>FY20-43</v>
      </c>
      <c r="P177" s="5">
        <f>COUNTIF(V$19:V177,"&gt;="&amp;MAX($V:$V)-183)</f>
        <v>0</v>
      </c>
      <c r="Q177" s="5">
        <f>COUNTIF(V$19:V177,"&gt;="&amp;MAX($V:$V)-365)</f>
        <v>0</v>
      </c>
      <c r="R177" s="5" cm="1">
        <f t="array" ref="R177">LOOKUP(2,1/($G$46:$G$50&lt;=$V177)/($H$46:$H$50&gt;=$V177),$F$46:$F$50)</f>
        <v>0</v>
      </c>
      <c r="S177" s="5" cm="1">
        <f t="array" ref="S177">LOOKUP(2,1/($G$53:$G$56&lt;=$V177)/($H$53:$H$56&gt;=$V177),$F$53:$F$56)</f>
        <v>0</v>
      </c>
      <c r="T177" s="5" t="e">
        <f>IFERROR(IF($R177&gt;0,$R177&amp;"-"&amp;COUNTIF($R$19:$R177,$R177),NA()),NA())</f>
        <v>#N/A</v>
      </c>
      <c r="U177" s="5" t="e">
        <f>IFERROR(IF($S177&gt;0,$S177&amp;"-"&amp;COUNTIF($S$19:$S177,$S177),NA()),NA())</f>
        <v>#N/A</v>
      </c>
      <c r="V177" s="10">
        <v>43944</v>
      </c>
      <c r="W177" s="101">
        <v>40886779.446640313</v>
      </c>
      <c r="X177" s="101">
        <v>49607929.502608694</v>
      </c>
      <c r="Y177" s="102">
        <v>20000000</v>
      </c>
      <c r="JE177" s="12" t="str">
        <f t="shared" si="303"/>
        <v>Since FY21</v>
      </c>
      <c r="JF177" s="12">
        <f t="shared" si="303"/>
        <v>44784</v>
      </c>
      <c r="JG177" s="109">
        <f t="shared" ref="JG177:JH227" si="307">IF(ISBLANK(IY115),NA(),IY115/1000000)</f>
        <v>39.456376284584977</v>
      </c>
      <c r="JH177" s="109">
        <f t="shared" si="307"/>
        <v>20</v>
      </c>
      <c r="JI177" s="109"/>
      <c r="JJ177" s="40"/>
      <c r="JN177" s="12" t="str">
        <f t="shared" si="304"/>
        <v>Since FY21</v>
      </c>
      <c r="JO177" s="12">
        <f t="shared" si="304"/>
        <v>44770</v>
      </c>
      <c r="JP177" s="109">
        <f t="shared" si="305"/>
        <v>19.329129096989966</v>
      </c>
      <c r="JQ177" s="109">
        <f t="shared" si="305"/>
        <v>4</v>
      </c>
      <c r="JR177" s="109" t="e">
        <f t="shared" si="306"/>
        <v>#N/A</v>
      </c>
      <c r="JS177" s="109" t="e">
        <f t="shared" si="306"/>
        <v>#N/A</v>
      </c>
      <c r="JT177" s="40" t="e">
        <f>NA()</f>
        <v>#N/A</v>
      </c>
      <c r="JU177" s="40" t="e">
        <f>NA()</f>
        <v>#N/A</v>
      </c>
    </row>
    <row r="178" spans="13:281" x14ac:dyDescent="0.25">
      <c r="M178" s="5" t="str" cm="1">
        <f t="array" ref="M178">LOOKUP(2,1/($G$19:$G$35&lt;=$V178)/($H$19:$H$35&gt;=$V178),$F$19:$F$35)</f>
        <v>2H20</v>
      </c>
      <c r="N178" s="5" t="str" cm="1">
        <f t="array" ref="N178">LOOKUP(2,1/($G$8:$G$16&lt;=$V178)/($H$8:$H$16&gt;=$V178),$F$8:$F$16)</f>
        <v>FY20</v>
      </c>
      <c r="O178" s="5" t="str">
        <f>IFERROR(N178&amp;"-"&amp;COUNTIF($N$19:N178,N178),NA())</f>
        <v>FY20-44</v>
      </c>
      <c r="P178" s="5">
        <f>COUNTIF(V$19:V178,"&gt;="&amp;MAX($V:$V)-183)</f>
        <v>0</v>
      </c>
      <c r="Q178" s="5">
        <f>COUNTIF(V$19:V178,"&gt;="&amp;MAX($V:$V)-365)</f>
        <v>0</v>
      </c>
      <c r="R178" s="5" cm="1">
        <f t="array" ref="R178">LOOKUP(2,1/($G$46:$G$50&lt;=$V178)/($H$46:$H$50&gt;=$V178),$F$46:$F$50)</f>
        <v>0</v>
      </c>
      <c r="S178" s="5" cm="1">
        <f t="array" ref="S178">LOOKUP(2,1/($G$53:$G$56&lt;=$V178)/($H$53:$H$56&gt;=$V178),$F$53:$F$56)</f>
        <v>0</v>
      </c>
      <c r="T178" s="5" t="e">
        <f>IFERROR(IF($R178&gt;0,$R178&amp;"-"&amp;COUNTIF($R$19:$R178,$R178),NA()),NA())</f>
        <v>#N/A</v>
      </c>
      <c r="U178" s="5" t="e">
        <f>IFERROR(IF($S178&gt;0,$S178&amp;"-"&amp;COUNTIF($S$19:$S178,$S178),NA()),NA())</f>
        <v>#N/A</v>
      </c>
      <c r="V178" s="10">
        <v>43951</v>
      </c>
      <c r="W178" s="101">
        <v>17546634.478564911</v>
      </c>
      <c r="X178" s="101">
        <v>21289331.612842806</v>
      </c>
      <c r="Y178" s="102">
        <v>3000000</v>
      </c>
      <c r="JE178" s="12" t="str">
        <f t="shared" si="303"/>
        <v>Since FY21</v>
      </c>
      <c r="JF178" s="12">
        <f t="shared" si="303"/>
        <v>44791</v>
      </c>
      <c r="JG178" s="109">
        <f t="shared" si="307"/>
        <v>20.023645363332321</v>
      </c>
      <c r="JH178" s="109">
        <f t="shared" si="307"/>
        <v>4</v>
      </c>
      <c r="JI178" s="109"/>
      <c r="JJ178" s="40"/>
      <c r="JN178" s="12" t="str">
        <f t="shared" si="304"/>
        <v>Since FY21</v>
      </c>
      <c r="JO178" s="12">
        <f t="shared" si="304"/>
        <v>44777</v>
      </c>
      <c r="JP178" s="109">
        <f t="shared" si="305"/>
        <v>24.328928428093644</v>
      </c>
      <c r="JQ178" s="109">
        <f t="shared" si="305"/>
        <v>8</v>
      </c>
      <c r="JR178" s="109" t="e">
        <f t="shared" si="306"/>
        <v>#N/A</v>
      </c>
      <c r="JS178" s="109" t="e">
        <f t="shared" si="306"/>
        <v>#N/A</v>
      </c>
      <c r="JT178" s="40" t="e">
        <f>NA()</f>
        <v>#N/A</v>
      </c>
      <c r="JU178" s="40" t="e">
        <f>NA()</f>
        <v>#N/A</v>
      </c>
    </row>
    <row r="179" spans="13:281" x14ac:dyDescent="0.25">
      <c r="M179" s="5" t="str" cm="1">
        <f t="array" ref="M179">LOOKUP(2,1/($G$19:$G$35&lt;=$V179)/($H$19:$H$35&gt;=$V179),$F$19:$F$35)</f>
        <v>2H20</v>
      </c>
      <c r="N179" s="5" t="str" cm="1">
        <f t="array" ref="N179">LOOKUP(2,1/($G$8:$G$16&lt;=$V179)/($H$8:$H$16&gt;=$V179),$F$8:$F$16)</f>
        <v>FY20</v>
      </c>
      <c r="O179" s="5" t="str">
        <f>IFERROR(N179&amp;"-"&amp;COUNTIF($N$19:N179,N179),NA())</f>
        <v>FY20-45</v>
      </c>
      <c r="P179" s="5">
        <f>COUNTIF(V$19:V179,"&gt;="&amp;MAX($V:$V)-183)</f>
        <v>0</v>
      </c>
      <c r="Q179" s="5">
        <f>COUNTIF(V$19:V179,"&gt;="&amp;MAX($V:$V)-365)</f>
        <v>0</v>
      </c>
      <c r="R179" s="5" cm="1">
        <f t="array" ref="R179">LOOKUP(2,1/($G$46:$G$50&lt;=$V179)/($H$46:$H$50&gt;=$V179),$F$46:$F$50)</f>
        <v>0</v>
      </c>
      <c r="S179" s="5" cm="1">
        <f t="array" ref="S179">LOOKUP(2,1/($G$53:$G$56&lt;=$V179)/($H$53:$H$56&gt;=$V179),$F$53:$F$56)</f>
        <v>0</v>
      </c>
      <c r="T179" s="5" t="e">
        <f>IFERROR(IF($R179&gt;0,$R179&amp;"-"&amp;COUNTIF($R$19:$R179,$R179),NA()),NA())</f>
        <v>#N/A</v>
      </c>
      <c r="U179" s="5" t="e">
        <f>IFERROR(IF($S179&gt;0,$S179&amp;"-"&amp;COUNTIF($S$19:$S179,$S179),NA()),NA())</f>
        <v>#N/A</v>
      </c>
      <c r="V179" s="10">
        <v>43958</v>
      </c>
      <c r="W179" s="101">
        <v>22952706.354515053</v>
      </c>
      <c r="X179" s="101">
        <v>27848518.619933113</v>
      </c>
      <c r="Y179" s="102">
        <v>8000000</v>
      </c>
      <c r="JE179" s="12" t="str">
        <f t="shared" si="303"/>
        <v>Since FY21</v>
      </c>
      <c r="JF179" s="12">
        <f t="shared" si="303"/>
        <v>44798</v>
      </c>
      <c r="JG179" s="109">
        <f t="shared" si="307"/>
        <v>25.45458339920949</v>
      </c>
      <c r="JH179" s="109">
        <f t="shared" si="307"/>
        <v>8</v>
      </c>
      <c r="JI179" s="109"/>
      <c r="JJ179" s="40"/>
      <c r="JN179" s="12" t="str">
        <f t="shared" si="304"/>
        <v>Since FY21</v>
      </c>
      <c r="JO179" s="12">
        <f t="shared" si="304"/>
        <v>44784</v>
      </c>
      <c r="JP179" s="109">
        <f t="shared" si="305"/>
        <v>39.456376284584977</v>
      </c>
      <c r="JQ179" s="109">
        <f t="shared" si="305"/>
        <v>20</v>
      </c>
      <c r="JR179" s="109" t="e">
        <f t="shared" si="306"/>
        <v>#N/A</v>
      </c>
      <c r="JS179" s="109" t="e">
        <f t="shared" si="306"/>
        <v>#N/A</v>
      </c>
      <c r="JT179" s="40" t="e">
        <f>NA()</f>
        <v>#N/A</v>
      </c>
      <c r="JU179" s="40" t="e">
        <f>NA()</f>
        <v>#N/A</v>
      </c>
    </row>
    <row r="180" spans="13:281" x14ac:dyDescent="0.25">
      <c r="M180" s="5" t="str" cm="1">
        <f t="array" ref="M180">LOOKUP(2,1/($G$19:$G$35&lt;=$V180)/($H$19:$H$35&gt;=$V180),$F$19:$F$35)</f>
        <v>2H20</v>
      </c>
      <c r="N180" s="5" t="str" cm="1">
        <f t="array" ref="N180">LOOKUP(2,1/($G$8:$G$16&lt;=$V180)/($H$8:$H$16&gt;=$V180),$F$8:$F$16)</f>
        <v>FY20</v>
      </c>
      <c r="O180" s="5" t="str">
        <f>IFERROR(N180&amp;"-"&amp;COUNTIF($N$19:N180,N180),NA())</f>
        <v>FY20-46</v>
      </c>
      <c r="P180" s="5">
        <f>COUNTIF(V$19:V180,"&gt;="&amp;MAX($V:$V)-183)</f>
        <v>0</v>
      </c>
      <c r="Q180" s="5">
        <f>COUNTIF(V$19:V180,"&gt;="&amp;MAX($V:$V)-365)</f>
        <v>0</v>
      </c>
      <c r="R180" s="5" cm="1">
        <f t="array" ref="R180">LOOKUP(2,1/($G$46:$G$50&lt;=$V180)/($H$46:$H$50&gt;=$V180),$F$46:$F$50)</f>
        <v>0</v>
      </c>
      <c r="S180" s="5" cm="1">
        <f t="array" ref="S180">LOOKUP(2,1/($G$53:$G$56&lt;=$V180)/($H$53:$H$56&gt;=$V180),$F$53:$F$56)</f>
        <v>0</v>
      </c>
      <c r="T180" s="5" t="e">
        <f>IFERROR(IF($R180&gt;0,$R180&amp;"-"&amp;COUNTIF($R$19:$R180,$R180),NA()),NA())</f>
        <v>#N/A</v>
      </c>
      <c r="U180" s="5" t="e">
        <f>IFERROR(IF($S180&gt;0,$S180&amp;"-"&amp;COUNTIF($S$19:$S180,$S180),NA()),NA())</f>
        <v>#N/A</v>
      </c>
      <c r="V180" s="10">
        <v>43965</v>
      </c>
      <c r="W180" s="101">
        <v>17170624.749163877</v>
      </c>
      <c r="X180" s="101">
        <v>20833119.008160532</v>
      </c>
      <c r="Y180" s="102">
        <v>3000000</v>
      </c>
      <c r="JE180" s="12" t="str">
        <f t="shared" si="303"/>
        <v>Since FY21</v>
      </c>
      <c r="JF180" s="12">
        <f t="shared" si="303"/>
        <v>44805</v>
      </c>
      <c r="JG180" s="109">
        <f t="shared" si="307"/>
        <v>39.743730009121315</v>
      </c>
      <c r="JH180" s="109">
        <f t="shared" si="307"/>
        <v>20</v>
      </c>
      <c r="JI180" s="109"/>
      <c r="JJ180" s="40"/>
      <c r="JN180" s="12" t="str">
        <f t="shared" si="304"/>
        <v>Since FY21</v>
      </c>
      <c r="JO180" s="12">
        <f t="shared" si="304"/>
        <v>44791</v>
      </c>
      <c r="JP180" s="109">
        <f t="shared" si="305"/>
        <v>20.023645363332321</v>
      </c>
      <c r="JQ180" s="109">
        <f t="shared" si="305"/>
        <v>4</v>
      </c>
      <c r="JR180" s="109" t="e">
        <f t="shared" si="306"/>
        <v>#N/A</v>
      </c>
      <c r="JS180" s="109" t="e">
        <f t="shared" si="306"/>
        <v>#N/A</v>
      </c>
      <c r="JT180" s="40" t="e">
        <f>NA()</f>
        <v>#N/A</v>
      </c>
      <c r="JU180" s="40" t="e">
        <f>NA()</f>
        <v>#N/A</v>
      </c>
    </row>
    <row r="181" spans="13:281" x14ac:dyDescent="0.25">
      <c r="M181" s="5" t="str" cm="1">
        <f t="array" ref="M181">LOOKUP(2,1/($G$19:$G$35&lt;=$V181)/($H$19:$H$35&gt;=$V181),$F$19:$F$35)</f>
        <v>2H20</v>
      </c>
      <c r="N181" s="5" t="str" cm="1">
        <f t="array" ref="N181">LOOKUP(2,1/($G$8:$G$16&lt;=$V181)/($H$8:$H$16&gt;=$V181),$F$8:$F$16)</f>
        <v>FY20</v>
      </c>
      <c r="O181" s="5" t="str">
        <f>IFERROR(N181&amp;"-"&amp;COUNTIF($N$19:N181,N181),NA())</f>
        <v>FY20-47</v>
      </c>
      <c r="P181" s="5">
        <f>COUNTIF(V$19:V181,"&gt;="&amp;MAX($V:$V)-183)</f>
        <v>0</v>
      </c>
      <c r="Q181" s="5">
        <f>COUNTIF(V$19:V181,"&gt;="&amp;MAX($V:$V)-365)</f>
        <v>0</v>
      </c>
      <c r="R181" s="5" cm="1">
        <f t="array" ref="R181">LOOKUP(2,1/($G$46:$G$50&lt;=$V181)/($H$46:$H$50&gt;=$V181),$F$46:$F$50)</f>
        <v>0</v>
      </c>
      <c r="S181" s="5" cm="1">
        <f t="array" ref="S181">LOOKUP(2,1/($G$53:$G$56&lt;=$V181)/($H$53:$H$56&gt;=$V181),$F$53:$F$56)</f>
        <v>0</v>
      </c>
      <c r="T181" s="5" t="e">
        <f>IFERROR(IF($R181&gt;0,$R181&amp;"-"&amp;COUNTIF($R$19:$R181,$R181),NA()),NA())</f>
        <v>#N/A</v>
      </c>
      <c r="U181" s="5" t="e">
        <f>IFERROR(IF($S181&gt;0,$S181&amp;"-"&amp;COUNTIF($S$19:$S181,$S181),NA()),NA())</f>
        <v>#N/A</v>
      </c>
      <c r="V181" s="10">
        <v>43972</v>
      </c>
      <c r="W181" s="101">
        <v>24236348.555792037</v>
      </c>
      <c r="X181" s="101">
        <v>29405961.70274248</v>
      </c>
      <c r="Y181" s="102">
        <v>8000000</v>
      </c>
      <c r="JE181" s="12" t="str">
        <f t="shared" si="303"/>
        <v>Since FY21</v>
      </c>
      <c r="JF181" s="12">
        <f t="shared" si="303"/>
        <v>44812</v>
      </c>
      <c r="JG181" s="109">
        <f t="shared" si="307"/>
        <v>61.420572818485859</v>
      </c>
      <c r="JH181" s="109">
        <f t="shared" si="307"/>
        <v>40</v>
      </c>
      <c r="JI181" s="109"/>
      <c r="JJ181" s="40"/>
      <c r="JN181" s="12" t="str">
        <f t="shared" ref="JN181:JO196" si="308">IF(OR(ISBLANK(IW117),$IZ117&gt;=$JO$66),NA(),IW117)</f>
        <v>Since FY21</v>
      </c>
      <c r="JO181" s="12">
        <f t="shared" si="308"/>
        <v>44798</v>
      </c>
      <c r="JP181" s="109">
        <f t="shared" ref="JP181:JQ196" si="309">IF(OR(ISBLANK(IY117),$IZ117&gt;=$JO$66),NA(),IY117)/1000000</f>
        <v>25.45458339920949</v>
      </c>
      <c r="JQ181" s="109">
        <f t="shared" si="309"/>
        <v>8</v>
      </c>
      <c r="JR181" s="109" t="e">
        <f t="shared" ref="JR181:JS196" si="310">IF(OR(ISBLANK(IY117),$IZ117&lt;$JR$66),NA(),IY117)/1000000</f>
        <v>#N/A</v>
      </c>
      <c r="JS181" s="109" t="e">
        <f t="shared" si="310"/>
        <v>#N/A</v>
      </c>
      <c r="JT181" s="40" t="e">
        <f>NA()</f>
        <v>#N/A</v>
      </c>
      <c r="JU181" s="40" t="e">
        <f>NA()</f>
        <v>#N/A</v>
      </c>
    </row>
    <row r="182" spans="13:281" x14ac:dyDescent="0.25">
      <c r="M182" s="5" t="str" cm="1">
        <f t="array" ref="M182">LOOKUP(2,1/($G$19:$G$35&lt;=$V182)/($H$19:$H$35&gt;=$V182),$F$19:$F$35)</f>
        <v>2H20</v>
      </c>
      <c r="N182" s="5" t="str" cm="1">
        <f t="array" ref="N182">LOOKUP(2,1/($G$8:$G$16&lt;=$V182)/($H$8:$H$16&gt;=$V182),$F$8:$F$16)</f>
        <v>FY20</v>
      </c>
      <c r="O182" s="5" t="str">
        <f>IFERROR(N182&amp;"-"&amp;COUNTIF($N$19:N182,N182),NA())</f>
        <v>FY20-48</v>
      </c>
      <c r="P182" s="5">
        <f>COUNTIF(V$19:V182,"&gt;="&amp;MAX($V:$V)-183)</f>
        <v>0</v>
      </c>
      <c r="Q182" s="5">
        <f>COUNTIF(V$19:V182,"&gt;="&amp;MAX($V:$V)-365)</f>
        <v>0</v>
      </c>
      <c r="R182" s="5" cm="1">
        <f t="array" ref="R182">LOOKUP(2,1/($G$46:$G$50&lt;=$V182)/($H$46:$H$50&gt;=$V182),$F$46:$F$50)</f>
        <v>0</v>
      </c>
      <c r="S182" s="5" cm="1">
        <f t="array" ref="S182">LOOKUP(2,1/($G$53:$G$56&lt;=$V182)/($H$53:$H$56&gt;=$V182),$F$53:$F$56)</f>
        <v>0</v>
      </c>
      <c r="T182" s="5" t="e">
        <f>IFERROR(IF($R182&gt;0,$R182&amp;"-"&amp;COUNTIF($R$19:$R182,$R182),NA()),NA())</f>
        <v>#N/A</v>
      </c>
      <c r="U182" s="5" t="e">
        <f>IFERROR(IF($S182&gt;0,$S182&amp;"-"&amp;COUNTIF($S$19:$S182,$S182),NA()),NA())</f>
        <v>#N/A</v>
      </c>
      <c r="V182" s="10">
        <v>43979</v>
      </c>
      <c r="W182" s="101">
        <v>37016112.131346919</v>
      </c>
      <c r="X182" s="101">
        <v>44911648.848963216</v>
      </c>
      <c r="Y182" s="102">
        <v>15000000</v>
      </c>
      <c r="JE182" s="12" t="str">
        <f t="shared" si="303"/>
        <v>Since FY21</v>
      </c>
      <c r="JF182" s="12">
        <f t="shared" si="303"/>
        <v>44819</v>
      </c>
      <c r="JG182" s="109">
        <f t="shared" si="307"/>
        <v>25.008818485861962</v>
      </c>
      <c r="JH182" s="109">
        <f t="shared" si="307"/>
        <v>8</v>
      </c>
      <c r="JI182" s="109"/>
      <c r="JJ182" s="40"/>
      <c r="JN182" s="12" t="str">
        <f t="shared" si="308"/>
        <v>Since FY21</v>
      </c>
      <c r="JO182" s="12">
        <f t="shared" si="308"/>
        <v>44805</v>
      </c>
      <c r="JP182" s="109">
        <f t="shared" si="309"/>
        <v>39.743730009121315</v>
      </c>
      <c r="JQ182" s="109">
        <f t="shared" si="309"/>
        <v>20</v>
      </c>
      <c r="JR182" s="109" t="e">
        <f t="shared" si="310"/>
        <v>#N/A</v>
      </c>
      <c r="JS182" s="109" t="e">
        <f t="shared" si="310"/>
        <v>#N/A</v>
      </c>
      <c r="JT182" s="40" t="e">
        <f>NA()</f>
        <v>#N/A</v>
      </c>
      <c r="JU182" s="40" t="e">
        <f>NA()</f>
        <v>#N/A</v>
      </c>
    </row>
    <row r="183" spans="13:281" x14ac:dyDescent="0.25">
      <c r="M183" s="5" t="str" cm="1">
        <f t="array" ref="M183">LOOKUP(2,1/($G$19:$G$35&lt;=$V183)/($H$19:$H$35&gt;=$V183),$F$19:$F$35)</f>
        <v>2H20</v>
      </c>
      <c r="N183" s="5" t="str" cm="1">
        <f t="array" ref="N183">LOOKUP(2,1/($G$8:$G$16&lt;=$V183)/($H$8:$H$16&gt;=$V183),$F$8:$F$16)</f>
        <v>FY20</v>
      </c>
      <c r="O183" s="5" t="str">
        <f>IFERROR(N183&amp;"-"&amp;COUNTIF($N$19:N183,N183),NA())</f>
        <v>FY20-49</v>
      </c>
      <c r="P183" s="5">
        <f>COUNTIF(V$19:V183,"&gt;="&amp;MAX($V:$V)-183)</f>
        <v>0</v>
      </c>
      <c r="Q183" s="5">
        <f>COUNTIF(V$19:V183,"&gt;="&amp;MAX($V:$V)-365)</f>
        <v>0</v>
      </c>
      <c r="R183" s="5" cm="1">
        <f t="array" ref="R183">LOOKUP(2,1/($G$46:$G$50&lt;=$V183)/($H$46:$H$50&gt;=$V183),$F$46:$F$50)</f>
        <v>0</v>
      </c>
      <c r="S183" s="5" cm="1">
        <f t="array" ref="S183">LOOKUP(2,1/($G$53:$G$56&lt;=$V183)/($H$53:$H$56&gt;=$V183),$F$53:$F$56)</f>
        <v>0</v>
      </c>
      <c r="T183" s="5" t="e">
        <f>IFERROR(IF($R183&gt;0,$R183&amp;"-"&amp;COUNTIF($R$19:$R183,$R183),NA()),NA())</f>
        <v>#N/A</v>
      </c>
      <c r="U183" s="5" t="e">
        <f>IFERROR(IF($S183&gt;0,$S183&amp;"-"&amp;COUNTIF($S$19:$S183,$S183),NA()),NA())</f>
        <v>#N/A</v>
      </c>
      <c r="V183" s="10">
        <v>43986</v>
      </c>
      <c r="W183" s="101">
        <v>18066079.416235939</v>
      </c>
      <c r="X183" s="101">
        <v>21919574.155719064</v>
      </c>
      <c r="Y183" s="102">
        <v>3000000</v>
      </c>
      <c r="JE183" s="12" t="str">
        <f t="shared" si="303"/>
        <v>Since FY21</v>
      </c>
      <c r="JF183" s="12">
        <f t="shared" si="303"/>
        <v>44826</v>
      </c>
      <c r="JG183" s="109">
        <f t="shared" si="307"/>
        <v>22.65982973548191</v>
      </c>
      <c r="JH183" s="109">
        <f t="shared" si="307"/>
        <v>8</v>
      </c>
      <c r="JI183" s="109"/>
      <c r="JJ183" s="40"/>
      <c r="JN183" s="12" t="str">
        <f t="shared" si="308"/>
        <v>Since FY21</v>
      </c>
      <c r="JO183" s="12">
        <f t="shared" si="308"/>
        <v>44812</v>
      </c>
      <c r="JP183" s="109">
        <f t="shared" si="309"/>
        <v>61.420572818485859</v>
      </c>
      <c r="JQ183" s="109">
        <f t="shared" si="309"/>
        <v>40</v>
      </c>
      <c r="JR183" s="109" t="e">
        <f t="shared" si="310"/>
        <v>#N/A</v>
      </c>
      <c r="JS183" s="109" t="e">
        <f t="shared" si="310"/>
        <v>#N/A</v>
      </c>
      <c r="JT183" s="40" t="e">
        <f>NA()</f>
        <v>#N/A</v>
      </c>
      <c r="JU183" s="40" t="e">
        <f>NA()</f>
        <v>#N/A</v>
      </c>
    </row>
    <row r="184" spans="13:281" x14ac:dyDescent="0.25">
      <c r="M184" s="5" t="str" cm="1">
        <f t="array" ref="M184">LOOKUP(2,1/($G$19:$G$35&lt;=$V184)/($H$19:$H$35&gt;=$V184),$F$19:$F$35)</f>
        <v>2H20</v>
      </c>
      <c r="N184" s="5" t="str" cm="1">
        <f t="array" ref="N184">LOOKUP(2,1/($G$8:$G$16&lt;=$V184)/($H$8:$H$16&gt;=$V184),$F$8:$F$16)</f>
        <v>FY20</v>
      </c>
      <c r="O184" s="5" t="str">
        <f>IFERROR(N184&amp;"-"&amp;COUNTIF($N$19:N184,N184),NA())</f>
        <v>FY20-50</v>
      </c>
      <c r="P184" s="5">
        <f>COUNTIF(V$19:V184,"&gt;="&amp;MAX($V:$V)-183)</f>
        <v>0</v>
      </c>
      <c r="Q184" s="5">
        <f>COUNTIF(V$19:V184,"&gt;="&amp;MAX($V:$V)-365)</f>
        <v>0</v>
      </c>
      <c r="R184" s="5" cm="1">
        <f t="array" ref="R184">LOOKUP(2,1/($G$46:$G$50&lt;=$V184)/($H$46:$H$50&gt;=$V184),$F$46:$F$50)</f>
        <v>0</v>
      </c>
      <c r="S184" s="5" cm="1">
        <f t="array" ref="S184">LOOKUP(2,1/($G$53:$G$56&lt;=$V184)/($H$53:$H$56&gt;=$V184),$F$53:$F$56)</f>
        <v>0</v>
      </c>
      <c r="T184" s="5" t="e">
        <f>IFERROR(IF($R184&gt;0,$R184&amp;"-"&amp;COUNTIF($R$19:$R184,$R184),NA()),NA())</f>
        <v>#N/A</v>
      </c>
      <c r="U184" s="5" t="e">
        <f>IFERROR(IF($S184&gt;0,$S184&amp;"-"&amp;COUNTIF($S$19:$S184,$S184),NA()),NA())</f>
        <v>#N/A</v>
      </c>
      <c r="V184" s="10">
        <v>43993</v>
      </c>
      <c r="W184" s="101">
        <v>24991572.879294623</v>
      </c>
      <c r="X184" s="101">
        <v>30322275.374448165</v>
      </c>
      <c r="Y184" s="102">
        <v>8000000</v>
      </c>
      <c r="JE184" s="12" t="str">
        <f t="shared" si="303"/>
        <v>Since FY21</v>
      </c>
      <c r="JF184" s="12">
        <f t="shared" si="303"/>
        <v>44833</v>
      </c>
      <c r="JG184" s="109">
        <f t="shared" si="307"/>
        <v>35.905405655214345</v>
      </c>
      <c r="JH184" s="109">
        <f t="shared" si="307"/>
        <v>20</v>
      </c>
      <c r="JI184" s="109"/>
      <c r="JJ184" s="40"/>
      <c r="JN184" s="12" t="str">
        <f t="shared" si="308"/>
        <v>Since FY21</v>
      </c>
      <c r="JO184" s="12">
        <f t="shared" si="308"/>
        <v>44819</v>
      </c>
      <c r="JP184" s="109">
        <f t="shared" si="309"/>
        <v>25.008818485861962</v>
      </c>
      <c r="JQ184" s="109">
        <f t="shared" si="309"/>
        <v>8</v>
      </c>
      <c r="JR184" s="109" t="e">
        <f t="shared" si="310"/>
        <v>#N/A</v>
      </c>
      <c r="JS184" s="109" t="e">
        <f t="shared" si="310"/>
        <v>#N/A</v>
      </c>
      <c r="JT184" s="40" t="e">
        <f>NA()</f>
        <v>#N/A</v>
      </c>
      <c r="JU184" s="40" t="e">
        <f>NA()</f>
        <v>#N/A</v>
      </c>
    </row>
    <row r="185" spans="13:281" x14ac:dyDescent="0.25">
      <c r="M185" s="5" t="str" cm="1">
        <f t="array" ref="M185">LOOKUP(2,1/($G$19:$G$35&lt;=$V185)/($H$19:$H$35&gt;=$V185),$F$19:$F$35)</f>
        <v>2H20</v>
      </c>
      <c r="N185" s="5" t="str" cm="1">
        <f t="array" ref="N185">LOOKUP(2,1/($G$8:$G$16&lt;=$V185)/($H$8:$H$16&gt;=$V185),$F$8:$F$16)</f>
        <v>FY20</v>
      </c>
      <c r="O185" s="5" t="str">
        <f>IFERROR(N185&amp;"-"&amp;COUNTIF($N$19:N185,N185),NA())</f>
        <v>FY20-51</v>
      </c>
      <c r="P185" s="5">
        <f>COUNTIF(V$19:V185,"&gt;="&amp;MAX($V:$V)-183)</f>
        <v>0</v>
      </c>
      <c r="Q185" s="5">
        <f>COUNTIF(V$19:V185,"&gt;="&amp;MAX($V:$V)-365)</f>
        <v>0</v>
      </c>
      <c r="R185" s="5" cm="1">
        <f t="array" ref="R185">LOOKUP(2,1/($G$46:$G$50&lt;=$V185)/($H$46:$H$50&gt;=$V185),$F$46:$F$50)</f>
        <v>0</v>
      </c>
      <c r="S185" s="5" cm="1">
        <f t="array" ref="S185">LOOKUP(2,1/($G$53:$G$56&lt;=$V185)/($H$53:$H$56&gt;=$V185),$F$53:$F$56)</f>
        <v>0</v>
      </c>
      <c r="T185" s="5" t="e">
        <f>IFERROR(IF($R185&gt;0,$R185&amp;"-"&amp;COUNTIF($R$19:$R185,$R185),NA()),NA())</f>
        <v>#N/A</v>
      </c>
      <c r="U185" s="5" t="e">
        <f>IFERROR(IF($S185&gt;0,$S185&amp;"-"&amp;COUNTIF($S$19:$S185,$S185),NA()),NA())</f>
        <v>#N/A</v>
      </c>
      <c r="V185" s="10">
        <v>44000</v>
      </c>
      <c r="W185" s="101">
        <v>31885473.031316504</v>
      </c>
      <c r="X185" s="101">
        <v>38686644.428896315</v>
      </c>
      <c r="Y185" s="102">
        <v>15000000</v>
      </c>
      <c r="JE185" s="12" t="str">
        <f t="shared" si="303"/>
        <v>Since FY21</v>
      </c>
      <c r="JF185" s="12">
        <f t="shared" si="303"/>
        <v>44840</v>
      </c>
      <c r="JG185" s="109">
        <f t="shared" si="307"/>
        <v>47.423181270903001</v>
      </c>
      <c r="JH185" s="109">
        <f t="shared" si="307"/>
        <v>30</v>
      </c>
      <c r="JI185" s="109"/>
      <c r="JJ185" s="40"/>
      <c r="JN185" s="12" t="str">
        <f t="shared" si="308"/>
        <v>Since FY21</v>
      </c>
      <c r="JO185" s="12">
        <f t="shared" si="308"/>
        <v>44826</v>
      </c>
      <c r="JP185" s="109">
        <f t="shared" si="309"/>
        <v>22.65982973548191</v>
      </c>
      <c r="JQ185" s="109">
        <f t="shared" si="309"/>
        <v>8</v>
      </c>
      <c r="JR185" s="109" t="e">
        <f t="shared" si="310"/>
        <v>#N/A</v>
      </c>
      <c r="JS185" s="109" t="e">
        <f t="shared" si="310"/>
        <v>#N/A</v>
      </c>
      <c r="JT185" s="40" t="e">
        <f>NA()</f>
        <v>#N/A</v>
      </c>
      <c r="JU185" s="40" t="e">
        <f>NA()</f>
        <v>#N/A</v>
      </c>
    </row>
    <row r="186" spans="13:281" x14ac:dyDescent="0.25">
      <c r="M186" s="5" t="str" cm="1">
        <f t="array" ref="M186">LOOKUP(2,1/($G$19:$G$35&lt;=$V186)/($H$19:$H$35&gt;=$V186),$F$19:$F$35)</f>
        <v>2H20</v>
      </c>
      <c r="N186" s="5" t="str" cm="1">
        <f t="array" ref="N186">LOOKUP(2,1/($G$8:$G$16&lt;=$V186)/($H$8:$H$16&gt;=$V186),$F$8:$F$16)</f>
        <v>FY20</v>
      </c>
      <c r="O186" s="5" t="str">
        <f>IFERROR(N186&amp;"-"&amp;COUNTIF($N$19:N186,N186),NA())</f>
        <v>FY20-52</v>
      </c>
      <c r="P186" s="5">
        <f>COUNTIF(V$19:V186,"&gt;="&amp;MAX($V:$V)-183)</f>
        <v>0</v>
      </c>
      <c r="Q186" s="5">
        <f>COUNTIF(V$19:V186,"&gt;="&amp;MAX($V:$V)-365)</f>
        <v>0</v>
      </c>
      <c r="R186" s="5" cm="1">
        <f t="array" ref="R186">LOOKUP(2,1/($G$46:$G$50&lt;=$V186)/($H$46:$H$50&gt;=$V186),$F$46:$F$50)</f>
        <v>0</v>
      </c>
      <c r="S186" s="5" cm="1">
        <f t="array" ref="S186">LOOKUP(2,1/($G$53:$G$56&lt;=$V186)/($H$53:$H$56&gt;=$V186),$F$53:$F$56)</f>
        <v>0</v>
      </c>
      <c r="T186" s="5" t="e">
        <f>IFERROR(IF($R186&gt;0,$R186&amp;"-"&amp;COUNTIF($R$19:$R186,$R186),NA()),NA())</f>
        <v>#N/A</v>
      </c>
      <c r="U186" s="5" t="e">
        <f>IFERROR(IF($S186&gt;0,$S186&amp;"-"&amp;COUNTIF($S$19:$S186,$S186),NA()),NA())</f>
        <v>#N/A</v>
      </c>
      <c r="V186" s="10">
        <v>44007</v>
      </c>
      <c r="W186" s="101">
        <v>48173921.070234112</v>
      </c>
      <c r="X186" s="101">
        <v>58449418.434515052</v>
      </c>
      <c r="Y186" s="102">
        <v>30000000</v>
      </c>
      <c r="JE186" s="12" t="str">
        <f t="shared" si="303"/>
        <v>Since FY21</v>
      </c>
      <c r="JF186" s="12">
        <f t="shared" si="303"/>
        <v>44847</v>
      </c>
      <c r="JG186" s="109">
        <f t="shared" si="307"/>
        <v>77.692655761629666</v>
      </c>
      <c r="JH186" s="109">
        <f t="shared" si="307"/>
        <v>50</v>
      </c>
      <c r="JI186" s="109"/>
      <c r="JJ186" s="40"/>
      <c r="JN186" s="12" t="str">
        <f t="shared" si="308"/>
        <v>Since FY21</v>
      </c>
      <c r="JO186" s="12">
        <f t="shared" si="308"/>
        <v>44833</v>
      </c>
      <c r="JP186" s="109">
        <f t="shared" si="309"/>
        <v>35.905405655214345</v>
      </c>
      <c r="JQ186" s="109">
        <f t="shared" si="309"/>
        <v>20</v>
      </c>
      <c r="JR186" s="109" t="e">
        <f t="shared" si="310"/>
        <v>#N/A</v>
      </c>
      <c r="JS186" s="109" t="e">
        <f t="shared" si="310"/>
        <v>#N/A</v>
      </c>
      <c r="JT186" s="40" t="e">
        <f>NA()</f>
        <v>#N/A</v>
      </c>
      <c r="JU186" s="40" t="e">
        <f>NA()</f>
        <v>#N/A</v>
      </c>
    </row>
    <row r="187" spans="13:281" x14ac:dyDescent="0.25">
      <c r="M187" s="5" t="str" cm="1">
        <f t="array" ref="M187">LOOKUP(2,1/($G$19:$G$35&lt;=$V187)/($H$19:$H$35&gt;=$V187),$F$19:$F$35)</f>
        <v>1H21</v>
      </c>
      <c r="N187" s="5" t="str" cm="1">
        <f t="array" ref="N187">LOOKUP(2,1/($G$8:$G$16&lt;=$V187)/($H$8:$H$16&gt;=$V187),$F$8:$F$16)</f>
        <v>FY21</v>
      </c>
      <c r="O187" s="5" t="str">
        <f>IFERROR(N187&amp;"-"&amp;COUNTIF($N$19:N187,N187),NA())</f>
        <v>FY21-1</v>
      </c>
      <c r="P187" s="5">
        <f>COUNTIF(V$19:V187,"&gt;="&amp;MAX($V:$V)-183)</f>
        <v>0</v>
      </c>
      <c r="Q187" s="5">
        <f>COUNTIF(V$19:V187,"&gt;="&amp;MAX($V:$V)-365)</f>
        <v>0</v>
      </c>
      <c r="R187" s="5" cm="1">
        <f t="array" ref="R187">LOOKUP(2,1/($G$46:$G$50&lt;=$V187)/($H$46:$H$50&gt;=$V187),$F$46:$F$50)</f>
        <v>0</v>
      </c>
      <c r="S187" s="5" cm="1">
        <f t="array" ref="S187">LOOKUP(2,1/($G$53:$G$56&lt;=$V187)/($H$53:$H$56&gt;=$V187),$F$53:$F$56)</f>
        <v>0</v>
      </c>
      <c r="T187" s="5" t="e">
        <f>IFERROR(IF($R187&gt;0,$R187&amp;"-"&amp;COUNTIF($R$19:$R187,$R187),NA()),NA())</f>
        <v>#N/A</v>
      </c>
      <c r="U187" s="5" t="e">
        <f>IFERROR(IF($S187&gt;0,$S187&amp;"-"&amp;COUNTIF($S$19:$S187,$S187),NA()),NA())</f>
        <v>#N/A</v>
      </c>
      <c r="V187" s="10">
        <v>44014</v>
      </c>
      <c r="W187" s="101">
        <v>69318618.911523253</v>
      </c>
      <c r="X187" s="101">
        <v>84104280.325351164</v>
      </c>
      <c r="Y187" s="102">
        <v>50000000</v>
      </c>
      <c r="JE187" s="12" t="str">
        <f t="shared" si="303"/>
        <v>Since FY21</v>
      </c>
      <c r="JF187" s="12">
        <f t="shared" si="303"/>
        <v>44854</v>
      </c>
      <c r="JG187" s="109">
        <f t="shared" si="307"/>
        <v>183.08447309212528</v>
      </c>
      <c r="JH187" s="109">
        <f t="shared" si="307"/>
        <v>100</v>
      </c>
      <c r="JI187" s="109"/>
      <c r="JJ187" s="40"/>
      <c r="JN187" s="12" t="str">
        <f t="shared" si="308"/>
        <v>Since FY21</v>
      </c>
      <c r="JO187" s="12">
        <f t="shared" si="308"/>
        <v>44840</v>
      </c>
      <c r="JP187" s="109">
        <f t="shared" si="309"/>
        <v>47.423181270903001</v>
      </c>
      <c r="JQ187" s="109">
        <f t="shared" si="309"/>
        <v>30</v>
      </c>
      <c r="JR187" s="109" t="e">
        <f t="shared" si="310"/>
        <v>#N/A</v>
      </c>
      <c r="JS187" s="109" t="e">
        <f t="shared" si="310"/>
        <v>#N/A</v>
      </c>
      <c r="JT187" s="40" t="e">
        <f>NA()</f>
        <v>#N/A</v>
      </c>
      <c r="JU187" s="40" t="e">
        <f>NA()</f>
        <v>#N/A</v>
      </c>
    </row>
    <row r="188" spans="13:281" x14ac:dyDescent="0.25">
      <c r="M188" s="5" t="str" cm="1">
        <f t="array" ref="M188">LOOKUP(2,1/($G$19:$G$35&lt;=$V188)/($H$19:$H$35&gt;=$V188),$F$19:$F$35)</f>
        <v>1H21</v>
      </c>
      <c r="N188" s="5" t="str" cm="1">
        <f t="array" ref="N188">LOOKUP(2,1/($G$8:$G$16&lt;=$V188)/($H$8:$H$16&gt;=$V188),$F$8:$F$16)</f>
        <v>FY21</v>
      </c>
      <c r="O188" s="5" t="str">
        <f>IFERROR(N188&amp;"-"&amp;COUNTIF($N$19:N188,N188),NA())</f>
        <v>FY21-2</v>
      </c>
      <c r="P188" s="5">
        <f>COUNTIF(V$19:V188,"&gt;="&amp;MAX($V:$V)-183)</f>
        <v>0</v>
      </c>
      <c r="Q188" s="5">
        <f>COUNTIF(V$19:V188,"&gt;="&amp;MAX($V:$V)-365)</f>
        <v>0</v>
      </c>
      <c r="R188" s="5" cm="1">
        <f t="array" ref="R188">LOOKUP(2,1/($G$46:$G$50&lt;=$V188)/($H$46:$H$50&gt;=$V188),$F$46:$F$50)</f>
        <v>0</v>
      </c>
      <c r="S188" s="5" cm="1">
        <f t="array" ref="S188">LOOKUP(2,1/($G$53:$G$56&lt;=$V188)/($H$53:$H$56&gt;=$V188),$F$53:$F$56)</f>
        <v>0</v>
      </c>
      <c r="T188" s="5" t="e">
        <f>IFERROR(IF($R188&gt;0,$R188&amp;"-"&amp;COUNTIF($R$19:$R188,$R188),NA()),NA())</f>
        <v>#N/A</v>
      </c>
      <c r="U188" s="5" t="e">
        <f>IFERROR(IF($S188&gt;0,$S188&amp;"-"&amp;COUNTIF($S$19:$S188,$S188),NA()),NA())</f>
        <v>#N/A</v>
      </c>
      <c r="V188" s="10">
        <v>44021</v>
      </c>
      <c r="W188" s="101">
        <v>107889410.27667983</v>
      </c>
      <c r="X188" s="101">
        <v>130902221.48869564</v>
      </c>
      <c r="Y188" s="102">
        <v>80000000</v>
      </c>
      <c r="JE188" s="12" t="str">
        <f t="shared" si="303"/>
        <v>Since FY21</v>
      </c>
      <c r="JF188" s="12">
        <f t="shared" si="303"/>
        <v>44861</v>
      </c>
      <c r="JG188" s="109">
        <f t="shared" si="307"/>
        <v>284.83741380358765</v>
      </c>
      <c r="JH188" s="109">
        <f t="shared" si="307"/>
        <v>160</v>
      </c>
      <c r="JI188" s="109"/>
      <c r="JJ188" s="40"/>
      <c r="JN188" s="12" t="str">
        <f t="shared" si="308"/>
        <v>Since FY21</v>
      </c>
      <c r="JO188" s="12">
        <f t="shared" si="308"/>
        <v>44847</v>
      </c>
      <c r="JP188" s="109">
        <f t="shared" si="309"/>
        <v>77.692655761629666</v>
      </c>
      <c r="JQ188" s="109">
        <f t="shared" si="309"/>
        <v>50</v>
      </c>
      <c r="JR188" s="109" t="e">
        <f t="shared" si="310"/>
        <v>#N/A</v>
      </c>
      <c r="JS188" s="109" t="e">
        <f t="shared" si="310"/>
        <v>#N/A</v>
      </c>
      <c r="JT188" s="40" t="e">
        <f>NA()</f>
        <v>#N/A</v>
      </c>
      <c r="JU188" s="40" t="e">
        <f>NA()</f>
        <v>#N/A</v>
      </c>
    </row>
    <row r="189" spans="13:281" x14ac:dyDescent="0.25">
      <c r="M189" s="5" t="str" cm="1">
        <f t="array" ref="M189">LOOKUP(2,1/($G$19:$G$35&lt;=$V189)/($H$19:$H$35&gt;=$V189),$F$19:$F$35)</f>
        <v>1H21</v>
      </c>
      <c r="N189" s="5" t="str" cm="1">
        <f t="array" ref="N189">LOOKUP(2,1/($G$8:$G$16&lt;=$V189)/($H$8:$H$16&gt;=$V189),$F$8:$F$16)</f>
        <v>FY21</v>
      </c>
      <c r="O189" s="5" t="str">
        <f>IFERROR(N189&amp;"-"&amp;COUNTIF($N$19:N189,N189),NA())</f>
        <v>FY21-3</v>
      </c>
      <c r="P189" s="5">
        <f>COUNTIF(V$19:V189,"&gt;="&amp;MAX($V:$V)-183)</f>
        <v>0</v>
      </c>
      <c r="Q189" s="5">
        <f>COUNTIF(V$19:V189,"&gt;="&amp;MAX($V:$V)-365)</f>
        <v>0</v>
      </c>
      <c r="R189" s="5" cm="1">
        <f t="array" ref="R189">LOOKUP(2,1/($G$46:$G$50&lt;=$V189)/($H$46:$H$50&gt;=$V189),$F$46:$F$50)</f>
        <v>0</v>
      </c>
      <c r="S189" s="5" cm="1">
        <f t="array" ref="S189">LOOKUP(2,1/($G$53:$G$56&lt;=$V189)/($H$53:$H$56&gt;=$V189),$F$53:$F$56)</f>
        <v>0</v>
      </c>
      <c r="T189" s="5" t="e">
        <f>IFERROR(IF($R189&gt;0,$R189&amp;"-"&amp;COUNTIF($R$19:$R189,$R189),NA()),NA())</f>
        <v>#N/A</v>
      </c>
      <c r="U189" s="5" t="e">
        <f>IFERROR(IF($S189&gt;0,$S189&amp;"-"&amp;COUNTIF($S$19:$S189,$S189),NA()),NA())</f>
        <v>#N/A</v>
      </c>
      <c r="V189" s="10">
        <v>44028</v>
      </c>
      <c r="W189" s="101">
        <v>20009448.707813922</v>
      </c>
      <c r="X189" s="101">
        <v>24277464.117190633</v>
      </c>
      <c r="Y189" s="102">
        <v>3000000</v>
      </c>
      <c r="JE189" s="12" t="str">
        <f t="shared" si="303"/>
        <v>Since FY21</v>
      </c>
      <c r="JF189" s="12">
        <f t="shared" si="303"/>
        <v>44868</v>
      </c>
      <c r="JG189" s="109">
        <f t="shared" si="307"/>
        <v>27.003392885375497</v>
      </c>
      <c r="JH189" s="109">
        <f t="shared" si="307"/>
        <v>8</v>
      </c>
      <c r="JI189" s="109"/>
      <c r="JJ189" s="40"/>
      <c r="JN189" s="12" t="e">
        <f t="shared" si="308"/>
        <v>#N/A</v>
      </c>
      <c r="JO189" s="12" t="e">
        <f t="shared" si="308"/>
        <v>#N/A</v>
      </c>
      <c r="JP189" s="109" t="e">
        <f t="shared" si="309"/>
        <v>#N/A</v>
      </c>
      <c r="JQ189" s="109" t="e">
        <f t="shared" si="309"/>
        <v>#N/A</v>
      </c>
      <c r="JR189" s="109">
        <f t="shared" si="310"/>
        <v>183.08447309212528</v>
      </c>
      <c r="JS189" s="109">
        <f t="shared" si="310"/>
        <v>100</v>
      </c>
      <c r="JT189" s="40" t="e">
        <f>NA()</f>
        <v>#N/A</v>
      </c>
      <c r="JU189" s="40" t="e">
        <f>NA()</f>
        <v>#N/A</v>
      </c>
    </row>
    <row r="190" spans="13:281" x14ac:dyDescent="0.25">
      <c r="M190" s="5" t="str" cm="1">
        <f t="array" ref="M190">LOOKUP(2,1/($G$19:$G$35&lt;=$V190)/($H$19:$H$35&gt;=$V190),$F$19:$F$35)</f>
        <v>1H21</v>
      </c>
      <c r="N190" s="5" t="str" cm="1">
        <f t="array" ref="N190">LOOKUP(2,1/($G$8:$G$16&lt;=$V190)/($H$8:$H$16&gt;=$V190),$F$8:$F$16)</f>
        <v>FY21</v>
      </c>
      <c r="O190" s="5" t="str">
        <f>IFERROR(N190&amp;"-"&amp;COUNTIF($N$19:N190,N190),NA())</f>
        <v>FY21-4</v>
      </c>
      <c r="P190" s="5">
        <f>COUNTIF(V$19:V190,"&gt;="&amp;MAX($V:$V)-183)</f>
        <v>0</v>
      </c>
      <c r="Q190" s="5">
        <f>COUNTIF(V$19:V190,"&gt;="&amp;MAX($V:$V)-365)</f>
        <v>0</v>
      </c>
      <c r="R190" s="5" cm="1">
        <f t="array" ref="R190">LOOKUP(2,1/($G$46:$G$50&lt;=$V190)/($H$46:$H$50&gt;=$V190),$F$46:$F$50)</f>
        <v>0</v>
      </c>
      <c r="S190" s="5" cm="1">
        <f t="array" ref="S190">LOOKUP(2,1/($G$53:$G$56&lt;=$V190)/($H$53:$H$56&gt;=$V190),$F$53:$F$56)</f>
        <v>0</v>
      </c>
      <c r="T190" s="5" t="e">
        <f>IFERROR(IF($R190&gt;0,$R190&amp;"-"&amp;COUNTIF($R$19:$R190,$R190),NA()),NA())</f>
        <v>#N/A</v>
      </c>
      <c r="U190" s="5" t="e">
        <f>IFERROR(IF($S190&gt;0,$S190&amp;"-"&amp;COUNTIF($S$19:$S190,$S190),NA()),NA())</f>
        <v>#N/A</v>
      </c>
      <c r="V190" s="10">
        <v>44035</v>
      </c>
      <c r="W190" s="101">
        <v>25611906.840985101</v>
      </c>
      <c r="X190" s="101">
        <v>31074926.570167225</v>
      </c>
      <c r="Y190" s="102">
        <v>8000000</v>
      </c>
      <c r="JE190" s="12" t="str">
        <f t="shared" si="303"/>
        <v>Since FY21</v>
      </c>
      <c r="JF190" s="12">
        <f t="shared" si="303"/>
        <v>44875</v>
      </c>
      <c r="JG190" s="109">
        <f t="shared" si="307"/>
        <v>44.321005290361803</v>
      </c>
      <c r="JH190" s="109">
        <f t="shared" si="307"/>
        <v>20</v>
      </c>
      <c r="JI190" s="109"/>
      <c r="JJ190" s="40"/>
      <c r="JN190" s="12" t="e">
        <f t="shared" si="308"/>
        <v>#N/A</v>
      </c>
      <c r="JO190" s="12" t="e">
        <f t="shared" si="308"/>
        <v>#N/A</v>
      </c>
      <c r="JP190" s="109" t="e">
        <f t="shared" si="309"/>
        <v>#N/A</v>
      </c>
      <c r="JQ190" s="109" t="e">
        <f t="shared" si="309"/>
        <v>#N/A</v>
      </c>
      <c r="JR190" s="109">
        <f t="shared" si="310"/>
        <v>284.83741380358765</v>
      </c>
      <c r="JS190" s="109">
        <f t="shared" si="310"/>
        <v>160</v>
      </c>
      <c r="JT190" s="40" t="e">
        <f>NA()</f>
        <v>#N/A</v>
      </c>
      <c r="JU190" s="40" t="e">
        <f>NA()</f>
        <v>#N/A</v>
      </c>
    </row>
    <row r="191" spans="13:281" x14ac:dyDescent="0.25">
      <c r="M191" s="5" t="str" cm="1">
        <f t="array" ref="M191">LOOKUP(2,1/($G$19:$G$35&lt;=$V191)/($H$19:$H$35&gt;=$V191),$F$19:$F$35)</f>
        <v>1H21</v>
      </c>
      <c r="N191" s="5" t="str" cm="1">
        <f t="array" ref="N191">LOOKUP(2,1/($G$8:$G$16&lt;=$V191)/($H$8:$H$16&gt;=$V191),$F$8:$F$16)</f>
        <v>FY21</v>
      </c>
      <c r="O191" s="5" t="str">
        <f>IFERROR(N191&amp;"-"&amp;COUNTIF($N$19:N191,N191),NA())</f>
        <v>FY21-5</v>
      </c>
      <c r="P191" s="5">
        <f>COUNTIF(V$19:V191,"&gt;="&amp;MAX($V:$V)-183)</f>
        <v>0</v>
      </c>
      <c r="Q191" s="5">
        <f>COUNTIF(V$19:V191,"&gt;="&amp;MAX($V:$V)-365)</f>
        <v>0</v>
      </c>
      <c r="R191" s="5" cm="1">
        <f t="array" ref="R191">LOOKUP(2,1/($G$46:$G$50&lt;=$V191)/($H$46:$H$50&gt;=$V191),$F$46:$F$50)</f>
        <v>0</v>
      </c>
      <c r="S191" s="5" cm="1">
        <f t="array" ref="S191">LOOKUP(2,1/($G$53:$G$56&lt;=$V191)/($H$53:$H$56&gt;=$V191),$F$53:$F$56)</f>
        <v>0</v>
      </c>
      <c r="T191" s="5" t="e">
        <f>IFERROR(IF($R191&gt;0,$R191&amp;"-"&amp;COUNTIF($R$19:$R191,$R191),NA()),NA())</f>
        <v>#N/A</v>
      </c>
      <c r="U191" s="5" t="e">
        <f>IFERROR(IF($S191&gt;0,$S191&amp;"-"&amp;COUNTIF($S$19:$S191,$S191),NA()),NA())</f>
        <v>#N/A</v>
      </c>
      <c r="V191" s="10">
        <v>44042</v>
      </c>
      <c r="W191" s="101">
        <v>44346019.337184548</v>
      </c>
      <c r="X191" s="101">
        <v>53805025.261806011</v>
      </c>
      <c r="Y191" s="102">
        <v>20000000</v>
      </c>
      <c r="JE191" s="12" t="str">
        <f t="shared" si="303"/>
        <v>Since FY21</v>
      </c>
      <c r="JF191" s="12">
        <f t="shared" si="303"/>
        <v>44882</v>
      </c>
      <c r="JG191" s="109">
        <f t="shared" si="307"/>
        <v>51.026175372453629</v>
      </c>
      <c r="JH191" s="109">
        <f t="shared" si="307"/>
        <v>30</v>
      </c>
      <c r="JI191" s="109"/>
      <c r="JJ191" s="40"/>
      <c r="JN191" s="12" t="str">
        <f t="shared" si="308"/>
        <v>Since FY21</v>
      </c>
      <c r="JO191" s="12">
        <f t="shared" si="308"/>
        <v>44868</v>
      </c>
      <c r="JP191" s="109">
        <f t="shared" si="309"/>
        <v>27.003392885375497</v>
      </c>
      <c r="JQ191" s="109">
        <f t="shared" si="309"/>
        <v>8</v>
      </c>
      <c r="JR191" s="109" t="e">
        <f t="shared" si="310"/>
        <v>#N/A</v>
      </c>
      <c r="JS191" s="109" t="e">
        <f t="shared" si="310"/>
        <v>#N/A</v>
      </c>
      <c r="JT191" s="40" t="e">
        <f>NA()</f>
        <v>#N/A</v>
      </c>
      <c r="JU191" s="40" t="e">
        <f>NA()</f>
        <v>#N/A</v>
      </c>
    </row>
    <row r="192" spans="13:281" x14ac:dyDescent="0.25">
      <c r="M192" s="5" t="str" cm="1">
        <f t="array" ref="M192">LOOKUP(2,1/($G$19:$G$35&lt;=$V192)/($H$19:$H$35&gt;=$V192),$F$19:$F$35)</f>
        <v>1H21</v>
      </c>
      <c r="N192" s="5" t="str" cm="1">
        <f t="array" ref="N192">LOOKUP(2,1/($G$8:$G$16&lt;=$V192)/($H$8:$H$16&gt;=$V192),$F$8:$F$16)</f>
        <v>FY21</v>
      </c>
      <c r="O192" s="5" t="str">
        <f>IFERROR(N192&amp;"-"&amp;COUNTIF($N$19:N192,N192),NA())</f>
        <v>FY21-6</v>
      </c>
      <c r="P192" s="5">
        <f>COUNTIF(V$19:V192,"&gt;="&amp;MAX($V:$V)-183)</f>
        <v>0</v>
      </c>
      <c r="Q192" s="5">
        <f>COUNTIF(V$19:V192,"&gt;="&amp;MAX($V:$V)-365)</f>
        <v>0</v>
      </c>
      <c r="R192" s="5" cm="1">
        <f t="array" ref="R192">LOOKUP(2,1/($G$46:$G$50&lt;=$V192)/($H$46:$H$50&gt;=$V192),$F$46:$F$50)</f>
        <v>0</v>
      </c>
      <c r="S192" s="5" cm="1">
        <f t="array" ref="S192">LOOKUP(2,1/($G$53:$G$56&lt;=$V192)/($H$53:$H$56&gt;=$V192),$F$53:$F$56)</f>
        <v>0</v>
      </c>
      <c r="T192" s="5" t="e">
        <f>IFERROR(IF($R192&gt;0,$R192&amp;"-"&amp;COUNTIF($R$19:$R192,$R192),NA()),NA())</f>
        <v>#N/A</v>
      </c>
      <c r="U192" s="5" t="e">
        <f>IFERROR(IF($S192&gt;0,$S192&amp;"-"&amp;COUNTIF($S$19:$S192,$S192),NA()),NA())</f>
        <v>#N/A</v>
      </c>
      <c r="V192" s="10">
        <v>44049</v>
      </c>
      <c r="W192" s="101">
        <v>19730848.28215263</v>
      </c>
      <c r="X192" s="101">
        <v>23939438.220735788</v>
      </c>
      <c r="Y192" s="102">
        <v>3000000</v>
      </c>
      <c r="JE192" s="12" t="str">
        <f t="shared" si="303"/>
        <v>Since FY21</v>
      </c>
      <c r="JF192" s="12">
        <f t="shared" si="303"/>
        <v>44889</v>
      </c>
      <c r="JG192" s="109">
        <f t="shared" si="307"/>
        <v>71.266594101550623</v>
      </c>
      <c r="JH192" s="109">
        <f t="shared" si="307"/>
        <v>50</v>
      </c>
      <c r="JI192" s="109"/>
      <c r="JJ192" s="40"/>
      <c r="JN192" s="12" t="str">
        <f t="shared" si="308"/>
        <v>Since FY21</v>
      </c>
      <c r="JO192" s="12">
        <f t="shared" si="308"/>
        <v>44875</v>
      </c>
      <c r="JP192" s="109">
        <f t="shared" si="309"/>
        <v>44.321005290361803</v>
      </c>
      <c r="JQ192" s="109">
        <f t="shared" si="309"/>
        <v>20</v>
      </c>
      <c r="JR192" s="109" t="e">
        <f t="shared" si="310"/>
        <v>#N/A</v>
      </c>
      <c r="JS192" s="109" t="e">
        <f t="shared" si="310"/>
        <v>#N/A</v>
      </c>
      <c r="JT192" s="40" t="e">
        <f>NA()</f>
        <v>#N/A</v>
      </c>
      <c r="JU192" s="40" t="e">
        <f>NA()</f>
        <v>#N/A</v>
      </c>
    </row>
    <row r="193" spans="13:281" x14ac:dyDescent="0.25">
      <c r="M193" s="5" t="str" cm="1">
        <f t="array" ref="M193">LOOKUP(2,1/($G$19:$G$35&lt;=$V193)/($H$19:$H$35&gt;=$V193),$F$19:$F$35)</f>
        <v>1H21</v>
      </c>
      <c r="N193" s="5" t="str" cm="1">
        <f t="array" ref="N193">LOOKUP(2,1/($G$8:$G$16&lt;=$V193)/($H$8:$H$16&gt;=$V193),$F$8:$F$16)</f>
        <v>FY21</v>
      </c>
      <c r="O193" s="5" t="str">
        <f>IFERROR(N193&amp;"-"&amp;COUNTIF($N$19:N193,N193),NA())</f>
        <v>FY21-7</v>
      </c>
      <c r="P193" s="5">
        <f>COUNTIF(V$19:V193,"&gt;="&amp;MAX($V:$V)-183)</f>
        <v>0</v>
      </c>
      <c r="Q193" s="5">
        <f>COUNTIF(V$19:V193,"&gt;="&amp;MAX($V:$V)-365)</f>
        <v>0</v>
      </c>
      <c r="R193" s="5" cm="1">
        <f t="array" ref="R193">LOOKUP(2,1/($G$46:$G$50&lt;=$V193)/($H$46:$H$50&gt;=$V193),$F$46:$F$50)</f>
        <v>0</v>
      </c>
      <c r="S193" s="5" cm="1">
        <f t="array" ref="S193">LOOKUP(2,1/($G$53:$G$56&lt;=$V193)/($H$53:$H$56&gt;=$V193),$F$53:$F$56)</f>
        <v>0</v>
      </c>
      <c r="T193" s="5" t="e">
        <f>IFERROR(IF($R193&gt;0,$R193&amp;"-"&amp;COUNTIF($R$19:$R193,$R193),NA()),NA())</f>
        <v>#N/A</v>
      </c>
      <c r="U193" s="5" t="e">
        <f>IFERROR(IF($S193&gt;0,$S193&amp;"-"&amp;COUNTIF($S$19:$S193,$S193),NA()),NA())</f>
        <v>#N/A</v>
      </c>
      <c r="V193" s="10">
        <v>44056</v>
      </c>
      <c r="W193" s="101">
        <v>26811783.764062021</v>
      </c>
      <c r="X193" s="101">
        <v>32530737.240936451</v>
      </c>
      <c r="Y193" s="102">
        <v>8000000</v>
      </c>
      <c r="JE193" s="12" t="str">
        <f t="shared" si="303"/>
        <v>Since FY21</v>
      </c>
      <c r="JF193" s="12">
        <f t="shared" si="303"/>
        <v>44896</v>
      </c>
      <c r="JG193" s="109">
        <f t="shared" si="307"/>
        <v>25.213057950744904</v>
      </c>
      <c r="JH193" s="109">
        <f t="shared" si="307"/>
        <v>8</v>
      </c>
      <c r="JI193" s="109"/>
      <c r="JJ193" s="40"/>
      <c r="JN193" s="12" t="str">
        <f t="shared" si="308"/>
        <v>Since FY21</v>
      </c>
      <c r="JO193" s="12">
        <f t="shared" si="308"/>
        <v>44882</v>
      </c>
      <c r="JP193" s="109">
        <f t="shared" si="309"/>
        <v>51.026175372453629</v>
      </c>
      <c r="JQ193" s="109">
        <f t="shared" si="309"/>
        <v>30</v>
      </c>
      <c r="JR193" s="109" t="e">
        <f t="shared" si="310"/>
        <v>#N/A</v>
      </c>
      <c r="JS193" s="109" t="e">
        <f t="shared" si="310"/>
        <v>#N/A</v>
      </c>
      <c r="JT193" s="40" t="e">
        <f>NA()</f>
        <v>#N/A</v>
      </c>
      <c r="JU193" s="40" t="e">
        <f>NA()</f>
        <v>#N/A</v>
      </c>
    </row>
    <row r="194" spans="13:281" x14ac:dyDescent="0.25">
      <c r="M194" s="5" t="str" cm="1">
        <f t="array" ref="M194">LOOKUP(2,1/($G$19:$G$35&lt;=$V194)/($H$19:$H$35&gt;=$V194),$F$19:$F$35)</f>
        <v>1H21</v>
      </c>
      <c r="N194" s="5" t="str" cm="1">
        <f t="array" ref="N194">LOOKUP(2,1/($G$8:$G$16&lt;=$V194)/($H$8:$H$16&gt;=$V194),$F$8:$F$16)</f>
        <v>FY21</v>
      </c>
      <c r="O194" s="5" t="str">
        <f>IFERROR(N194&amp;"-"&amp;COUNTIF($N$19:N194,N194),NA())</f>
        <v>FY21-8</v>
      </c>
      <c r="P194" s="5">
        <f>COUNTIF(V$19:V194,"&gt;="&amp;MAX($V:$V)-183)</f>
        <v>0</v>
      </c>
      <c r="Q194" s="5">
        <f>COUNTIF(V$19:V194,"&gt;="&amp;MAX($V:$V)-365)</f>
        <v>0</v>
      </c>
      <c r="R194" s="5" cm="1">
        <f t="array" ref="R194">LOOKUP(2,1/($G$46:$G$50&lt;=$V194)/($H$46:$H$50&gt;=$V194),$F$46:$F$50)</f>
        <v>0</v>
      </c>
      <c r="S194" s="5" cm="1">
        <f t="array" ref="S194">LOOKUP(2,1/($G$53:$G$56&lt;=$V194)/($H$53:$H$56&gt;=$V194),$F$53:$F$56)</f>
        <v>0</v>
      </c>
      <c r="T194" s="5" t="e">
        <f>IFERROR(IF($R194&gt;0,$R194&amp;"-"&amp;COUNTIF($R$19:$R194,$R194),NA()),NA())</f>
        <v>#N/A</v>
      </c>
      <c r="U194" s="5" t="e">
        <f>IFERROR(IF($S194&gt;0,$S194&amp;"-"&amp;COUNTIF($S$19:$S194,$S194),NA()),NA())</f>
        <v>#N/A</v>
      </c>
      <c r="V194" s="10">
        <v>44063</v>
      </c>
      <c r="W194" s="101">
        <v>18946345.758589238</v>
      </c>
      <c r="X194" s="101">
        <v>22987601.308896322</v>
      </c>
      <c r="Y194" s="102">
        <v>3000000</v>
      </c>
      <c r="JE194" s="12" t="str">
        <f t="shared" si="303"/>
        <v>Since FY21</v>
      </c>
      <c r="JF194" s="12">
        <f t="shared" si="303"/>
        <v>44903</v>
      </c>
      <c r="JG194" s="109">
        <f t="shared" si="307"/>
        <v>38.341626147765275</v>
      </c>
      <c r="JH194" s="109">
        <f t="shared" si="307"/>
        <v>20</v>
      </c>
      <c r="JI194" s="109"/>
      <c r="JJ194" s="40"/>
      <c r="JN194" s="12" t="str">
        <f t="shared" si="308"/>
        <v>Since FY21</v>
      </c>
      <c r="JO194" s="12">
        <f t="shared" si="308"/>
        <v>44889</v>
      </c>
      <c r="JP194" s="109">
        <f t="shared" si="309"/>
        <v>71.266594101550623</v>
      </c>
      <c r="JQ194" s="109">
        <f t="shared" si="309"/>
        <v>50</v>
      </c>
      <c r="JR194" s="109" t="e">
        <f t="shared" si="310"/>
        <v>#N/A</v>
      </c>
      <c r="JS194" s="109" t="e">
        <f t="shared" si="310"/>
        <v>#N/A</v>
      </c>
      <c r="JT194" s="40" t="e">
        <f>NA()</f>
        <v>#N/A</v>
      </c>
      <c r="JU194" s="40" t="e">
        <f>NA()</f>
        <v>#N/A</v>
      </c>
    </row>
    <row r="195" spans="13:281" x14ac:dyDescent="0.25">
      <c r="M195" s="5" t="str" cm="1">
        <f t="array" ref="M195">LOOKUP(2,1/($G$19:$G$35&lt;=$V195)/($H$19:$H$35&gt;=$V195),$F$19:$F$35)</f>
        <v>1H21</v>
      </c>
      <c r="N195" s="5" t="str" cm="1">
        <f t="array" ref="N195">LOOKUP(2,1/($G$8:$G$16&lt;=$V195)/($H$8:$H$16&gt;=$V195),$F$8:$F$16)</f>
        <v>FY21</v>
      </c>
      <c r="O195" s="5" t="str">
        <f>IFERROR(N195&amp;"-"&amp;COUNTIF($N$19:N195,N195),NA())</f>
        <v>FY21-9</v>
      </c>
      <c r="P195" s="5">
        <f>COUNTIF(V$19:V195,"&gt;="&amp;MAX($V:$V)-183)</f>
        <v>0</v>
      </c>
      <c r="Q195" s="5">
        <f>COUNTIF(V$19:V195,"&gt;="&amp;MAX($V:$V)-365)</f>
        <v>0</v>
      </c>
      <c r="R195" s="5" cm="1">
        <f t="array" ref="R195">LOOKUP(2,1/($G$46:$G$50&lt;=$V195)/($H$46:$H$50&gt;=$V195),$F$46:$F$50)</f>
        <v>0</v>
      </c>
      <c r="S195" s="5" cm="1">
        <f t="array" ref="S195">LOOKUP(2,1/($G$53:$G$56&lt;=$V195)/($H$53:$H$56&gt;=$V195),$F$53:$F$56)</f>
        <v>0</v>
      </c>
      <c r="T195" s="5" t="e">
        <f>IFERROR(IF($R195&gt;0,$R195&amp;"-"&amp;COUNTIF($R$19:$R195,$R195),NA()),NA())</f>
        <v>#N/A</v>
      </c>
      <c r="U195" s="5" t="e">
        <f>IFERROR(IF($S195&gt;0,$S195&amp;"-"&amp;COUNTIF($S$19:$S195,$S195),NA()),NA())</f>
        <v>#N/A</v>
      </c>
      <c r="V195" s="10">
        <v>44070</v>
      </c>
      <c r="W195" s="101">
        <v>26767640.01216175</v>
      </c>
      <c r="X195" s="101">
        <v>32477177.626755852</v>
      </c>
      <c r="Y195" s="102">
        <v>8000000</v>
      </c>
      <c r="JE195" s="12" t="str">
        <f t="shared" si="303"/>
        <v>Since FY21</v>
      </c>
      <c r="JF195" s="12">
        <f t="shared" si="303"/>
        <v>44910</v>
      </c>
      <c r="JG195" s="109">
        <f t="shared" si="307"/>
        <v>50.094358163575549</v>
      </c>
      <c r="JH195" s="109">
        <f t="shared" si="307"/>
        <v>30</v>
      </c>
      <c r="JI195" s="109"/>
      <c r="JJ195" s="40"/>
      <c r="JN195" s="12" t="str">
        <f t="shared" si="308"/>
        <v>Since FY21</v>
      </c>
      <c r="JO195" s="12">
        <f t="shared" si="308"/>
        <v>44896</v>
      </c>
      <c r="JP195" s="109">
        <f t="shared" si="309"/>
        <v>25.213057950744904</v>
      </c>
      <c r="JQ195" s="109">
        <f t="shared" si="309"/>
        <v>8</v>
      </c>
      <c r="JR195" s="109" t="e">
        <f t="shared" si="310"/>
        <v>#N/A</v>
      </c>
      <c r="JS195" s="109" t="e">
        <f t="shared" si="310"/>
        <v>#N/A</v>
      </c>
      <c r="JT195" s="40" t="e">
        <f>NA()</f>
        <v>#N/A</v>
      </c>
      <c r="JU195" s="40" t="e">
        <f>NA()</f>
        <v>#N/A</v>
      </c>
    </row>
    <row r="196" spans="13:281" x14ac:dyDescent="0.25">
      <c r="M196" s="5" t="str" cm="1">
        <f t="array" ref="M196">LOOKUP(2,1/($G$19:$G$35&lt;=$V196)/($H$19:$H$35&gt;=$V196),$F$19:$F$35)</f>
        <v>1H21</v>
      </c>
      <c r="N196" s="5" t="str" cm="1">
        <f t="array" ref="N196">LOOKUP(2,1/($G$8:$G$16&lt;=$V196)/($H$8:$H$16&gt;=$V196),$F$8:$F$16)</f>
        <v>FY21</v>
      </c>
      <c r="O196" s="5" t="str">
        <f>IFERROR(N196&amp;"-"&amp;COUNTIF($N$19:N196,N196),NA())</f>
        <v>FY21-10</v>
      </c>
      <c r="P196" s="5">
        <f>COUNTIF(V$19:V196,"&gt;="&amp;MAX($V:$V)-183)</f>
        <v>0</v>
      </c>
      <c r="Q196" s="5">
        <f>COUNTIF(V$19:V196,"&gt;="&amp;MAX($V:$V)-365)</f>
        <v>0</v>
      </c>
      <c r="R196" s="5" cm="1">
        <f t="array" ref="R196">LOOKUP(2,1/($G$46:$G$50&lt;=$V196)/($H$46:$H$50&gt;=$V196),$F$46:$F$50)</f>
        <v>0</v>
      </c>
      <c r="S196" s="5" cm="1">
        <f t="array" ref="S196">LOOKUP(2,1/($G$53:$G$56&lt;=$V196)/($H$53:$H$56&gt;=$V196),$F$53:$F$56)</f>
        <v>0</v>
      </c>
      <c r="T196" s="5" t="e">
        <f>IFERROR(IF($R196&gt;0,$R196&amp;"-"&amp;COUNTIF($R$19:$R196,$R196),NA()),NA())</f>
        <v>#N/A</v>
      </c>
      <c r="U196" s="5" t="e">
        <f>IFERROR(IF($S196&gt;0,$S196&amp;"-"&amp;COUNTIF($S$19:$S196,$S196),NA()),NA())</f>
        <v>#N/A</v>
      </c>
      <c r="V196" s="10">
        <v>44077</v>
      </c>
      <c r="W196" s="101">
        <v>40517600.243235022</v>
      </c>
      <c r="X196" s="101">
        <v>49160004.375117056</v>
      </c>
      <c r="Y196" s="102">
        <v>20000000</v>
      </c>
      <c r="JE196" s="12" t="str">
        <f t="shared" si="303"/>
        <v>Since FY21</v>
      </c>
      <c r="JF196" s="12">
        <f t="shared" si="303"/>
        <v>44917</v>
      </c>
      <c r="JG196" s="109">
        <f t="shared" si="307"/>
        <v>75.733957798723026</v>
      </c>
      <c r="JH196" s="109">
        <f t="shared" si="307"/>
        <v>50</v>
      </c>
      <c r="JI196" s="109"/>
      <c r="JJ196" s="40"/>
      <c r="JN196" s="12" t="str">
        <f t="shared" si="308"/>
        <v>Since FY21</v>
      </c>
      <c r="JO196" s="12">
        <f t="shared" si="308"/>
        <v>44903</v>
      </c>
      <c r="JP196" s="109">
        <f t="shared" si="309"/>
        <v>38.341626147765275</v>
      </c>
      <c r="JQ196" s="109">
        <f t="shared" si="309"/>
        <v>20</v>
      </c>
      <c r="JR196" s="109" t="e">
        <f t="shared" si="310"/>
        <v>#N/A</v>
      </c>
      <c r="JS196" s="109" t="e">
        <f t="shared" si="310"/>
        <v>#N/A</v>
      </c>
      <c r="JT196" s="40" t="e">
        <f>NA()</f>
        <v>#N/A</v>
      </c>
      <c r="JU196" s="40" t="e">
        <f>NA()</f>
        <v>#N/A</v>
      </c>
    </row>
    <row r="197" spans="13:281" x14ac:dyDescent="0.25">
      <c r="M197" s="5" t="str" cm="1">
        <f t="array" ref="M197">LOOKUP(2,1/($G$19:$G$35&lt;=$V197)/($H$19:$H$35&gt;=$V197),$F$19:$F$35)</f>
        <v>1H21</v>
      </c>
      <c r="N197" s="5" t="str" cm="1">
        <f t="array" ref="N197">LOOKUP(2,1/($G$8:$G$16&lt;=$V197)/($H$8:$H$16&gt;=$V197),$F$8:$F$16)</f>
        <v>FY21</v>
      </c>
      <c r="O197" s="5" t="str">
        <f>IFERROR(N197&amp;"-"&amp;COUNTIF($N$19:N197,N197),NA())</f>
        <v>FY21-11</v>
      </c>
      <c r="P197" s="5">
        <f>COUNTIF(V$19:V197,"&gt;="&amp;MAX($V:$V)-183)</f>
        <v>0</v>
      </c>
      <c r="Q197" s="5">
        <f>COUNTIF(V$19:V197,"&gt;="&amp;MAX($V:$V)-365)</f>
        <v>0</v>
      </c>
      <c r="R197" s="5" cm="1">
        <f t="array" ref="R197">LOOKUP(2,1/($G$46:$G$50&lt;=$V197)/($H$46:$H$50&gt;=$V197),$F$46:$F$50)</f>
        <v>0</v>
      </c>
      <c r="S197" s="5" cm="1">
        <f t="array" ref="S197">LOOKUP(2,1/($G$53:$G$56&lt;=$V197)/($H$53:$H$56&gt;=$V197),$F$53:$F$56)</f>
        <v>0</v>
      </c>
      <c r="T197" s="5" t="e">
        <f>IFERROR(IF($R197&gt;0,$R197&amp;"-"&amp;COUNTIF($R$19:$R197,$R197),NA()),NA())</f>
        <v>#N/A</v>
      </c>
      <c r="U197" s="5" t="e">
        <f>IFERROR(IF($S197&gt;0,$S197&amp;"-"&amp;COUNTIF($S$19:$S197,$S197),NA()),NA())</f>
        <v>#N/A</v>
      </c>
      <c r="V197" s="10">
        <v>44084</v>
      </c>
      <c r="W197" s="101">
        <v>59511774.76436606</v>
      </c>
      <c r="X197" s="101">
        <v>72205636.32160534</v>
      </c>
      <c r="Y197" s="102">
        <v>40000000</v>
      </c>
      <c r="JE197" s="12" t="str">
        <f t="shared" si="303"/>
        <v>Since FY21</v>
      </c>
      <c r="JF197" s="12">
        <f t="shared" si="303"/>
        <v>44924</v>
      </c>
      <c r="JG197" s="109">
        <f t="shared" si="307"/>
        <v>137.55484439039225</v>
      </c>
      <c r="JH197" s="109">
        <f t="shared" si="307"/>
        <v>100</v>
      </c>
      <c r="JI197" s="109"/>
      <c r="JJ197" s="40"/>
      <c r="JN197" s="12" t="str">
        <f t="shared" ref="JN197:JO212" si="311">IF(OR(ISBLANK(IW133),$IZ133&gt;=$JO$66),NA(),IW133)</f>
        <v>Since FY21</v>
      </c>
      <c r="JO197" s="12">
        <f t="shared" si="311"/>
        <v>44910</v>
      </c>
      <c r="JP197" s="109">
        <f t="shared" ref="JP197:JQ212" si="312">IF(OR(ISBLANK(IY133),$IZ133&gt;=$JO$66),NA(),IY133)/1000000</f>
        <v>50.094358163575549</v>
      </c>
      <c r="JQ197" s="109">
        <f t="shared" si="312"/>
        <v>30</v>
      </c>
      <c r="JR197" s="109" t="e">
        <f t="shared" ref="JR197:JS212" si="313">IF(OR(ISBLANK(IY133),$IZ133&lt;$JR$66),NA(),IY133)/1000000</f>
        <v>#N/A</v>
      </c>
      <c r="JS197" s="109" t="e">
        <f t="shared" si="313"/>
        <v>#N/A</v>
      </c>
      <c r="JT197" s="40" t="e">
        <f>NA()</f>
        <v>#N/A</v>
      </c>
      <c r="JU197" s="40" t="e">
        <f>NA()</f>
        <v>#N/A</v>
      </c>
    </row>
    <row r="198" spans="13:281" x14ac:dyDescent="0.25">
      <c r="M198" s="5" t="str" cm="1">
        <f t="array" ref="M198">LOOKUP(2,1/($G$19:$G$35&lt;=$V198)/($H$19:$H$35&gt;=$V198),$F$19:$F$35)</f>
        <v>1H21</v>
      </c>
      <c r="N198" s="5" t="str" cm="1">
        <f t="array" ref="N198">LOOKUP(2,1/($G$8:$G$16&lt;=$V198)/($H$8:$H$16&gt;=$V198),$F$8:$F$16)</f>
        <v>FY21</v>
      </c>
      <c r="O198" s="5" t="str">
        <f>IFERROR(N198&amp;"-"&amp;COUNTIF($N$19:N198,N198),NA())</f>
        <v>FY21-12</v>
      </c>
      <c r="P198" s="5">
        <f>COUNTIF(V$19:V198,"&gt;="&amp;MAX($V:$V)-183)</f>
        <v>0</v>
      </c>
      <c r="Q198" s="5">
        <f>COUNTIF(V$19:V198,"&gt;="&amp;MAX($V:$V)-365)</f>
        <v>0</v>
      </c>
      <c r="R198" s="5" cm="1">
        <f t="array" ref="R198">LOOKUP(2,1/($G$46:$G$50&lt;=$V198)/($H$46:$H$50&gt;=$V198),$F$46:$F$50)</f>
        <v>0</v>
      </c>
      <c r="S198" s="5" cm="1">
        <f t="array" ref="S198">LOOKUP(2,1/($G$53:$G$56&lt;=$V198)/($H$53:$H$56&gt;=$V198),$F$53:$F$56)</f>
        <v>0</v>
      </c>
      <c r="T198" s="5" t="e">
        <f>IFERROR(IF($R198&gt;0,$R198&amp;"-"&amp;COUNTIF($R$19:$R198,$R198),NA()),NA())</f>
        <v>#N/A</v>
      </c>
      <c r="U198" s="5" t="e">
        <f>IFERROR(IF($S198&gt;0,$S198&amp;"-"&amp;COUNTIF($S$19:$S198,$S198),NA()),NA())</f>
        <v>#N/A</v>
      </c>
      <c r="V198" s="10">
        <v>44091</v>
      </c>
      <c r="W198" s="101">
        <v>82205458.680449992</v>
      </c>
      <c r="X198" s="101">
        <v>99739883.016989976</v>
      </c>
      <c r="Y198" s="102">
        <v>60000000</v>
      </c>
      <c r="JE198" s="12" t="str">
        <f t="shared" si="303"/>
        <v>Since FY21</v>
      </c>
      <c r="JF198" s="12">
        <f t="shared" si="303"/>
        <v>44931</v>
      </c>
      <c r="JG198" s="109">
        <f t="shared" si="307"/>
        <v>20.659761872909698</v>
      </c>
      <c r="JH198" s="109">
        <f t="shared" si="307"/>
        <v>4</v>
      </c>
      <c r="JI198" s="109"/>
      <c r="JJ198" s="40"/>
      <c r="JN198" s="12" t="str">
        <f t="shared" si="311"/>
        <v>Since FY21</v>
      </c>
      <c r="JO198" s="12">
        <f t="shared" si="311"/>
        <v>44917</v>
      </c>
      <c r="JP198" s="109">
        <f t="shared" si="312"/>
        <v>75.733957798723026</v>
      </c>
      <c r="JQ198" s="109">
        <f t="shared" si="312"/>
        <v>50</v>
      </c>
      <c r="JR198" s="109" t="e">
        <f t="shared" si="313"/>
        <v>#N/A</v>
      </c>
      <c r="JS198" s="109" t="e">
        <f t="shared" si="313"/>
        <v>#N/A</v>
      </c>
      <c r="JT198" s="40" t="e">
        <f>NA()</f>
        <v>#N/A</v>
      </c>
      <c r="JU198" s="40" t="e">
        <f>NA()</f>
        <v>#N/A</v>
      </c>
    </row>
    <row r="199" spans="13:281" x14ac:dyDescent="0.25">
      <c r="M199" s="5" t="str" cm="1">
        <f t="array" ref="M199">LOOKUP(2,1/($G$19:$G$35&lt;=$V199)/($H$19:$H$35&gt;=$V199),$F$19:$F$35)</f>
        <v>1H21</v>
      </c>
      <c r="N199" s="5" t="str" cm="1">
        <f t="array" ref="N199">LOOKUP(2,1/($G$8:$G$16&lt;=$V199)/($H$8:$H$16&gt;=$V199),$F$8:$F$16)</f>
        <v>FY21</v>
      </c>
      <c r="O199" s="5" t="str">
        <f>IFERROR(N199&amp;"-"&amp;COUNTIF($N$19:N199,N199),NA())</f>
        <v>FY21-13</v>
      </c>
      <c r="P199" s="5">
        <f>COUNTIF(V$19:V199,"&gt;="&amp;MAX($V:$V)-183)</f>
        <v>0</v>
      </c>
      <c r="Q199" s="5">
        <f>COUNTIF(V$19:V199,"&gt;="&amp;MAX($V:$V)-365)</f>
        <v>0</v>
      </c>
      <c r="R199" s="5" cm="1">
        <f t="array" ref="R199">LOOKUP(2,1/($G$46:$G$50&lt;=$V199)/($H$46:$H$50&gt;=$V199),$F$46:$F$50)</f>
        <v>0</v>
      </c>
      <c r="S199" s="5" cm="1">
        <f t="array" ref="S199">LOOKUP(2,1/($G$53:$G$56&lt;=$V199)/($H$53:$H$56&gt;=$V199),$F$53:$F$56)</f>
        <v>0</v>
      </c>
      <c r="T199" s="5" t="e">
        <f>IFERROR(IF($R199&gt;0,$R199&amp;"-"&amp;COUNTIF($R$19:$R199,$R199),NA()),NA())</f>
        <v>#N/A</v>
      </c>
      <c r="U199" s="5" t="e">
        <f>IFERROR(IF($S199&gt;0,$S199&amp;"-"&amp;COUNTIF($S$19:$S199,$S199),NA()),NA())</f>
        <v>#N/A</v>
      </c>
      <c r="V199" s="10">
        <v>44098</v>
      </c>
      <c r="W199" s="101">
        <v>19672046.457889937</v>
      </c>
      <c r="X199" s="101">
        <v>23868093.967357863</v>
      </c>
      <c r="Y199" s="102">
        <v>3000000</v>
      </c>
      <c r="JE199" s="12" t="str">
        <f t="shared" si="303"/>
        <v>Since FY21</v>
      </c>
      <c r="JF199" s="12">
        <f t="shared" si="303"/>
        <v>44938</v>
      </c>
      <c r="JG199" s="109">
        <f t="shared" si="307"/>
        <v>22.177022316813623</v>
      </c>
      <c r="JH199" s="109">
        <f t="shared" si="307"/>
        <v>4</v>
      </c>
      <c r="JI199" s="109"/>
      <c r="JJ199" s="40"/>
      <c r="JN199" s="12" t="e">
        <f t="shared" si="311"/>
        <v>#N/A</v>
      </c>
      <c r="JO199" s="12" t="e">
        <f t="shared" si="311"/>
        <v>#N/A</v>
      </c>
      <c r="JP199" s="109" t="e">
        <f t="shared" si="312"/>
        <v>#N/A</v>
      </c>
      <c r="JQ199" s="109" t="e">
        <f t="shared" si="312"/>
        <v>#N/A</v>
      </c>
      <c r="JR199" s="109">
        <f t="shared" si="313"/>
        <v>137.55484439039225</v>
      </c>
      <c r="JS199" s="109">
        <f t="shared" si="313"/>
        <v>100</v>
      </c>
      <c r="JT199" s="40" t="e">
        <f>NA()</f>
        <v>#N/A</v>
      </c>
      <c r="JU199" s="40" t="e">
        <f>NA()</f>
        <v>#N/A</v>
      </c>
    </row>
    <row r="200" spans="13:281" x14ac:dyDescent="0.25">
      <c r="M200" s="5" t="str" cm="1">
        <f t="array" ref="M200">LOOKUP(2,1/($G$19:$G$35&lt;=$V200)/($H$19:$H$35&gt;=$V200),$F$19:$F$35)</f>
        <v>1H21</v>
      </c>
      <c r="N200" s="5" t="str" cm="1">
        <f t="array" ref="N200">LOOKUP(2,1/($G$8:$G$16&lt;=$V200)/($H$8:$H$16&gt;=$V200),$F$8:$F$16)</f>
        <v>FY21</v>
      </c>
      <c r="O200" s="5" t="str">
        <f>IFERROR(N200&amp;"-"&amp;COUNTIF($N$19:N200,N200),NA())</f>
        <v>FY21-14</v>
      </c>
      <c r="P200" s="5">
        <f>COUNTIF(V$19:V200,"&gt;="&amp;MAX($V:$V)-183)</f>
        <v>0</v>
      </c>
      <c r="Q200" s="5">
        <f>COUNTIF(V$19:V200,"&gt;="&amp;MAX($V:$V)-365)</f>
        <v>0</v>
      </c>
      <c r="R200" s="5" cm="1">
        <f t="array" ref="R200">LOOKUP(2,1/($G$46:$G$50&lt;=$V200)/($H$46:$H$50&gt;=$V200),$F$46:$F$50)</f>
        <v>0</v>
      </c>
      <c r="S200" s="5" cm="1">
        <f t="array" ref="S200">LOOKUP(2,1/($G$53:$G$56&lt;=$V200)/($H$53:$H$56&gt;=$V200),$F$53:$F$56)</f>
        <v>0</v>
      </c>
      <c r="T200" s="5" t="e">
        <f>IFERROR(IF($R200&gt;0,$R200&amp;"-"&amp;COUNTIF($R$19:$R200,$R200),NA()),NA())</f>
        <v>#N/A</v>
      </c>
      <c r="U200" s="5" t="e">
        <f>IFERROR(IF($S200&gt;0,$S200&amp;"-"&amp;COUNTIF($S$19:$S200,$S200),NA()),NA())</f>
        <v>#N/A</v>
      </c>
      <c r="V200" s="10">
        <v>44105</v>
      </c>
      <c r="W200" s="101">
        <v>27468281.909394953</v>
      </c>
      <c r="X200" s="101">
        <v>33327266.4406689</v>
      </c>
      <c r="Y200" s="102">
        <v>8000000</v>
      </c>
      <c r="JE200" s="12" t="str">
        <f t="shared" si="303"/>
        <v>Since FY21</v>
      </c>
      <c r="JF200" s="12">
        <f t="shared" si="303"/>
        <v>44945</v>
      </c>
      <c r="JG200" s="109">
        <f t="shared" si="307"/>
        <v>28.696273517786555</v>
      </c>
      <c r="JH200" s="109">
        <f t="shared" si="307"/>
        <v>8</v>
      </c>
      <c r="JI200" s="109"/>
      <c r="JJ200" s="40"/>
      <c r="JN200" s="12" t="str">
        <f t="shared" si="311"/>
        <v>Since FY21</v>
      </c>
      <c r="JO200" s="12">
        <f t="shared" si="311"/>
        <v>44931</v>
      </c>
      <c r="JP200" s="109">
        <f t="shared" si="312"/>
        <v>20.659761872909698</v>
      </c>
      <c r="JQ200" s="109">
        <f t="shared" si="312"/>
        <v>4</v>
      </c>
      <c r="JR200" s="109" t="e">
        <f t="shared" si="313"/>
        <v>#N/A</v>
      </c>
      <c r="JS200" s="109" t="e">
        <f t="shared" si="313"/>
        <v>#N/A</v>
      </c>
      <c r="JT200" s="40" t="e">
        <f>NA()</f>
        <v>#N/A</v>
      </c>
      <c r="JU200" s="40" t="e">
        <f>NA()</f>
        <v>#N/A</v>
      </c>
    </row>
    <row r="201" spans="13:281" x14ac:dyDescent="0.25">
      <c r="M201" s="5" t="str" cm="1">
        <f t="array" ref="M201">LOOKUP(2,1/($G$19:$G$35&lt;=$V201)/($H$19:$H$35&gt;=$V201),$F$19:$F$35)</f>
        <v>1H21</v>
      </c>
      <c r="N201" s="5" t="str" cm="1">
        <f t="array" ref="N201">LOOKUP(2,1/($G$8:$G$16&lt;=$V201)/($H$8:$H$16&gt;=$V201),$F$8:$F$16)</f>
        <v>FY21</v>
      </c>
      <c r="O201" s="5" t="str">
        <f>IFERROR(N201&amp;"-"&amp;COUNTIF($N$19:N201,N201),NA())</f>
        <v>FY21-15</v>
      </c>
      <c r="P201" s="5">
        <f>COUNTIF(V$19:V201,"&gt;="&amp;MAX($V:$V)-183)</f>
        <v>0</v>
      </c>
      <c r="Q201" s="5">
        <f>COUNTIF(V$19:V201,"&gt;="&amp;MAX($V:$V)-365)</f>
        <v>0</v>
      </c>
      <c r="R201" s="5" t="str" cm="1">
        <f t="array" ref="R201">LOOKUP(2,1/($G$46:$G$50&lt;=$V201)/($H$46:$H$50&gt;=$V201),$F$46:$F$50)</f>
        <v>N1</v>
      </c>
      <c r="S201" s="5" cm="1">
        <f t="array" ref="S201">LOOKUP(2,1/($G$53:$G$56&lt;=$V201)/($H$53:$H$56&gt;=$V201),$F$53:$F$56)</f>
        <v>0</v>
      </c>
      <c r="T201" s="5" t="str">
        <f>IFERROR(IF($R201&gt;0,$R201&amp;"-"&amp;COUNTIF($R$19:$R201,$R201),NA()),NA())</f>
        <v>N1-1</v>
      </c>
      <c r="U201" s="5" t="e">
        <f>IFERROR(IF($S201&gt;0,$S201&amp;"-"&amp;COUNTIF($S$19:$S201,$S201),NA()),NA())</f>
        <v>#N/A</v>
      </c>
      <c r="V201" s="10">
        <v>44112</v>
      </c>
      <c r="W201" s="101">
        <v>42908867.619337186</v>
      </c>
      <c r="X201" s="101">
        <v>52061329.082541808</v>
      </c>
      <c r="Y201" s="102">
        <v>20000000</v>
      </c>
      <c r="JE201" s="12" t="str">
        <f t="shared" si="303"/>
        <v>Since FY21</v>
      </c>
      <c r="JF201" s="12">
        <f t="shared" si="303"/>
        <v>44952</v>
      </c>
      <c r="JG201" s="109">
        <f t="shared" si="307"/>
        <v>41.97672252964427</v>
      </c>
      <c r="JH201" s="109">
        <f t="shared" si="307"/>
        <v>20</v>
      </c>
      <c r="JI201" s="109"/>
      <c r="JJ201" s="40"/>
      <c r="JN201" s="12" t="str">
        <f t="shared" si="311"/>
        <v>Since FY21</v>
      </c>
      <c r="JO201" s="12">
        <f t="shared" si="311"/>
        <v>44938</v>
      </c>
      <c r="JP201" s="109">
        <f t="shared" si="312"/>
        <v>22.177022316813623</v>
      </c>
      <c r="JQ201" s="109">
        <f t="shared" si="312"/>
        <v>4</v>
      </c>
      <c r="JR201" s="109" t="e">
        <f t="shared" si="313"/>
        <v>#N/A</v>
      </c>
      <c r="JS201" s="109" t="e">
        <f t="shared" si="313"/>
        <v>#N/A</v>
      </c>
      <c r="JT201" s="40" t="e">
        <f>NA()</f>
        <v>#N/A</v>
      </c>
      <c r="JU201" s="40" t="e">
        <f>NA()</f>
        <v>#N/A</v>
      </c>
    </row>
    <row r="202" spans="13:281" x14ac:dyDescent="0.25">
      <c r="M202" s="5" t="str" cm="1">
        <f t="array" ref="M202">LOOKUP(2,1/($G$19:$G$35&lt;=$V202)/($H$19:$H$35&gt;=$V202),$F$19:$F$35)</f>
        <v>1H21</v>
      </c>
      <c r="N202" s="5" t="str" cm="1">
        <f t="array" ref="N202">LOOKUP(2,1/($G$8:$G$16&lt;=$V202)/($H$8:$H$16&gt;=$V202),$F$8:$F$16)</f>
        <v>FY21</v>
      </c>
      <c r="O202" s="5" t="str">
        <f>IFERROR(N202&amp;"-"&amp;COUNTIF($N$19:N202,N202),NA())</f>
        <v>FY21-16</v>
      </c>
      <c r="P202" s="5">
        <f>COUNTIF(V$19:V202,"&gt;="&amp;MAX($V:$V)-183)</f>
        <v>0</v>
      </c>
      <c r="Q202" s="5">
        <f>COUNTIF(V$19:V202,"&gt;="&amp;MAX($V:$V)-365)</f>
        <v>0</v>
      </c>
      <c r="R202" s="5" t="str" cm="1">
        <f t="array" ref="R202">LOOKUP(2,1/($G$46:$G$50&lt;=$V202)/($H$46:$H$50&gt;=$V202),$F$46:$F$50)</f>
        <v>N1</v>
      </c>
      <c r="S202" s="5" cm="1">
        <f t="array" ref="S202">LOOKUP(2,1/($G$53:$G$56&lt;=$V202)/($H$53:$H$56&gt;=$V202),$F$53:$F$56)</f>
        <v>0</v>
      </c>
      <c r="T202" s="5" t="str">
        <f>IFERROR(IF($R202&gt;0,$R202&amp;"-"&amp;COUNTIF($R$19:$R202,$R202),NA()),NA())</f>
        <v>N1-2</v>
      </c>
      <c r="U202" s="5" t="e">
        <f>IFERROR(IF($S202&gt;0,$S202&amp;"-"&amp;COUNTIF($S$19:$S202,$S202),NA()),NA())</f>
        <v>#N/A</v>
      </c>
      <c r="V202" s="10">
        <v>44119</v>
      </c>
      <c r="W202" s="101">
        <v>61499423.776223779</v>
      </c>
      <c r="X202" s="101">
        <v>74617250.867692307</v>
      </c>
      <c r="Y202" s="102">
        <v>40000000</v>
      </c>
      <c r="JE202" s="12" t="str">
        <f t="shared" si="303"/>
        <v>Since FY21</v>
      </c>
      <c r="JF202" s="12">
        <f t="shared" si="303"/>
        <v>44959</v>
      </c>
      <c r="JG202" s="109">
        <f t="shared" si="307"/>
        <v>59.808873700212828</v>
      </c>
      <c r="JH202" s="109">
        <f t="shared" si="307"/>
        <v>40</v>
      </c>
      <c r="JI202" s="109"/>
      <c r="JJ202" s="40"/>
      <c r="JN202" s="12" t="str">
        <f t="shared" si="311"/>
        <v>Since FY21</v>
      </c>
      <c r="JO202" s="12">
        <f t="shared" si="311"/>
        <v>44945</v>
      </c>
      <c r="JP202" s="109">
        <f t="shared" si="312"/>
        <v>28.696273517786555</v>
      </c>
      <c r="JQ202" s="109">
        <f t="shared" si="312"/>
        <v>8</v>
      </c>
      <c r="JR202" s="109" t="e">
        <f t="shared" si="313"/>
        <v>#N/A</v>
      </c>
      <c r="JS202" s="109" t="e">
        <f t="shared" si="313"/>
        <v>#N/A</v>
      </c>
      <c r="JT202" s="40" t="e">
        <f>NA()</f>
        <v>#N/A</v>
      </c>
      <c r="JU202" s="40" t="e">
        <f>NA()</f>
        <v>#N/A</v>
      </c>
    </row>
    <row r="203" spans="13:281" x14ac:dyDescent="0.25">
      <c r="M203" s="5" t="str" cm="1">
        <f t="array" ref="M203">LOOKUP(2,1/($G$19:$G$35&lt;=$V203)/($H$19:$H$35&gt;=$V203),$F$19:$F$35)</f>
        <v>1H21</v>
      </c>
      <c r="N203" s="5" t="str" cm="1">
        <f t="array" ref="N203">LOOKUP(2,1/($G$8:$G$16&lt;=$V203)/($H$8:$H$16&gt;=$V203),$F$8:$F$16)</f>
        <v>FY21</v>
      </c>
      <c r="O203" s="5" t="str">
        <f>IFERROR(N203&amp;"-"&amp;COUNTIF($N$19:N203,N203),NA())</f>
        <v>FY21-17</v>
      </c>
      <c r="P203" s="5">
        <f>COUNTIF(V$19:V203,"&gt;="&amp;MAX($V:$V)-183)</f>
        <v>0</v>
      </c>
      <c r="Q203" s="5">
        <f>COUNTIF(V$19:V203,"&gt;="&amp;MAX($V:$V)-365)</f>
        <v>0</v>
      </c>
      <c r="R203" s="5" t="str" cm="1">
        <f t="array" ref="R203">LOOKUP(2,1/($G$46:$G$50&lt;=$V203)/($H$46:$H$50&gt;=$V203),$F$46:$F$50)</f>
        <v>N1</v>
      </c>
      <c r="S203" s="5" cm="1">
        <f t="array" ref="S203">LOOKUP(2,1/($G$53:$G$56&lt;=$V203)/($H$53:$H$56&gt;=$V203),$F$53:$F$56)</f>
        <v>0</v>
      </c>
      <c r="T203" s="5" t="str">
        <f>IFERROR(IF($R203&gt;0,$R203&amp;"-"&amp;COUNTIF($R$19:$R203,$R203),NA()),NA())</f>
        <v>N1-3</v>
      </c>
      <c r="U203" s="5" t="e">
        <f>IFERROR(IF($S203&gt;0,$S203&amp;"-"&amp;COUNTIF($S$19:$S203,$S203),NA()),NA())</f>
        <v>#N/A</v>
      </c>
      <c r="V203" s="10">
        <v>44126</v>
      </c>
      <c r="W203" s="101">
        <v>19054887.686226815</v>
      </c>
      <c r="X203" s="101">
        <v>23119295.229698997</v>
      </c>
      <c r="Y203" s="102">
        <v>3000000</v>
      </c>
      <c r="JE203" s="12" t="str">
        <f t="shared" si="303"/>
        <v>Since FY21</v>
      </c>
      <c r="JF203" s="12">
        <f t="shared" si="303"/>
        <v>44966</v>
      </c>
      <c r="JG203" s="109">
        <f t="shared" si="307"/>
        <v>20.069480449984798</v>
      </c>
      <c r="JH203" s="109">
        <f t="shared" si="307"/>
        <v>4</v>
      </c>
      <c r="JI203" s="109"/>
      <c r="JJ203" s="40"/>
      <c r="JN203" s="12" t="str">
        <f t="shared" si="311"/>
        <v>Since FY21</v>
      </c>
      <c r="JO203" s="12">
        <f t="shared" si="311"/>
        <v>44952</v>
      </c>
      <c r="JP203" s="109">
        <f t="shared" si="312"/>
        <v>41.97672252964427</v>
      </c>
      <c r="JQ203" s="109">
        <f t="shared" si="312"/>
        <v>20</v>
      </c>
      <c r="JR203" s="109" t="e">
        <f t="shared" si="313"/>
        <v>#N/A</v>
      </c>
      <c r="JS203" s="109" t="e">
        <f t="shared" si="313"/>
        <v>#N/A</v>
      </c>
      <c r="JT203" s="40" t="e">
        <f>NA()</f>
        <v>#N/A</v>
      </c>
      <c r="JU203" s="40" t="e">
        <f>NA()</f>
        <v>#N/A</v>
      </c>
    </row>
    <row r="204" spans="13:281" x14ac:dyDescent="0.25">
      <c r="M204" s="5" t="str" cm="1">
        <f t="array" ref="M204">LOOKUP(2,1/($G$19:$G$35&lt;=$V204)/($H$19:$H$35&gt;=$V204),$F$19:$F$35)</f>
        <v>1H21</v>
      </c>
      <c r="N204" s="5" t="str" cm="1">
        <f t="array" ref="N204">LOOKUP(2,1/($G$8:$G$16&lt;=$V204)/($H$8:$H$16&gt;=$V204),$F$8:$F$16)</f>
        <v>FY21</v>
      </c>
      <c r="O204" s="5" t="str">
        <f>IFERROR(N204&amp;"-"&amp;COUNTIF($N$19:N204,N204),NA())</f>
        <v>FY21-18</v>
      </c>
      <c r="P204" s="5">
        <f>COUNTIF(V$19:V204,"&gt;="&amp;MAX($V:$V)-183)</f>
        <v>0</v>
      </c>
      <c r="Q204" s="5">
        <f>COUNTIF(V$19:V204,"&gt;="&amp;MAX($V:$V)-365)</f>
        <v>0</v>
      </c>
      <c r="R204" s="5" t="str" cm="1">
        <f t="array" ref="R204">LOOKUP(2,1/($G$46:$G$50&lt;=$V204)/($H$46:$H$50&gt;=$V204),$F$46:$F$50)</f>
        <v>N1</v>
      </c>
      <c r="S204" s="5" cm="1">
        <f t="array" ref="S204">LOOKUP(2,1/($G$53:$G$56&lt;=$V204)/($H$53:$H$56&gt;=$V204),$F$53:$F$56)</f>
        <v>0</v>
      </c>
      <c r="T204" s="5" t="str">
        <f>IFERROR(IF($R204&gt;0,$R204&amp;"-"&amp;COUNTIF($R$19:$R204,$R204),NA()),NA())</f>
        <v>N1-4</v>
      </c>
      <c r="U204" s="5" t="e">
        <f>IFERROR(IF($S204&gt;0,$S204&amp;"-"&amp;COUNTIF($S$19:$S204,$S204),NA()),NA())</f>
        <v>#N/A</v>
      </c>
      <c r="V204" s="10">
        <v>44133</v>
      </c>
      <c r="W204" s="101">
        <v>24929902.341137119</v>
      </c>
      <c r="X204" s="101">
        <v>30247450.510501668</v>
      </c>
      <c r="Y204" s="102">
        <v>8000000</v>
      </c>
      <c r="JE204" s="12" t="str">
        <f t="shared" si="303"/>
        <v>Since FY21</v>
      </c>
      <c r="JF204" s="12">
        <f t="shared" si="303"/>
        <v>44973</v>
      </c>
      <c r="JG204" s="109">
        <f t="shared" si="307"/>
        <v>27.295176771055036</v>
      </c>
      <c r="JH204" s="109">
        <f t="shared" si="307"/>
        <v>8</v>
      </c>
      <c r="JI204" s="109"/>
      <c r="JJ204" s="40"/>
      <c r="JN204" s="12" t="str">
        <f t="shared" si="311"/>
        <v>Since FY21</v>
      </c>
      <c r="JO204" s="12">
        <f t="shared" si="311"/>
        <v>44959</v>
      </c>
      <c r="JP204" s="109">
        <f t="shared" si="312"/>
        <v>59.808873700212828</v>
      </c>
      <c r="JQ204" s="109">
        <f t="shared" si="312"/>
        <v>40</v>
      </c>
      <c r="JR204" s="109" t="e">
        <f t="shared" si="313"/>
        <v>#N/A</v>
      </c>
      <c r="JS204" s="109" t="e">
        <f t="shared" si="313"/>
        <v>#N/A</v>
      </c>
      <c r="JT204" s="40" t="e">
        <f>NA()</f>
        <v>#N/A</v>
      </c>
      <c r="JU204" s="40" t="e">
        <f>NA()</f>
        <v>#N/A</v>
      </c>
    </row>
    <row r="205" spans="13:281" x14ac:dyDescent="0.25">
      <c r="M205" s="5" t="str" cm="1">
        <f t="array" ref="M205">LOOKUP(2,1/($G$19:$G$35&lt;=$V205)/($H$19:$H$35&gt;=$V205),$F$19:$F$35)</f>
        <v>1H21</v>
      </c>
      <c r="N205" s="5" t="str" cm="1">
        <f t="array" ref="N205">LOOKUP(2,1/($G$8:$G$16&lt;=$V205)/($H$8:$H$16&gt;=$V205),$F$8:$F$16)</f>
        <v>FY21</v>
      </c>
      <c r="O205" s="5" t="str">
        <f>IFERROR(N205&amp;"-"&amp;COUNTIF($N$19:N205,N205),NA())</f>
        <v>FY21-19</v>
      </c>
      <c r="P205" s="5">
        <f>COUNTIF(V$19:V205,"&gt;="&amp;MAX($V:$V)-183)</f>
        <v>0</v>
      </c>
      <c r="Q205" s="5">
        <f>COUNTIF(V$19:V205,"&gt;="&amp;MAX($V:$V)-365)</f>
        <v>0</v>
      </c>
      <c r="R205" s="5" t="str" cm="1">
        <f t="array" ref="R205">LOOKUP(2,1/($G$46:$G$50&lt;=$V205)/($H$46:$H$50&gt;=$V205),$F$46:$F$50)</f>
        <v>N1</v>
      </c>
      <c r="S205" s="5" cm="1">
        <f t="array" ref="S205">LOOKUP(2,1/($G$53:$G$56&lt;=$V205)/($H$53:$H$56&gt;=$V205),$F$53:$F$56)</f>
        <v>0</v>
      </c>
      <c r="T205" s="5" t="str">
        <f>IFERROR(IF($R205&gt;0,$R205&amp;"-"&amp;COUNTIF($R$19:$R205,$R205),NA()),NA())</f>
        <v>N1-5</v>
      </c>
      <c r="U205" s="5" t="e">
        <f>IFERROR(IF($S205&gt;0,$S205&amp;"-"&amp;COUNTIF($S$19:$S205,$S205),NA()),NA())</f>
        <v>#N/A</v>
      </c>
      <c r="V205" s="10">
        <v>44140</v>
      </c>
      <c r="W205" s="101">
        <v>39323627.363940403</v>
      </c>
      <c r="X205" s="101">
        <v>47711357.080668889</v>
      </c>
      <c r="Y205" s="102">
        <v>20000000</v>
      </c>
      <c r="JE205" s="12" t="str">
        <f t="shared" si="303"/>
        <v>Since FY21</v>
      </c>
      <c r="JF205" s="12">
        <f t="shared" si="303"/>
        <v>44980</v>
      </c>
      <c r="JG205" s="109">
        <f t="shared" si="307"/>
        <v>43.788940346609913</v>
      </c>
      <c r="JH205" s="109">
        <f t="shared" si="307"/>
        <v>20</v>
      </c>
      <c r="JI205" s="109"/>
      <c r="JJ205" s="40"/>
      <c r="JN205" s="12" t="str">
        <f t="shared" si="311"/>
        <v>Since FY21</v>
      </c>
      <c r="JO205" s="12">
        <f t="shared" si="311"/>
        <v>44966</v>
      </c>
      <c r="JP205" s="109">
        <f t="shared" si="312"/>
        <v>20.069480449984798</v>
      </c>
      <c r="JQ205" s="109">
        <f t="shared" si="312"/>
        <v>4</v>
      </c>
      <c r="JR205" s="109" t="e">
        <f t="shared" si="313"/>
        <v>#N/A</v>
      </c>
      <c r="JS205" s="109" t="e">
        <f t="shared" si="313"/>
        <v>#N/A</v>
      </c>
      <c r="JT205" s="40" t="e">
        <f>NA()</f>
        <v>#N/A</v>
      </c>
      <c r="JU205" s="40" t="e">
        <f>NA()</f>
        <v>#N/A</v>
      </c>
    </row>
    <row r="206" spans="13:281" x14ac:dyDescent="0.25">
      <c r="M206" s="5" t="str" cm="1">
        <f t="array" ref="M206">LOOKUP(2,1/($G$19:$G$35&lt;=$V206)/($H$19:$H$35&gt;=$V206),$F$19:$F$35)</f>
        <v>1H21</v>
      </c>
      <c r="N206" s="5" t="str" cm="1">
        <f t="array" ref="N206">LOOKUP(2,1/($G$8:$G$16&lt;=$V206)/($H$8:$H$16&gt;=$V206),$F$8:$F$16)</f>
        <v>FY21</v>
      </c>
      <c r="O206" s="5" t="str">
        <f>IFERROR(N206&amp;"-"&amp;COUNTIF($N$19:N206,N206),NA())</f>
        <v>FY21-20</v>
      </c>
      <c r="P206" s="5">
        <f>COUNTIF(V$19:V206,"&gt;="&amp;MAX($V:$V)-183)</f>
        <v>0</v>
      </c>
      <c r="Q206" s="5">
        <f>COUNTIF(V$19:V206,"&gt;="&amp;MAX($V:$V)-365)</f>
        <v>0</v>
      </c>
      <c r="R206" s="5" t="str" cm="1">
        <f t="array" ref="R206">LOOKUP(2,1/($G$46:$G$50&lt;=$V206)/($H$46:$H$50&gt;=$V206),$F$46:$F$50)</f>
        <v>N1</v>
      </c>
      <c r="S206" s="5" cm="1">
        <f t="array" ref="S206">LOOKUP(2,1/($G$53:$G$56&lt;=$V206)/($H$53:$H$56&gt;=$V206),$F$53:$F$56)</f>
        <v>0</v>
      </c>
      <c r="T206" s="5" t="str">
        <f>IFERROR(IF($R206&gt;0,$R206&amp;"-"&amp;COUNTIF($R$19:$R206,$R206),NA()),NA())</f>
        <v>N1-6</v>
      </c>
      <c r="U206" s="5" t="e">
        <f>IFERROR(IF($S206&gt;0,$S206&amp;"-"&amp;COUNTIF($S$19:$S206,$S206),NA()),NA())</f>
        <v>#N/A</v>
      </c>
      <c r="V206" s="10">
        <v>44147</v>
      </c>
      <c r="W206" s="101">
        <v>17490034.417756159</v>
      </c>
      <c r="X206" s="101">
        <v>21220658.759063549</v>
      </c>
      <c r="Y206" s="102">
        <v>3000000</v>
      </c>
      <c r="JE206" s="12" t="str">
        <f t="shared" si="303"/>
        <v>Since FY21</v>
      </c>
      <c r="JF206" s="12">
        <f t="shared" si="303"/>
        <v>44987</v>
      </c>
      <c r="JG206" s="109">
        <f t="shared" si="307"/>
        <v>60.656023107327449</v>
      </c>
      <c r="JH206" s="109">
        <f t="shared" si="307"/>
        <v>40</v>
      </c>
      <c r="JI206" s="109"/>
      <c r="JJ206" s="40"/>
      <c r="JN206" s="12" t="str">
        <f t="shared" si="311"/>
        <v>Since FY21</v>
      </c>
      <c r="JO206" s="12">
        <f t="shared" si="311"/>
        <v>44973</v>
      </c>
      <c r="JP206" s="109">
        <f t="shared" si="312"/>
        <v>27.295176771055036</v>
      </c>
      <c r="JQ206" s="109">
        <f t="shared" si="312"/>
        <v>8</v>
      </c>
      <c r="JR206" s="109" t="e">
        <f t="shared" si="313"/>
        <v>#N/A</v>
      </c>
      <c r="JS206" s="109" t="e">
        <f t="shared" si="313"/>
        <v>#N/A</v>
      </c>
      <c r="JT206" s="40" t="e">
        <f>NA()</f>
        <v>#N/A</v>
      </c>
      <c r="JU206" s="40" t="e">
        <f>NA()</f>
        <v>#N/A</v>
      </c>
    </row>
    <row r="207" spans="13:281" x14ac:dyDescent="0.25">
      <c r="M207" s="5" t="str" cm="1">
        <f t="array" ref="M207">LOOKUP(2,1/($G$19:$G$35&lt;=$V207)/($H$19:$H$35&gt;=$V207),$F$19:$F$35)</f>
        <v>1H21</v>
      </c>
      <c r="N207" s="5" t="str" cm="1">
        <f t="array" ref="N207">LOOKUP(2,1/($G$8:$G$16&lt;=$V207)/($H$8:$H$16&gt;=$V207),$F$8:$F$16)</f>
        <v>FY21</v>
      </c>
      <c r="O207" s="5" t="str">
        <f>IFERROR(N207&amp;"-"&amp;COUNTIF($N$19:N207,N207),NA())</f>
        <v>FY21-21</v>
      </c>
      <c r="P207" s="5">
        <f>COUNTIF(V$19:V207,"&gt;="&amp;MAX($V:$V)-183)</f>
        <v>0</v>
      </c>
      <c r="Q207" s="5">
        <f>COUNTIF(V$19:V207,"&gt;="&amp;MAX($V:$V)-365)</f>
        <v>0</v>
      </c>
      <c r="R207" s="5" t="str" cm="1">
        <f t="array" ref="R207">LOOKUP(2,1/($G$46:$G$50&lt;=$V207)/($H$46:$H$50&gt;=$V207),$F$46:$F$50)</f>
        <v>N1</v>
      </c>
      <c r="S207" s="5" cm="1">
        <f t="array" ref="S207">LOOKUP(2,1/($G$53:$G$56&lt;=$V207)/($H$53:$H$56&gt;=$V207),$F$53:$F$56)</f>
        <v>0</v>
      </c>
      <c r="T207" s="5" t="str">
        <f>IFERROR(IF($R207&gt;0,$R207&amp;"-"&amp;COUNTIF($R$19:$R207,$R207),NA()),NA())</f>
        <v>N1-7</v>
      </c>
      <c r="U207" s="5" t="e">
        <f>IFERROR(IF($S207&gt;0,$S207&amp;"-"&amp;COUNTIF($S$19:$S207,$S207),NA()),NA())</f>
        <v>#N/A</v>
      </c>
      <c r="V207" s="10">
        <v>44154</v>
      </c>
      <c r="W207" s="101">
        <v>23485624.323502589</v>
      </c>
      <c r="X207" s="101">
        <v>28495107.991705693</v>
      </c>
      <c r="Y207" s="102">
        <v>8000000</v>
      </c>
      <c r="JE207" s="12" t="str">
        <f t="shared" si="303"/>
        <v>Since FY21</v>
      </c>
      <c r="JF207" s="12">
        <f t="shared" si="303"/>
        <v>44994</v>
      </c>
      <c r="JG207" s="109">
        <f t="shared" si="307"/>
        <v>20.922155062328976</v>
      </c>
      <c r="JH207" s="109">
        <f t="shared" si="307"/>
        <v>4</v>
      </c>
      <c r="JI207" s="109"/>
      <c r="JJ207" s="40"/>
      <c r="JN207" s="12" t="str">
        <f t="shared" si="311"/>
        <v>Since FY21</v>
      </c>
      <c r="JO207" s="12">
        <f t="shared" si="311"/>
        <v>44980</v>
      </c>
      <c r="JP207" s="109">
        <f t="shared" si="312"/>
        <v>43.788940346609913</v>
      </c>
      <c r="JQ207" s="109">
        <f t="shared" si="312"/>
        <v>20</v>
      </c>
      <c r="JR207" s="109" t="e">
        <f t="shared" si="313"/>
        <v>#N/A</v>
      </c>
      <c r="JS207" s="109" t="e">
        <f t="shared" si="313"/>
        <v>#N/A</v>
      </c>
      <c r="JT207" s="40" t="e">
        <f>NA()</f>
        <v>#N/A</v>
      </c>
      <c r="JU207" s="40" t="e">
        <f>NA()</f>
        <v>#N/A</v>
      </c>
    </row>
    <row r="208" spans="13:281" x14ac:dyDescent="0.25">
      <c r="M208" s="5" t="str" cm="1">
        <f t="array" ref="M208">LOOKUP(2,1/($G$19:$G$35&lt;=$V208)/($H$19:$H$35&gt;=$V208),$F$19:$F$35)</f>
        <v>1H21</v>
      </c>
      <c r="N208" s="5" t="str" cm="1">
        <f t="array" ref="N208">LOOKUP(2,1/($G$8:$G$16&lt;=$V208)/($H$8:$H$16&gt;=$V208),$F$8:$F$16)</f>
        <v>FY21</v>
      </c>
      <c r="O208" s="5" t="str">
        <f>IFERROR(N208&amp;"-"&amp;COUNTIF($N$19:N208,N208),NA())</f>
        <v>FY21-22</v>
      </c>
      <c r="P208" s="5">
        <f>COUNTIF(V$19:V208,"&gt;="&amp;MAX($V:$V)-183)</f>
        <v>0</v>
      </c>
      <c r="Q208" s="5">
        <f>COUNTIF(V$19:V208,"&gt;="&amp;MAX($V:$V)-365)</f>
        <v>0</v>
      </c>
      <c r="R208" s="5" t="str" cm="1">
        <f t="array" ref="R208">LOOKUP(2,1/($G$46:$G$50&lt;=$V208)/($H$46:$H$50&gt;=$V208),$F$46:$F$50)</f>
        <v>N1</v>
      </c>
      <c r="S208" s="5" cm="1">
        <f t="array" ref="S208">LOOKUP(2,1/($G$53:$G$56&lt;=$V208)/($H$53:$H$56&gt;=$V208),$F$53:$F$56)</f>
        <v>0</v>
      </c>
      <c r="T208" s="5" t="str">
        <f>IFERROR(IF($R208&gt;0,$R208&amp;"-"&amp;COUNTIF($R$19:$R208,$R208),NA()),NA())</f>
        <v>N1-8</v>
      </c>
      <c r="U208" s="5" t="e">
        <f>IFERROR(IF($S208&gt;0,$S208&amp;"-"&amp;COUNTIF($S$19:$S208,$S208),NA()),NA())</f>
        <v>#N/A</v>
      </c>
      <c r="V208" s="10">
        <v>44161</v>
      </c>
      <c r="W208" s="101">
        <v>40190379.81149286</v>
      </c>
      <c r="X208" s="101">
        <v>48762987.825284287</v>
      </c>
      <c r="Y208" s="102">
        <v>20000000</v>
      </c>
      <c r="JE208" s="12" t="str">
        <f t="shared" si="303"/>
        <v>Since FY21</v>
      </c>
      <c r="JF208" s="12">
        <f t="shared" si="303"/>
        <v>45001</v>
      </c>
      <c r="JG208" s="109">
        <f t="shared" si="307"/>
        <v>22.050697598054121</v>
      </c>
      <c r="JH208" s="109">
        <f t="shared" si="307"/>
        <v>4</v>
      </c>
      <c r="JI208" s="109"/>
      <c r="JJ208" s="40"/>
      <c r="JN208" s="12" t="str">
        <f t="shared" si="311"/>
        <v>Since FY21</v>
      </c>
      <c r="JO208" s="12">
        <f t="shared" si="311"/>
        <v>44987</v>
      </c>
      <c r="JP208" s="109">
        <f t="shared" si="312"/>
        <v>60.656023107327449</v>
      </c>
      <c r="JQ208" s="109">
        <f t="shared" si="312"/>
        <v>40</v>
      </c>
      <c r="JR208" s="109" t="e">
        <f t="shared" si="313"/>
        <v>#N/A</v>
      </c>
      <c r="JS208" s="109" t="e">
        <f t="shared" si="313"/>
        <v>#N/A</v>
      </c>
      <c r="JT208" s="40" t="e">
        <f>NA()</f>
        <v>#N/A</v>
      </c>
      <c r="JU208" s="40" t="e">
        <f>NA()</f>
        <v>#N/A</v>
      </c>
    </row>
    <row r="209" spans="13:281" x14ac:dyDescent="0.25">
      <c r="M209" s="5" t="str" cm="1">
        <f t="array" ref="M209">LOOKUP(2,1/($G$19:$G$35&lt;=$V209)/($H$19:$H$35&gt;=$V209),$F$19:$F$35)</f>
        <v>1H21</v>
      </c>
      <c r="N209" s="5" t="str" cm="1">
        <f t="array" ref="N209">LOOKUP(2,1/($G$8:$G$16&lt;=$V209)/($H$8:$H$16&gt;=$V209),$F$8:$F$16)</f>
        <v>FY21</v>
      </c>
      <c r="O209" s="5" t="str">
        <f>IFERROR(N209&amp;"-"&amp;COUNTIF($N$19:N209,N209),NA())</f>
        <v>FY21-23</v>
      </c>
      <c r="P209" s="5">
        <f>COUNTIF(V$19:V209,"&gt;="&amp;MAX($V:$V)-183)</f>
        <v>0</v>
      </c>
      <c r="Q209" s="5">
        <f>COUNTIF(V$19:V209,"&gt;="&amp;MAX($V:$V)-365)</f>
        <v>0</v>
      </c>
      <c r="R209" s="5" t="str" cm="1">
        <f t="array" ref="R209">LOOKUP(2,1/($G$46:$G$50&lt;=$V209)/($H$46:$H$50&gt;=$V209),$F$46:$F$50)</f>
        <v>N1</v>
      </c>
      <c r="S209" s="5" cm="1">
        <f t="array" ref="S209">LOOKUP(2,1/($G$53:$G$56&lt;=$V209)/($H$53:$H$56&gt;=$V209),$F$53:$F$56)</f>
        <v>0</v>
      </c>
      <c r="T209" s="5" t="str">
        <f>IFERROR(IF($R209&gt;0,$R209&amp;"-"&amp;COUNTIF($R$19:$R209,$R209),NA()),NA())</f>
        <v>N1-9</v>
      </c>
      <c r="U209" s="5" t="e">
        <f>IFERROR(IF($S209&gt;0,$S209&amp;"-"&amp;COUNTIF($S$19:$S209,$S209),NA()),NA())</f>
        <v>#N/A</v>
      </c>
      <c r="V209" s="10">
        <v>44168</v>
      </c>
      <c r="W209" s="101">
        <v>17815226.512617815</v>
      </c>
      <c r="X209" s="101">
        <v>21615214.327759195</v>
      </c>
      <c r="Y209" s="102">
        <v>3000000</v>
      </c>
      <c r="JE209" s="12" t="str">
        <f t="shared" si="303"/>
        <v>Since FY21</v>
      </c>
      <c r="JF209" s="12">
        <f t="shared" si="303"/>
        <v>45008</v>
      </c>
      <c r="JG209" s="109">
        <f t="shared" si="307"/>
        <v>25.902576588628762</v>
      </c>
      <c r="JH209" s="109">
        <f t="shared" si="307"/>
        <v>8</v>
      </c>
      <c r="JI209" s="109"/>
      <c r="JJ209" s="40"/>
      <c r="JN209" s="12" t="str">
        <f t="shared" si="311"/>
        <v>Since FY21</v>
      </c>
      <c r="JO209" s="12">
        <f t="shared" si="311"/>
        <v>44994</v>
      </c>
      <c r="JP209" s="109">
        <f t="shared" si="312"/>
        <v>20.922155062328976</v>
      </c>
      <c r="JQ209" s="109">
        <f t="shared" si="312"/>
        <v>4</v>
      </c>
      <c r="JR209" s="109" t="e">
        <f t="shared" si="313"/>
        <v>#N/A</v>
      </c>
      <c r="JS209" s="109" t="e">
        <f t="shared" si="313"/>
        <v>#N/A</v>
      </c>
      <c r="JT209" s="40" t="e">
        <f>NA()</f>
        <v>#N/A</v>
      </c>
      <c r="JU209" s="40" t="e">
        <f>NA()</f>
        <v>#N/A</v>
      </c>
    </row>
    <row r="210" spans="13:281" x14ac:dyDescent="0.25">
      <c r="M210" s="5" t="str" cm="1">
        <f t="array" ref="M210">LOOKUP(2,1/($G$19:$G$35&lt;=$V210)/($H$19:$H$35&gt;=$V210),$F$19:$F$35)</f>
        <v>1H21</v>
      </c>
      <c r="N210" s="5" t="str" cm="1">
        <f t="array" ref="N210">LOOKUP(2,1/($G$8:$G$16&lt;=$V210)/($H$8:$H$16&gt;=$V210),$F$8:$F$16)</f>
        <v>FY21</v>
      </c>
      <c r="O210" s="5" t="str">
        <f>IFERROR(N210&amp;"-"&amp;COUNTIF($N$19:N210,N210),NA())</f>
        <v>FY21-24</v>
      </c>
      <c r="P210" s="5">
        <f>COUNTIF(V$19:V210,"&gt;="&amp;MAX($V:$V)-183)</f>
        <v>0</v>
      </c>
      <c r="Q210" s="5">
        <f>COUNTIF(V$19:V210,"&gt;="&amp;MAX($V:$V)-365)</f>
        <v>0</v>
      </c>
      <c r="R210" s="5" t="str" cm="1">
        <f t="array" ref="R210">LOOKUP(2,1/($G$46:$G$50&lt;=$V210)/($H$46:$H$50&gt;=$V210),$F$46:$F$50)</f>
        <v>N1</v>
      </c>
      <c r="S210" s="5" cm="1">
        <f t="array" ref="S210">LOOKUP(2,1/($G$53:$G$56&lt;=$V210)/($H$53:$H$56&gt;=$V210),$F$53:$F$56)</f>
        <v>0</v>
      </c>
      <c r="T210" s="5" t="str">
        <f>IFERROR(IF($R210&gt;0,$R210&amp;"-"&amp;COUNTIF($R$19:$R210,$R210),NA()),NA())</f>
        <v>N1-10</v>
      </c>
      <c r="U210" s="5" t="e">
        <f>IFERROR(IF($S210&gt;0,$S210&amp;"-"&amp;COUNTIF($S$19:$S210,$S210),NA()),NA())</f>
        <v>#N/A</v>
      </c>
      <c r="V210" s="10">
        <v>44175</v>
      </c>
      <c r="W210" s="101">
        <v>25066381.757373061</v>
      </c>
      <c r="X210" s="101">
        <v>30413040.986220736</v>
      </c>
      <c r="Y210" s="102">
        <v>8000000</v>
      </c>
      <c r="JE210" s="12" t="str">
        <f t="shared" si="303"/>
        <v>Since FY21</v>
      </c>
      <c r="JF210" s="12">
        <f t="shared" si="303"/>
        <v>45015</v>
      </c>
      <c r="JG210" s="109">
        <f t="shared" si="307"/>
        <v>25.590152994831257</v>
      </c>
      <c r="JH210" s="109">
        <f t="shared" si="307"/>
        <v>8</v>
      </c>
      <c r="JI210" s="109"/>
      <c r="JJ210" s="40"/>
      <c r="JN210" s="12" t="str">
        <f t="shared" si="311"/>
        <v>Since FY21</v>
      </c>
      <c r="JO210" s="12">
        <f t="shared" si="311"/>
        <v>45001</v>
      </c>
      <c r="JP210" s="109">
        <f t="shared" si="312"/>
        <v>22.050697598054121</v>
      </c>
      <c r="JQ210" s="109">
        <f t="shared" si="312"/>
        <v>4</v>
      </c>
      <c r="JR210" s="109" t="e">
        <f t="shared" si="313"/>
        <v>#N/A</v>
      </c>
      <c r="JS210" s="109" t="e">
        <f t="shared" si="313"/>
        <v>#N/A</v>
      </c>
      <c r="JT210" s="40" t="e">
        <f>NA()</f>
        <v>#N/A</v>
      </c>
      <c r="JU210" s="40" t="e">
        <f>NA()</f>
        <v>#N/A</v>
      </c>
    </row>
    <row r="211" spans="13:281" x14ac:dyDescent="0.25">
      <c r="M211" s="5" t="str" cm="1">
        <f t="array" ref="M211">LOOKUP(2,1/($G$19:$G$35&lt;=$V211)/($H$19:$H$35&gt;=$V211),$F$19:$F$35)</f>
        <v>1H21</v>
      </c>
      <c r="N211" s="5" t="str" cm="1">
        <f t="array" ref="N211">LOOKUP(2,1/($G$8:$G$16&lt;=$V211)/($H$8:$H$16&gt;=$V211),$F$8:$F$16)</f>
        <v>FY21</v>
      </c>
      <c r="O211" s="5" t="str">
        <f>IFERROR(N211&amp;"-"&amp;COUNTIF($N$19:N211,N211),NA())</f>
        <v>FY21-25</v>
      </c>
      <c r="P211" s="5">
        <f>COUNTIF(V$19:V211,"&gt;="&amp;MAX($V:$V)-183)</f>
        <v>0</v>
      </c>
      <c r="Q211" s="5">
        <f>COUNTIF(V$19:V211,"&gt;="&amp;MAX($V:$V)-365)</f>
        <v>0</v>
      </c>
      <c r="R211" s="5" t="str" cm="1">
        <f t="array" ref="R211">LOOKUP(2,1/($G$46:$G$50&lt;=$V211)/($H$46:$H$50&gt;=$V211),$F$46:$F$50)</f>
        <v>N1</v>
      </c>
      <c r="S211" s="5" cm="1">
        <f t="array" ref="S211">LOOKUP(2,1/($G$53:$G$56&lt;=$V211)/($H$53:$H$56&gt;=$V211),$F$53:$F$56)</f>
        <v>0</v>
      </c>
      <c r="T211" s="5" t="str">
        <f>IFERROR(IF($R211&gt;0,$R211&amp;"-"&amp;COUNTIF($R$19:$R211,$R211),NA()),NA())</f>
        <v>N1-11</v>
      </c>
      <c r="U211" s="5" t="e">
        <f>IFERROR(IF($S211&gt;0,$S211&amp;"-"&amp;COUNTIF($S$19:$S211,$S211),NA()),NA())</f>
        <v>#N/A</v>
      </c>
      <c r="V211" s="10">
        <v>44182</v>
      </c>
      <c r="W211" s="101">
        <v>40397165.825478874</v>
      </c>
      <c r="X211" s="101">
        <v>49013881.296053521</v>
      </c>
      <c r="Y211" s="102">
        <v>20000000</v>
      </c>
      <c r="JE211" s="12" t="str">
        <f t="shared" si="303"/>
        <v>Since FY21</v>
      </c>
      <c r="JF211" s="12">
        <f t="shared" si="303"/>
        <v>45022</v>
      </c>
      <c r="JG211" s="109">
        <f t="shared" si="307"/>
        <v>41.047026208574025</v>
      </c>
      <c r="JH211" s="109">
        <f t="shared" si="307"/>
        <v>20</v>
      </c>
      <c r="JI211" s="109"/>
      <c r="JJ211" s="40"/>
      <c r="JN211" s="12" t="str">
        <f t="shared" si="311"/>
        <v>Since FY21</v>
      </c>
      <c r="JO211" s="12">
        <f t="shared" si="311"/>
        <v>45008</v>
      </c>
      <c r="JP211" s="109">
        <f t="shared" si="312"/>
        <v>25.902576588628762</v>
      </c>
      <c r="JQ211" s="109">
        <f t="shared" si="312"/>
        <v>8</v>
      </c>
      <c r="JR211" s="109" t="e">
        <f t="shared" si="313"/>
        <v>#N/A</v>
      </c>
      <c r="JS211" s="109" t="e">
        <f t="shared" si="313"/>
        <v>#N/A</v>
      </c>
      <c r="JT211" s="40" t="e">
        <f>NA()</f>
        <v>#N/A</v>
      </c>
      <c r="JU211" s="40" t="e">
        <f>NA()</f>
        <v>#N/A</v>
      </c>
    </row>
    <row r="212" spans="13:281" x14ac:dyDescent="0.25">
      <c r="M212" s="5" t="str" cm="1">
        <f t="array" ref="M212">LOOKUP(2,1/($G$19:$G$35&lt;=$V212)/($H$19:$H$35&gt;=$V212),$F$19:$F$35)</f>
        <v>1H21</v>
      </c>
      <c r="N212" s="5" t="str" cm="1">
        <f t="array" ref="N212">LOOKUP(2,1/($G$8:$G$16&lt;=$V212)/($H$8:$H$16&gt;=$V212),$F$8:$F$16)</f>
        <v>FY21</v>
      </c>
      <c r="O212" s="5" t="str">
        <f>IFERROR(N212&amp;"-"&amp;COUNTIF($N$19:N212,N212),NA())</f>
        <v>FY21-26</v>
      </c>
      <c r="P212" s="5">
        <f>COUNTIF(V$19:V212,"&gt;="&amp;MAX($V:$V)-183)</f>
        <v>0</v>
      </c>
      <c r="Q212" s="5">
        <f>COUNTIF(V$19:V212,"&gt;="&amp;MAX($V:$V)-365)</f>
        <v>0</v>
      </c>
      <c r="R212" s="5" t="str" cm="1">
        <f t="array" ref="R212">LOOKUP(2,1/($G$46:$G$50&lt;=$V212)/($H$46:$H$50&gt;=$V212),$F$46:$F$50)</f>
        <v>N1</v>
      </c>
      <c r="S212" s="5" cm="1">
        <f t="array" ref="S212">LOOKUP(2,1/($G$53:$G$56&lt;=$V212)/($H$53:$H$56&gt;=$V212),$F$53:$F$56)</f>
        <v>0</v>
      </c>
      <c r="T212" s="5" t="str">
        <f>IFERROR(IF($R212&gt;0,$R212&amp;"-"&amp;COUNTIF($R$19:$R212,$R212),NA()),NA())</f>
        <v>N1-12</v>
      </c>
      <c r="U212" s="5" t="e">
        <f>IFERROR(IF($S212&gt;0,$S212&amp;"-"&amp;COUNTIF($S$19:$S212,$S212),NA()),NA())</f>
        <v>#N/A</v>
      </c>
      <c r="V212" s="10">
        <v>44189</v>
      </c>
      <c r="W212" s="101">
        <v>19022130.495591365</v>
      </c>
      <c r="X212" s="101">
        <v>23079550.930301003</v>
      </c>
      <c r="Y212" s="102">
        <v>3000000</v>
      </c>
      <c r="JE212" s="12" t="str">
        <f t="shared" si="303"/>
        <v>Since FY21</v>
      </c>
      <c r="JF212" s="12">
        <f t="shared" si="303"/>
        <v>45029</v>
      </c>
      <c r="JG212" s="109">
        <f t="shared" si="307"/>
        <v>49.471698145332923</v>
      </c>
      <c r="JH212" s="109">
        <f t="shared" si="307"/>
        <v>30</v>
      </c>
      <c r="JI212" s="109"/>
      <c r="JJ212" s="40"/>
      <c r="JN212" s="12" t="str">
        <f t="shared" si="311"/>
        <v>Since FY21</v>
      </c>
      <c r="JO212" s="12">
        <f t="shared" si="311"/>
        <v>45015</v>
      </c>
      <c r="JP212" s="109">
        <f t="shared" si="312"/>
        <v>25.590152994831257</v>
      </c>
      <c r="JQ212" s="109">
        <f t="shared" si="312"/>
        <v>8</v>
      </c>
      <c r="JR212" s="109" t="e">
        <f t="shared" si="313"/>
        <v>#N/A</v>
      </c>
      <c r="JS212" s="109" t="e">
        <f t="shared" si="313"/>
        <v>#N/A</v>
      </c>
      <c r="JT212" s="40" t="e">
        <f>NA()</f>
        <v>#N/A</v>
      </c>
      <c r="JU212" s="40" t="e">
        <f>NA()</f>
        <v>#N/A</v>
      </c>
    </row>
    <row r="213" spans="13:281" x14ac:dyDescent="0.25">
      <c r="M213" s="5" t="str" cm="1">
        <f t="array" ref="M213">LOOKUP(2,1/($G$19:$G$35&lt;=$V213)/($H$19:$H$35&gt;=$V213),$F$19:$F$35)</f>
        <v>1H21</v>
      </c>
      <c r="N213" s="5" t="str" cm="1">
        <f t="array" ref="N213">LOOKUP(2,1/($G$8:$G$16&lt;=$V213)/($H$8:$H$16&gt;=$V213),$F$8:$F$16)</f>
        <v>FY21</v>
      </c>
      <c r="O213" s="5" t="str">
        <f>IFERROR(N213&amp;"-"&amp;COUNTIF($N$19:N213,N213),NA())</f>
        <v>FY21-27</v>
      </c>
      <c r="P213" s="5">
        <f>COUNTIF(V$19:V213,"&gt;="&amp;MAX($V:$V)-183)</f>
        <v>0</v>
      </c>
      <c r="Q213" s="5">
        <f>COUNTIF(V$19:V213,"&gt;="&amp;MAX($V:$V)-365)</f>
        <v>0</v>
      </c>
      <c r="R213" s="5" t="str" cm="1">
        <f t="array" ref="R213">LOOKUP(2,1/($G$46:$G$50&lt;=$V213)/($H$46:$H$50&gt;=$V213),$F$46:$F$50)</f>
        <v>N1</v>
      </c>
      <c r="S213" s="5" cm="1">
        <f t="array" ref="S213">LOOKUP(2,1/($G$53:$G$56&lt;=$V213)/($H$53:$H$56&gt;=$V213),$F$53:$F$56)</f>
        <v>0</v>
      </c>
      <c r="T213" s="5" t="str">
        <f>IFERROR(IF($R213&gt;0,$R213&amp;"-"&amp;COUNTIF($R$19:$R213,$R213),NA()),NA())</f>
        <v>N1-13</v>
      </c>
      <c r="U213" s="5" t="e">
        <f>IFERROR(IF($S213&gt;0,$S213&amp;"-"&amp;COUNTIF($S$19:$S213,$S213),NA()),NA())</f>
        <v>#N/A</v>
      </c>
      <c r="V213" s="10">
        <v>44196</v>
      </c>
      <c r="W213" s="101">
        <v>25387217.756156884</v>
      </c>
      <c r="X213" s="101">
        <v>30802311.303545147</v>
      </c>
      <c r="Y213" s="102">
        <v>8000000</v>
      </c>
      <c r="JE213" s="12" t="str">
        <f t="shared" si="303"/>
        <v>Since FY21</v>
      </c>
      <c r="JF213" s="12">
        <f t="shared" si="303"/>
        <v>45036</v>
      </c>
      <c r="JG213" s="109">
        <f t="shared" si="307"/>
        <v>21.741040681058067</v>
      </c>
      <c r="JH213" s="109">
        <f t="shared" si="307"/>
        <v>4</v>
      </c>
      <c r="JI213" s="109"/>
      <c r="JJ213" s="40"/>
      <c r="JN213" s="12" t="str">
        <f t="shared" ref="JN213:JO227" si="314">IF(OR(ISBLANK(IW149),$IZ149&gt;=$JO$66),NA(),IW149)</f>
        <v>Since FY21</v>
      </c>
      <c r="JO213" s="12">
        <f t="shared" si="314"/>
        <v>45022</v>
      </c>
      <c r="JP213" s="109">
        <f t="shared" ref="JP213:JQ227" si="315">IF(OR(ISBLANK(IY149),$IZ149&gt;=$JO$66),NA(),IY149)/1000000</f>
        <v>41.047026208574025</v>
      </c>
      <c r="JQ213" s="109">
        <f t="shared" si="315"/>
        <v>20</v>
      </c>
      <c r="JR213" s="109" t="e">
        <f t="shared" ref="JR213:JS227" si="316">IF(OR(ISBLANK(IY149),$IZ149&lt;$JR$66),NA(),IY149)/1000000</f>
        <v>#N/A</v>
      </c>
      <c r="JS213" s="109" t="e">
        <f t="shared" si="316"/>
        <v>#N/A</v>
      </c>
      <c r="JT213" s="40" t="e">
        <f>NA()</f>
        <v>#N/A</v>
      </c>
      <c r="JU213" s="40" t="e">
        <f>NA()</f>
        <v>#N/A</v>
      </c>
    </row>
    <row r="214" spans="13:281" x14ac:dyDescent="0.25">
      <c r="M214" s="5" t="str" cm="1">
        <f t="array" ref="M214">LOOKUP(2,1/($G$19:$G$35&lt;=$V214)/($H$19:$H$35&gt;=$V214),$F$19:$F$35)</f>
        <v>2H21</v>
      </c>
      <c r="N214" s="5" t="str" cm="1">
        <f t="array" ref="N214">LOOKUP(2,1/($G$8:$G$16&lt;=$V214)/($H$8:$H$16&gt;=$V214),$F$8:$F$16)</f>
        <v>FY21</v>
      </c>
      <c r="O214" s="5" t="str">
        <f>IFERROR(N214&amp;"-"&amp;COUNTIF($N$19:N214,N214),NA())</f>
        <v>FY21-28</v>
      </c>
      <c r="P214" s="5">
        <f>COUNTIF(V$19:V214,"&gt;="&amp;MAX($V:$V)-183)</f>
        <v>0</v>
      </c>
      <c r="Q214" s="5">
        <f>COUNTIF(V$19:V214,"&gt;="&amp;MAX($V:$V)-365)</f>
        <v>0</v>
      </c>
      <c r="R214" s="5" t="str" cm="1">
        <f t="array" ref="R214">LOOKUP(2,1/($G$46:$G$50&lt;=$V214)/($H$46:$H$50&gt;=$V214),$F$46:$F$50)</f>
        <v>N1</v>
      </c>
      <c r="S214" s="5" cm="1">
        <f t="array" ref="S214">LOOKUP(2,1/($G$53:$G$56&lt;=$V214)/($H$53:$H$56&gt;=$V214),$F$53:$F$56)</f>
        <v>0</v>
      </c>
      <c r="T214" s="5" t="str">
        <f>IFERROR(IF($R214&gt;0,$R214&amp;"-"&amp;COUNTIF($R$19:$R214,$R214),NA()),NA())</f>
        <v>N1-14</v>
      </c>
      <c r="U214" s="5" t="e">
        <f>IFERROR(IF($S214&gt;0,$S214&amp;"-"&amp;COUNTIF($S$19:$S214,$S214),NA()),NA())</f>
        <v>#N/A</v>
      </c>
      <c r="V214" s="10">
        <v>44203</v>
      </c>
      <c r="W214" s="101">
        <v>17082868.713894803</v>
      </c>
      <c r="X214" s="101">
        <v>20726644.610568564</v>
      </c>
      <c r="Y214" s="102">
        <v>3000000</v>
      </c>
      <c r="JE214" s="12" t="str">
        <f t="shared" si="303"/>
        <v>Since FY21</v>
      </c>
      <c r="JF214" s="12">
        <f t="shared" si="303"/>
        <v>45043</v>
      </c>
      <c r="JG214" s="109">
        <f t="shared" si="307"/>
        <v>27.045895287321372</v>
      </c>
      <c r="JH214" s="109">
        <f t="shared" si="307"/>
        <v>8</v>
      </c>
      <c r="JI214" s="109"/>
      <c r="JJ214" s="40"/>
      <c r="JN214" s="12" t="str">
        <f t="shared" si="314"/>
        <v>Since FY21</v>
      </c>
      <c r="JO214" s="12">
        <f t="shared" si="314"/>
        <v>45029</v>
      </c>
      <c r="JP214" s="109">
        <f t="shared" si="315"/>
        <v>49.471698145332923</v>
      </c>
      <c r="JQ214" s="109">
        <f t="shared" si="315"/>
        <v>30</v>
      </c>
      <c r="JR214" s="109" t="e">
        <f t="shared" si="316"/>
        <v>#N/A</v>
      </c>
      <c r="JS214" s="109" t="e">
        <f t="shared" si="316"/>
        <v>#N/A</v>
      </c>
      <c r="JT214" s="40" t="e">
        <f>NA()</f>
        <v>#N/A</v>
      </c>
      <c r="JU214" s="40" t="e">
        <f>NA()</f>
        <v>#N/A</v>
      </c>
    </row>
    <row r="215" spans="13:281" x14ac:dyDescent="0.25">
      <c r="M215" s="5" t="str" cm="1">
        <f t="array" ref="M215">LOOKUP(2,1/($G$19:$G$35&lt;=$V215)/($H$19:$H$35&gt;=$V215),$F$19:$F$35)</f>
        <v>2H21</v>
      </c>
      <c r="N215" s="5" t="str" cm="1">
        <f t="array" ref="N215">LOOKUP(2,1/($G$8:$G$16&lt;=$V215)/($H$8:$H$16&gt;=$V215),$F$8:$F$16)</f>
        <v>FY21</v>
      </c>
      <c r="O215" s="5" t="str">
        <f>IFERROR(N215&amp;"-"&amp;COUNTIF($N$19:N215,N215),NA())</f>
        <v>FY21-29</v>
      </c>
      <c r="P215" s="5">
        <f>COUNTIF(V$19:V215,"&gt;="&amp;MAX($V:$V)-183)</f>
        <v>0</v>
      </c>
      <c r="Q215" s="5">
        <f>COUNTIF(V$19:V215,"&gt;="&amp;MAX($V:$V)-365)</f>
        <v>0</v>
      </c>
      <c r="R215" s="5" t="str" cm="1">
        <f t="array" ref="R215">LOOKUP(2,1/($G$46:$G$50&lt;=$V215)/($H$46:$H$50&gt;=$V215),$F$46:$F$50)</f>
        <v>N1</v>
      </c>
      <c r="S215" s="5" cm="1">
        <f t="array" ref="S215">LOOKUP(2,1/($G$53:$G$56&lt;=$V215)/($H$53:$H$56&gt;=$V215),$F$53:$F$56)</f>
        <v>0</v>
      </c>
      <c r="T215" s="5" t="str">
        <f>IFERROR(IF($R215&gt;0,$R215&amp;"-"&amp;COUNTIF($R$19:$R215,$R215),NA()),NA())</f>
        <v>N1-15</v>
      </c>
      <c r="U215" s="5" t="e">
        <f>IFERROR(IF($S215&gt;0,$S215&amp;"-"&amp;COUNTIF($S$19:$S215,$S215),NA()),NA())</f>
        <v>#N/A</v>
      </c>
      <c r="V215" s="10">
        <v>44210</v>
      </c>
      <c r="W215" s="101">
        <v>24054723.502584364</v>
      </c>
      <c r="X215" s="101">
        <v>29185596.025685608</v>
      </c>
      <c r="Y215" s="102">
        <v>8000000</v>
      </c>
      <c r="JE215" s="12" t="str">
        <f t="shared" si="303"/>
        <v>Since FY21</v>
      </c>
      <c r="JF215" s="12">
        <f t="shared" si="303"/>
        <v>45050</v>
      </c>
      <c r="JG215" s="109">
        <f t="shared" si="307"/>
        <v>41.813564487686222</v>
      </c>
      <c r="JH215" s="109">
        <f t="shared" si="307"/>
        <v>20</v>
      </c>
      <c r="JI215" s="109"/>
      <c r="JJ215" s="40"/>
      <c r="JN215" s="12" t="str">
        <f t="shared" si="314"/>
        <v>Since FY21</v>
      </c>
      <c r="JO215" s="12">
        <f t="shared" si="314"/>
        <v>45036</v>
      </c>
      <c r="JP215" s="109">
        <f t="shared" si="315"/>
        <v>21.741040681058067</v>
      </c>
      <c r="JQ215" s="109">
        <f t="shared" si="315"/>
        <v>4</v>
      </c>
      <c r="JR215" s="109" t="e">
        <f t="shared" si="316"/>
        <v>#N/A</v>
      </c>
      <c r="JS215" s="109" t="e">
        <f t="shared" si="316"/>
        <v>#N/A</v>
      </c>
      <c r="JT215" s="40" t="e">
        <f>NA()</f>
        <v>#N/A</v>
      </c>
      <c r="JU215" s="40" t="e">
        <f>NA()</f>
        <v>#N/A</v>
      </c>
    </row>
    <row r="216" spans="13:281" x14ac:dyDescent="0.25">
      <c r="M216" s="5" t="str" cm="1">
        <f t="array" ref="M216">LOOKUP(2,1/($G$19:$G$35&lt;=$V216)/($H$19:$H$35&gt;=$V216),$F$19:$F$35)</f>
        <v>2H21</v>
      </c>
      <c r="N216" s="5" t="str" cm="1">
        <f t="array" ref="N216">LOOKUP(2,1/($G$8:$G$16&lt;=$V216)/($H$8:$H$16&gt;=$V216),$F$8:$F$16)</f>
        <v>FY21</v>
      </c>
      <c r="O216" s="5" t="str">
        <f>IFERROR(N216&amp;"-"&amp;COUNTIF($N$19:N216,N216),NA())</f>
        <v>FY21-30</v>
      </c>
      <c r="P216" s="5">
        <f>COUNTIF(V$19:V216,"&gt;="&amp;MAX($V:$V)-183)</f>
        <v>0</v>
      </c>
      <c r="Q216" s="5">
        <f>COUNTIF(V$19:V216,"&gt;="&amp;MAX($V:$V)-365)</f>
        <v>0</v>
      </c>
      <c r="R216" s="5" t="str" cm="1">
        <f t="array" ref="R216">LOOKUP(2,1/($G$46:$G$50&lt;=$V216)/($H$46:$H$50&gt;=$V216),$F$46:$F$50)</f>
        <v>N1</v>
      </c>
      <c r="S216" s="5" cm="1">
        <f t="array" ref="S216">LOOKUP(2,1/($G$53:$G$56&lt;=$V216)/($H$53:$H$56&gt;=$V216),$F$53:$F$56)</f>
        <v>0</v>
      </c>
      <c r="T216" s="5" t="str">
        <f>IFERROR(IF($R216&gt;0,$R216&amp;"-"&amp;COUNTIF($R$19:$R216,$R216),NA()),NA())</f>
        <v>N1-16</v>
      </c>
      <c r="U216" s="5" t="e">
        <f>IFERROR(IF($S216&gt;0,$S216&amp;"-"&amp;COUNTIF($S$19:$S216,$S216),NA()),NA())</f>
        <v>#N/A</v>
      </c>
      <c r="V216" s="10">
        <v>44217</v>
      </c>
      <c r="W216" s="101">
        <v>39055239.160839155</v>
      </c>
      <c r="X216" s="101">
        <v>47385721.673846148</v>
      </c>
      <c r="Y216" s="102">
        <v>20000000</v>
      </c>
      <c r="JE216" s="12" t="str">
        <f t="shared" si="303"/>
        <v>Since FY21</v>
      </c>
      <c r="JF216" s="12">
        <f t="shared" si="303"/>
        <v>45057</v>
      </c>
      <c r="JG216" s="109">
        <f t="shared" si="307"/>
        <v>19.348700760109455</v>
      </c>
      <c r="JH216" s="109">
        <f t="shared" si="307"/>
        <v>4</v>
      </c>
      <c r="JI216" s="109"/>
      <c r="JJ216" s="40"/>
      <c r="JN216" s="12" t="str">
        <f t="shared" si="314"/>
        <v>Since FY21</v>
      </c>
      <c r="JO216" s="12">
        <f t="shared" si="314"/>
        <v>45043</v>
      </c>
      <c r="JP216" s="109">
        <f t="shared" si="315"/>
        <v>27.045895287321372</v>
      </c>
      <c r="JQ216" s="109">
        <f t="shared" si="315"/>
        <v>8</v>
      </c>
      <c r="JR216" s="109" t="e">
        <f t="shared" si="316"/>
        <v>#N/A</v>
      </c>
      <c r="JS216" s="109" t="e">
        <f t="shared" si="316"/>
        <v>#N/A</v>
      </c>
      <c r="JT216" s="40" t="e">
        <f>NA()</f>
        <v>#N/A</v>
      </c>
      <c r="JU216" s="40" t="e">
        <f>NA()</f>
        <v>#N/A</v>
      </c>
    </row>
    <row r="217" spans="13:281" x14ac:dyDescent="0.25">
      <c r="M217" s="5" t="str" cm="1">
        <f t="array" ref="M217">LOOKUP(2,1/($G$19:$G$35&lt;=$V217)/($H$19:$H$35&gt;=$V217),$F$19:$F$35)</f>
        <v>2H21</v>
      </c>
      <c r="N217" s="5" t="str" cm="1">
        <f t="array" ref="N217">LOOKUP(2,1/($G$8:$G$16&lt;=$V217)/($H$8:$H$16&gt;=$V217),$F$8:$F$16)</f>
        <v>FY21</v>
      </c>
      <c r="O217" s="5" t="str">
        <f>IFERROR(N217&amp;"-"&amp;COUNTIF($N$19:N217,N217),NA())</f>
        <v>FY21-31</v>
      </c>
      <c r="P217" s="5">
        <f>COUNTIF(V$19:V217,"&gt;="&amp;MAX($V:$V)-183)</f>
        <v>0</v>
      </c>
      <c r="Q217" s="5">
        <f>COUNTIF(V$19:V217,"&gt;="&amp;MAX($V:$V)-365)</f>
        <v>0</v>
      </c>
      <c r="R217" s="5" t="str" cm="1">
        <f t="array" ref="R217">LOOKUP(2,1/($G$46:$G$50&lt;=$V217)/($H$46:$H$50&gt;=$V217),$F$46:$F$50)</f>
        <v>A1</v>
      </c>
      <c r="S217" s="5" cm="1">
        <f t="array" ref="S217">LOOKUP(2,1/($G$53:$G$56&lt;=$V217)/($H$53:$H$56&gt;=$V217),$F$53:$F$56)</f>
        <v>0</v>
      </c>
      <c r="T217" s="5" t="str">
        <f>IFERROR(IF($R217&gt;0,$R217&amp;"-"&amp;COUNTIF($R$19:$R217,$R217),NA()),NA())</f>
        <v>A1-1</v>
      </c>
      <c r="U217" s="5" t="e">
        <f>IFERROR(IF($S217&gt;0,$S217&amp;"-"&amp;COUNTIF($S$19:$S217,$S217),NA()),NA())</f>
        <v>#N/A</v>
      </c>
      <c r="V217" s="10">
        <v>44224</v>
      </c>
      <c r="W217" s="101">
        <v>22190279.355427179</v>
      </c>
      <c r="X217" s="101">
        <v>26923465.941939797</v>
      </c>
      <c r="Y217" s="102">
        <v>8000000</v>
      </c>
      <c r="JE217" s="12" t="str">
        <f t="shared" ref="JE217:JE227" si="317">IF(ISBLANK(IW155),NA(),IW155)</f>
        <v>Since FY21</v>
      </c>
      <c r="JF217" s="12">
        <f t="shared" ref="JF217:JF227" si="318">IF(ISBLANK(IX155),NA(),IX155)</f>
        <v>45064</v>
      </c>
      <c r="JG217" s="109">
        <f t="shared" si="307"/>
        <v>19.409982487078139</v>
      </c>
      <c r="JH217" s="109">
        <f t="shared" si="307"/>
        <v>4</v>
      </c>
      <c r="JI217" s="109"/>
      <c r="JJ217" s="40"/>
      <c r="JN217" s="12" t="str">
        <f t="shared" si="314"/>
        <v>Since FY21</v>
      </c>
      <c r="JO217" s="12">
        <f t="shared" si="314"/>
        <v>45050</v>
      </c>
      <c r="JP217" s="109">
        <f t="shared" si="315"/>
        <v>41.813564487686222</v>
      </c>
      <c r="JQ217" s="109">
        <f t="shared" si="315"/>
        <v>20</v>
      </c>
      <c r="JR217" s="109" t="e">
        <f t="shared" si="316"/>
        <v>#N/A</v>
      </c>
      <c r="JS217" s="109" t="e">
        <f t="shared" si="316"/>
        <v>#N/A</v>
      </c>
      <c r="JT217" s="40" t="e">
        <f>NA()</f>
        <v>#N/A</v>
      </c>
      <c r="JU217" s="40" t="e">
        <f>NA()</f>
        <v>#N/A</v>
      </c>
    </row>
    <row r="218" spans="13:281" x14ac:dyDescent="0.25">
      <c r="M218" s="5" t="str" cm="1">
        <f t="array" ref="M218">LOOKUP(2,1/($G$19:$G$35&lt;=$V218)/($H$19:$H$35&gt;=$V218),$F$19:$F$35)</f>
        <v>2H21</v>
      </c>
      <c r="N218" s="5" t="str" cm="1">
        <f t="array" ref="N218">LOOKUP(2,1/($G$8:$G$16&lt;=$V218)/($H$8:$H$16&gt;=$V218),$F$8:$F$16)</f>
        <v>FY21</v>
      </c>
      <c r="O218" s="5" t="str">
        <f>IFERROR(N218&amp;"-"&amp;COUNTIF($N$19:N218,N218),NA())</f>
        <v>FY21-32</v>
      </c>
      <c r="P218" s="5">
        <f>COUNTIF(V$19:V218,"&gt;="&amp;MAX($V:$V)-183)</f>
        <v>0</v>
      </c>
      <c r="Q218" s="5">
        <f>COUNTIF(V$19:V218,"&gt;="&amp;MAX($V:$V)-365)</f>
        <v>0</v>
      </c>
      <c r="R218" s="5" t="str" cm="1">
        <f t="array" ref="R218">LOOKUP(2,1/($G$46:$G$50&lt;=$V218)/($H$46:$H$50&gt;=$V218),$F$46:$F$50)</f>
        <v>A1</v>
      </c>
      <c r="S218" s="5" cm="1">
        <f t="array" ref="S218">LOOKUP(2,1/($G$53:$G$56&lt;=$V218)/($H$53:$H$56&gt;=$V218),$F$53:$F$56)</f>
        <v>0</v>
      </c>
      <c r="T218" s="5" t="str">
        <f>IFERROR(IF($R218&gt;0,$R218&amp;"-"&amp;COUNTIF($R$19:$R218,$R218),NA()),NA())</f>
        <v>A1-2</v>
      </c>
      <c r="U218" s="5" t="e">
        <f>IFERROR(IF($S218&gt;0,$S218&amp;"-"&amp;COUNTIF($S$19:$S218,$S218),NA()),NA())</f>
        <v>#N/A</v>
      </c>
      <c r="V218" s="10">
        <v>44231</v>
      </c>
      <c r="W218" s="101">
        <v>36953457.707509883</v>
      </c>
      <c r="X218" s="101">
        <v>44835630.236521743</v>
      </c>
      <c r="Y218" s="102">
        <v>20000000</v>
      </c>
      <c r="JE218" s="12" t="str">
        <f t="shared" si="317"/>
        <v>Since FY21</v>
      </c>
      <c r="JF218" s="12">
        <f t="shared" si="318"/>
        <v>45071</v>
      </c>
      <c r="JG218" s="109">
        <f t="shared" si="307"/>
        <v>30.887849079219787</v>
      </c>
      <c r="JH218" s="109">
        <f t="shared" si="307"/>
        <v>12</v>
      </c>
      <c r="JI218" s="109"/>
      <c r="JJ218" s="40"/>
      <c r="JN218" s="12" t="str">
        <f t="shared" si="314"/>
        <v>Since FY21</v>
      </c>
      <c r="JO218" s="12">
        <f t="shared" si="314"/>
        <v>45057</v>
      </c>
      <c r="JP218" s="109">
        <f t="shared" si="315"/>
        <v>19.348700760109455</v>
      </c>
      <c r="JQ218" s="109">
        <f t="shared" si="315"/>
        <v>4</v>
      </c>
      <c r="JR218" s="109" t="e">
        <f t="shared" si="316"/>
        <v>#N/A</v>
      </c>
      <c r="JS218" s="109" t="e">
        <f t="shared" si="316"/>
        <v>#N/A</v>
      </c>
      <c r="JT218" s="40" t="e">
        <f>NA()</f>
        <v>#N/A</v>
      </c>
      <c r="JU218" s="40" t="e">
        <f>NA()</f>
        <v>#N/A</v>
      </c>
    </row>
    <row r="219" spans="13:281" x14ac:dyDescent="0.25">
      <c r="M219" s="5" t="str" cm="1">
        <f t="array" ref="M219">LOOKUP(2,1/($G$19:$G$35&lt;=$V219)/($H$19:$H$35&gt;=$V219),$F$19:$F$35)</f>
        <v>2H21</v>
      </c>
      <c r="N219" s="5" t="str" cm="1">
        <f t="array" ref="N219">LOOKUP(2,1/($G$8:$G$16&lt;=$V219)/($H$8:$H$16&gt;=$V219),$F$8:$F$16)</f>
        <v>FY21</v>
      </c>
      <c r="O219" s="5" t="str">
        <f>IFERROR(N219&amp;"-"&amp;COUNTIF($N$19:N219,N219),NA())</f>
        <v>FY21-33</v>
      </c>
      <c r="P219" s="5">
        <f>COUNTIF(V$19:V219,"&gt;="&amp;MAX($V:$V)-183)</f>
        <v>0</v>
      </c>
      <c r="Q219" s="5">
        <f>COUNTIF(V$19:V219,"&gt;="&amp;MAX($V:$V)-365)</f>
        <v>0</v>
      </c>
      <c r="R219" s="5" t="str" cm="1">
        <f t="array" ref="R219">LOOKUP(2,1/($G$46:$G$50&lt;=$V219)/($H$46:$H$50&gt;=$V219),$F$46:$F$50)</f>
        <v>A1</v>
      </c>
      <c r="S219" s="5" cm="1">
        <f t="array" ref="S219">LOOKUP(2,1/($G$53:$G$56&lt;=$V219)/($H$53:$H$56&gt;=$V219),$F$53:$F$56)</f>
        <v>0</v>
      </c>
      <c r="T219" s="5" t="str">
        <f>IFERROR(IF($R219&gt;0,$R219&amp;"-"&amp;COUNTIF($R$19:$R219,$R219),NA()),NA())</f>
        <v>A1-3</v>
      </c>
      <c r="U219" s="5" t="e">
        <f>IFERROR(IF($S219&gt;0,$S219&amp;"-"&amp;COUNTIF($S$19:$S219,$S219),NA()),NA())</f>
        <v>#N/A</v>
      </c>
      <c r="V219" s="10">
        <v>44238</v>
      </c>
      <c r="W219" s="101">
        <v>48994890.605047114</v>
      </c>
      <c r="X219" s="101">
        <v>59445500.771103665</v>
      </c>
      <c r="Y219" s="102">
        <v>30000000</v>
      </c>
      <c r="JE219" s="12" t="str">
        <f t="shared" si="317"/>
        <v>Since FY21</v>
      </c>
      <c r="JF219" s="12">
        <f t="shared" si="318"/>
        <v>45078</v>
      </c>
      <c r="JG219" s="109">
        <f t="shared" si="307"/>
        <v>40.719506810504527</v>
      </c>
      <c r="JH219" s="109">
        <f t="shared" si="307"/>
        <v>20</v>
      </c>
      <c r="JI219" s="109"/>
      <c r="JJ219" s="40"/>
      <c r="JN219" s="12" t="str">
        <f t="shared" si="314"/>
        <v>Since FY21</v>
      </c>
      <c r="JO219" s="12">
        <f t="shared" si="314"/>
        <v>45064</v>
      </c>
      <c r="JP219" s="109">
        <f t="shared" si="315"/>
        <v>19.409982487078139</v>
      </c>
      <c r="JQ219" s="109">
        <f t="shared" si="315"/>
        <v>4</v>
      </c>
      <c r="JR219" s="109" t="e">
        <f t="shared" si="316"/>
        <v>#N/A</v>
      </c>
      <c r="JS219" s="109" t="e">
        <f t="shared" si="316"/>
        <v>#N/A</v>
      </c>
      <c r="JT219" s="40" t="e">
        <f>NA()</f>
        <v>#N/A</v>
      </c>
      <c r="JU219" s="40" t="e">
        <f>NA()</f>
        <v>#N/A</v>
      </c>
    </row>
    <row r="220" spans="13:281" x14ac:dyDescent="0.25">
      <c r="M220" s="5" t="str" cm="1">
        <f t="array" ref="M220">LOOKUP(2,1/($G$19:$G$35&lt;=$V220)/($H$19:$H$35&gt;=$V220),$F$19:$F$35)</f>
        <v>2H21</v>
      </c>
      <c r="N220" s="5" t="str" cm="1">
        <f t="array" ref="N220">LOOKUP(2,1/($G$8:$G$16&lt;=$V220)/($H$8:$H$16&gt;=$V220),$F$8:$F$16)</f>
        <v>FY21</v>
      </c>
      <c r="O220" s="5" t="str">
        <f>IFERROR(N220&amp;"-"&amp;COUNTIF($N$19:N220,N220),NA())</f>
        <v>FY21-34</v>
      </c>
      <c r="P220" s="5">
        <f>COUNTIF(V$19:V220,"&gt;="&amp;MAX($V:$V)-183)</f>
        <v>0</v>
      </c>
      <c r="Q220" s="5">
        <f>COUNTIF(V$19:V220,"&gt;="&amp;MAX($V:$V)-365)</f>
        <v>0</v>
      </c>
      <c r="R220" s="5" t="str" cm="1">
        <f t="array" ref="R220">LOOKUP(2,1/($G$46:$G$50&lt;=$V220)/($H$46:$H$50&gt;=$V220),$F$46:$F$50)</f>
        <v>A1</v>
      </c>
      <c r="S220" s="5" cm="1">
        <f t="array" ref="S220">LOOKUP(2,1/($G$53:$G$56&lt;=$V220)/($H$53:$H$56&gt;=$V220),$F$53:$F$56)</f>
        <v>0</v>
      </c>
      <c r="T220" s="5" t="str">
        <f>IFERROR(IF($R220&gt;0,$R220&amp;"-"&amp;COUNTIF($R$19:$R220,$R220),NA()),NA())</f>
        <v>A1-4</v>
      </c>
      <c r="U220" s="5" t="e">
        <f>IFERROR(IF($S220&gt;0,$S220&amp;"-"&amp;COUNTIF($S$19:$S220,$S220),NA()),NA())</f>
        <v>#N/A</v>
      </c>
      <c r="V220" s="10">
        <v>44245</v>
      </c>
      <c r="W220" s="101">
        <v>78306876.740650654</v>
      </c>
      <c r="X220" s="101">
        <v>95009733.549431443</v>
      </c>
      <c r="Y220" s="102">
        <v>50000000</v>
      </c>
      <c r="JE220" s="12" t="str">
        <f t="shared" si="317"/>
        <v>Since FY21</v>
      </c>
      <c r="JF220" s="12">
        <f t="shared" si="318"/>
        <v>45085</v>
      </c>
      <c r="JG220" s="109">
        <f t="shared" si="307"/>
        <v>56.400732701318518</v>
      </c>
      <c r="JH220" s="109">
        <f t="shared" si="307"/>
        <v>40</v>
      </c>
      <c r="JI220" s="109"/>
      <c r="JJ220" s="40"/>
      <c r="JN220" s="12" t="str">
        <f t="shared" si="314"/>
        <v>Since FY21</v>
      </c>
      <c r="JO220" s="12">
        <f t="shared" si="314"/>
        <v>45071</v>
      </c>
      <c r="JP220" s="109">
        <f t="shared" si="315"/>
        <v>30.887849079219787</v>
      </c>
      <c r="JQ220" s="109">
        <f t="shared" si="315"/>
        <v>12</v>
      </c>
      <c r="JR220" s="109" t="e">
        <f t="shared" si="316"/>
        <v>#N/A</v>
      </c>
      <c r="JS220" s="109" t="e">
        <f t="shared" si="316"/>
        <v>#N/A</v>
      </c>
      <c r="JT220" s="40" t="e">
        <f>NA()</f>
        <v>#N/A</v>
      </c>
      <c r="JU220" s="40" t="e">
        <f>NA()</f>
        <v>#N/A</v>
      </c>
    </row>
    <row r="221" spans="13:281" x14ac:dyDescent="0.25">
      <c r="M221" s="5" t="str" cm="1">
        <f t="array" ref="M221">LOOKUP(2,1/($G$19:$G$35&lt;=$V221)/($H$19:$H$35&gt;=$V221),$F$19:$F$35)</f>
        <v>2H21</v>
      </c>
      <c r="N221" s="5" t="str" cm="1">
        <f t="array" ref="N221">LOOKUP(2,1/($G$8:$G$16&lt;=$V221)/($H$8:$H$16&gt;=$V221),$F$8:$F$16)</f>
        <v>FY21</v>
      </c>
      <c r="O221" s="5" t="str">
        <f>IFERROR(N221&amp;"-"&amp;COUNTIF($N$19:N221,N221),NA())</f>
        <v>FY21-35</v>
      </c>
      <c r="P221" s="5">
        <f>COUNTIF(V$19:V221,"&gt;="&amp;MAX($V:$V)-183)</f>
        <v>0</v>
      </c>
      <c r="Q221" s="5">
        <f>COUNTIF(V$19:V221,"&gt;="&amp;MAX($V:$V)-365)</f>
        <v>0</v>
      </c>
      <c r="R221" s="5" t="str" cm="1">
        <f t="array" ref="R221">LOOKUP(2,1/($G$46:$G$50&lt;=$V221)/($H$46:$H$50&gt;=$V221),$F$46:$F$50)</f>
        <v>A1</v>
      </c>
      <c r="S221" s="5" cm="1">
        <f t="array" ref="S221">LOOKUP(2,1/($G$53:$G$56&lt;=$V221)/($H$53:$H$56&gt;=$V221),$F$53:$F$56)</f>
        <v>0</v>
      </c>
      <c r="T221" s="5" t="str">
        <f>IFERROR(IF($R221&gt;0,$R221&amp;"-"&amp;COUNTIF($R$19:$R221,$R221),NA()),NA())</f>
        <v>A1-5</v>
      </c>
      <c r="U221" s="5" t="e">
        <f>IFERROR(IF($S221&gt;0,$S221&amp;"-"&amp;COUNTIF($S$19:$S221,$S221),NA()),NA())</f>
        <v>#N/A</v>
      </c>
      <c r="V221" s="10">
        <v>44252</v>
      </c>
      <c r="W221" s="101">
        <v>22972673.761021584</v>
      </c>
      <c r="X221" s="101">
        <v>27872745.074247491</v>
      </c>
      <c r="Y221" s="102">
        <v>8000000</v>
      </c>
      <c r="JE221" s="12" t="str">
        <f t="shared" si="317"/>
        <v>Since FY21</v>
      </c>
      <c r="JF221" s="12">
        <f t="shared" si="318"/>
        <v>45092</v>
      </c>
      <c r="JG221" s="109">
        <f t="shared" si="307"/>
        <v>87.731429334205075</v>
      </c>
      <c r="JH221" s="109">
        <f t="shared" si="307"/>
        <v>60</v>
      </c>
      <c r="JI221" s="109"/>
      <c r="JJ221" s="40"/>
      <c r="JN221" s="12" t="str">
        <f t="shared" si="314"/>
        <v>Since FY21</v>
      </c>
      <c r="JO221" s="12">
        <f t="shared" si="314"/>
        <v>45078</v>
      </c>
      <c r="JP221" s="109">
        <f t="shared" si="315"/>
        <v>40.719506810504527</v>
      </c>
      <c r="JQ221" s="109">
        <f t="shared" si="315"/>
        <v>20</v>
      </c>
      <c r="JR221" s="109" t="e">
        <f t="shared" si="316"/>
        <v>#N/A</v>
      </c>
      <c r="JS221" s="109" t="e">
        <f t="shared" si="316"/>
        <v>#N/A</v>
      </c>
      <c r="JT221" s="40" t="e">
        <f>NA()</f>
        <v>#N/A</v>
      </c>
      <c r="JU221" s="40" t="e">
        <f>NA()</f>
        <v>#N/A</v>
      </c>
    </row>
    <row r="222" spans="13:281" x14ac:dyDescent="0.25">
      <c r="M222" s="5" t="str" cm="1">
        <f t="array" ref="M222">LOOKUP(2,1/($G$19:$G$35&lt;=$V222)/($H$19:$H$35&gt;=$V222),$F$19:$F$35)</f>
        <v>2H21</v>
      </c>
      <c r="N222" s="5" t="str" cm="1">
        <f t="array" ref="N222">LOOKUP(2,1/($G$8:$G$16&lt;=$V222)/($H$8:$H$16&gt;=$V222),$F$8:$F$16)</f>
        <v>FY21</v>
      </c>
      <c r="O222" s="5" t="str">
        <f>IFERROR(N222&amp;"-"&amp;COUNTIF($N$19:N222,N222),NA())</f>
        <v>FY21-36</v>
      </c>
      <c r="P222" s="5">
        <f>COUNTIF(V$19:V222,"&gt;="&amp;MAX($V:$V)-183)</f>
        <v>0</v>
      </c>
      <c r="Q222" s="5">
        <f>COUNTIF(V$19:V222,"&gt;="&amp;MAX($V:$V)-365)</f>
        <v>0</v>
      </c>
      <c r="R222" s="5" t="str" cm="1">
        <f t="array" ref="R222">LOOKUP(2,1/($G$46:$G$50&lt;=$V222)/($H$46:$H$50&gt;=$V222),$F$46:$F$50)</f>
        <v>A1</v>
      </c>
      <c r="S222" s="5" cm="1">
        <f t="array" ref="S222">LOOKUP(2,1/($G$53:$G$56&lt;=$V222)/($H$53:$H$56&gt;=$V222),$F$53:$F$56)</f>
        <v>0</v>
      </c>
      <c r="T222" s="5" t="str">
        <f>IFERROR(IF($R222&gt;0,$R222&amp;"-"&amp;COUNTIF($R$19:$R222,$R222),NA()),NA())</f>
        <v>A1-6</v>
      </c>
      <c r="U222" s="5" t="e">
        <f>IFERROR(IF($S222&gt;0,$S222&amp;"-"&amp;COUNTIF($S$19:$S222,$S222),NA()),NA())</f>
        <v>#N/A</v>
      </c>
      <c r="V222" s="10">
        <v>44259</v>
      </c>
      <c r="W222" s="101">
        <v>37058402.918820314</v>
      </c>
      <c r="X222" s="101">
        <v>44962960.261404686</v>
      </c>
      <c r="Y222" s="102">
        <v>20000000</v>
      </c>
      <c r="JE222" s="12" t="str">
        <f t="shared" si="317"/>
        <v>Since FY21</v>
      </c>
      <c r="JF222" s="12">
        <f t="shared" si="318"/>
        <v>45099</v>
      </c>
      <c r="JG222" s="109">
        <f t="shared" si="307"/>
        <v>169.14758330609132</v>
      </c>
      <c r="JH222" s="109">
        <f t="shared" si="307"/>
        <v>100</v>
      </c>
      <c r="JI222" s="109"/>
      <c r="JJ222" s="40"/>
      <c r="JN222" s="12" t="str">
        <f t="shared" si="314"/>
        <v>Since FY21</v>
      </c>
      <c r="JO222" s="12">
        <f t="shared" si="314"/>
        <v>45085</v>
      </c>
      <c r="JP222" s="109">
        <f t="shared" si="315"/>
        <v>56.400732701318518</v>
      </c>
      <c r="JQ222" s="109">
        <f t="shared" si="315"/>
        <v>40</v>
      </c>
      <c r="JR222" s="109" t="e">
        <f t="shared" si="316"/>
        <v>#N/A</v>
      </c>
      <c r="JS222" s="109" t="e">
        <f t="shared" si="316"/>
        <v>#N/A</v>
      </c>
      <c r="JT222" s="40" t="e">
        <f>NA()</f>
        <v>#N/A</v>
      </c>
      <c r="JU222" s="40" t="e">
        <f>NA()</f>
        <v>#N/A</v>
      </c>
    </row>
    <row r="223" spans="13:281" x14ac:dyDescent="0.25">
      <c r="M223" s="5" t="str" cm="1">
        <f t="array" ref="M223">LOOKUP(2,1/($G$19:$G$35&lt;=$V223)/($H$19:$H$35&gt;=$V223),$F$19:$F$35)</f>
        <v>2H21</v>
      </c>
      <c r="N223" s="5" t="str" cm="1">
        <f t="array" ref="N223">LOOKUP(2,1/($G$8:$G$16&lt;=$V223)/($H$8:$H$16&gt;=$V223),$F$8:$F$16)</f>
        <v>FY21</v>
      </c>
      <c r="O223" s="5" t="str">
        <f>IFERROR(N223&amp;"-"&amp;COUNTIF($N$19:N223,N223),NA())</f>
        <v>FY21-37</v>
      </c>
      <c r="P223" s="5">
        <f>COUNTIF(V$19:V223,"&gt;="&amp;MAX($V:$V)-183)</f>
        <v>0</v>
      </c>
      <c r="Q223" s="5">
        <f>COUNTIF(V$19:V223,"&gt;="&amp;MAX($V:$V)-365)</f>
        <v>0</v>
      </c>
      <c r="R223" s="5" t="str" cm="1">
        <f t="array" ref="R223">LOOKUP(2,1/($G$46:$G$50&lt;=$V223)/($H$46:$H$50&gt;=$V223),$F$46:$F$50)</f>
        <v>A1</v>
      </c>
      <c r="S223" s="5" cm="1">
        <f t="array" ref="S223">LOOKUP(2,1/($G$53:$G$56&lt;=$V223)/($H$53:$H$56&gt;=$V223),$F$53:$F$56)</f>
        <v>0</v>
      </c>
      <c r="T223" s="5" t="str">
        <f>IFERROR(IF($R223&gt;0,$R223&amp;"-"&amp;COUNTIF($R$19:$R223,$R223),NA()),NA())</f>
        <v>A1-7</v>
      </c>
      <c r="U223" s="5" t="e">
        <f>IFERROR(IF($S223&gt;0,$S223&amp;"-"&amp;COUNTIF($S$19:$S223,$S223),NA()),NA())</f>
        <v>#N/A</v>
      </c>
      <c r="V223" s="10">
        <v>44266</v>
      </c>
      <c r="W223" s="101">
        <v>45393461.35603527</v>
      </c>
      <c r="X223" s="101">
        <v>55075886.663277596</v>
      </c>
      <c r="Y223" s="102">
        <v>30000000</v>
      </c>
      <c r="JE223" s="12" t="str">
        <f t="shared" si="317"/>
        <v>Since FY21</v>
      </c>
      <c r="JF223" s="12">
        <f t="shared" si="318"/>
        <v>45106</v>
      </c>
      <c r="JG223" s="109">
        <f t="shared" si="307"/>
        <v>19.52442312302496</v>
      </c>
      <c r="JH223" s="109">
        <f t="shared" si="307"/>
        <v>4</v>
      </c>
      <c r="JI223" s="109"/>
      <c r="JJ223" s="40"/>
      <c r="JN223" s="12" t="str">
        <f t="shared" si="314"/>
        <v>Since FY21</v>
      </c>
      <c r="JO223" s="12">
        <f t="shared" si="314"/>
        <v>45092</v>
      </c>
      <c r="JP223" s="109">
        <f t="shared" si="315"/>
        <v>87.731429334205075</v>
      </c>
      <c r="JQ223" s="109">
        <f t="shared" si="315"/>
        <v>60</v>
      </c>
      <c r="JR223" s="109" t="e">
        <f t="shared" si="316"/>
        <v>#N/A</v>
      </c>
      <c r="JS223" s="109" t="e">
        <f t="shared" si="316"/>
        <v>#N/A</v>
      </c>
      <c r="JT223" s="40" t="e">
        <f>NA()</f>
        <v>#N/A</v>
      </c>
      <c r="JU223" s="40" t="e">
        <f>NA()</f>
        <v>#N/A</v>
      </c>
    </row>
    <row r="224" spans="13:281" x14ac:dyDescent="0.25">
      <c r="M224" s="5" t="str" cm="1">
        <f t="array" ref="M224">LOOKUP(2,1/($G$19:$G$35&lt;=$V224)/($H$19:$H$35&gt;=$V224),$F$19:$F$35)</f>
        <v>2H21</v>
      </c>
      <c r="N224" s="5" t="str" cm="1">
        <f t="array" ref="N224">LOOKUP(2,1/($G$8:$G$16&lt;=$V224)/($H$8:$H$16&gt;=$V224),$F$8:$F$16)</f>
        <v>FY21</v>
      </c>
      <c r="O224" s="5" t="str">
        <f>IFERROR(N224&amp;"-"&amp;COUNTIF($N$19:N224,N224),NA())</f>
        <v>FY21-38</v>
      </c>
      <c r="P224" s="5">
        <f>COUNTIF(V$19:V224,"&gt;="&amp;MAX($V:$V)-183)</f>
        <v>0</v>
      </c>
      <c r="Q224" s="5">
        <f>COUNTIF(V$19:V224,"&gt;="&amp;MAX($V:$V)-365)</f>
        <v>0</v>
      </c>
      <c r="R224" s="5" t="str" cm="1">
        <f t="array" ref="R224">LOOKUP(2,1/($G$46:$G$50&lt;=$V224)/($H$46:$H$50&gt;=$V224),$F$46:$F$50)</f>
        <v>A1</v>
      </c>
      <c r="S224" s="5" cm="1">
        <f t="array" ref="S224">LOOKUP(2,1/($G$53:$G$56&lt;=$V224)/($H$53:$H$56&gt;=$V224),$F$53:$F$56)</f>
        <v>0</v>
      </c>
      <c r="T224" s="5" t="str">
        <f>IFERROR(IF($R224&gt;0,$R224&amp;"-"&amp;COUNTIF($R$19:$R224,$R224),NA()),NA())</f>
        <v>A1-8</v>
      </c>
      <c r="U224" s="5" t="e">
        <f>IFERROR(IF($S224&gt;0,$S224&amp;"-"&amp;COUNTIF($S$19:$S224,$S224),NA()),NA())</f>
        <v>#N/A</v>
      </c>
      <c r="V224" s="10">
        <v>44273</v>
      </c>
      <c r="W224" s="101">
        <v>69997466.46397081</v>
      </c>
      <c r="X224" s="101">
        <v>84927926.060735792</v>
      </c>
      <c r="Y224" s="102">
        <v>50000000</v>
      </c>
      <c r="JE224" s="12" t="str">
        <f t="shared" si="317"/>
        <v>Since FY21</v>
      </c>
      <c r="JF224" s="12">
        <f t="shared" si="318"/>
        <v>45113</v>
      </c>
      <c r="JG224" s="109">
        <f t="shared" si="307"/>
        <v>31.154789255748071</v>
      </c>
      <c r="JH224" s="109">
        <f t="shared" si="307"/>
        <v>12</v>
      </c>
      <c r="JI224" s="109"/>
      <c r="JJ224" s="40"/>
      <c r="JN224" s="12" t="e">
        <f t="shared" si="314"/>
        <v>#N/A</v>
      </c>
      <c r="JO224" s="12" t="e">
        <f t="shared" si="314"/>
        <v>#N/A</v>
      </c>
      <c r="JP224" s="109" t="e">
        <f t="shared" si="315"/>
        <v>#N/A</v>
      </c>
      <c r="JQ224" s="109" t="e">
        <f t="shared" si="315"/>
        <v>#N/A</v>
      </c>
      <c r="JR224" s="109">
        <f t="shared" si="316"/>
        <v>169.14758330609132</v>
      </c>
      <c r="JS224" s="109">
        <f t="shared" si="316"/>
        <v>100</v>
      </c>
      <c r="JT224" s="40" t="e">
        <f>NA()</f>
        <v>#N/A</v>
      </c>
      <c r="JU224" s="40" t="e">
        <f>NA()</f>
        <v>#N/A</v>
      </c>
    </row>
    <row r="225" spans="13:281" x14ac:dyDescent="0.25">
      <c r="M225" s="5" t="str" cm="1">
        <f t="array" ref="M225">LOOKUP(2,1/($G$19:$G$35&lt;=$V225)/($H$19:$H$35&gt;=$V225),$F$19:$F$35)</f>
        <v>2H21</v>
      </c>
      <c r="N225" s="5" t="str" cm="1">
        <f t="array" ref="N225">LOOKUP(2,1/($G$8:$G$16&lt;=$V225)/($H$8:$H$16&gt;=$V225),$F$8:$F$16)</f>
        <v>FY21</v>
      </c>
      <c r="O225" s="5" t="str">
        <f>IFERROR(N225&amp;"-"&amp;COUNTIF($N$19:N225,N225),NA())</f>
        <v>FY21-39</v>
      </c>
      <c r="P225" s="5">
        <f>COUNTIF(V$19:V225,"&gt;="&amp;MAX($V:$V)-183)</f>
        <v>0</v>
      </c>
      <c r="Q225" s="5">
        <f>COUNTIF(V$19:V225,"&gt;="&amp;MAX($V:$V)-365)</f>
        <v>0</v>
      </c>
      <c r="R225" s="5" t="str" cm="1">
        <f t="array" ref="R225">LOOKUP(2,1/($G$46:$G$50&lt;=$V225)/($H$46:$H$50&gt;=$V225),$F$46:$F$50)</f>
        <v>A1</v>
      </c>
      <c r="S225" s="5" cm="1">
        <f t="array" ref="S225">LOOKUP(2,1/($G$53:$G$56&lt;=$V225)/($H$53:$H$56&gt;=$V225),$F$53:$F$56)</f>
        <v>0</v>
      </c>
      <c r="T225" s="5" t="str">
        <f>IFERROR(IF($R225&gt;0,$R225&amp;"-"&amp;COUNTIF($R$19:$R225,$R225),NA()),NA())</f>
        <v>A1-9</v>
      </c>
      <c r="U225" s="5" t="e">
        <f>IFERROR(IF($S225&gt;0,$S225&amp;"-"&amp;COUNTIF($S$19:$S225,$S225),NA()),NA())</f>
        <v>#N/A</v>
      </c>
      <c r="V225" s="10">
        <v>44280</v>
      </c>
      <c r="W225" s="101">
        <v>23504738.218303431</v>
      </c>
      <c r="X225" s="101">
        <v>28518298.880267553</v>
      </c>
      <c r="Y225" s="102">
        <v>8000000</v>
      </c>
      <c r="JE225" s="12" t="str">
        <f t="shared" si="317"/>
        <v>Since FY21</v>
      </c>
      <c r="JF225" s="12">
        <f t="shared" si="318"/>
        <v>45120</v>
      </c>
      <c r="JG225" s="109">
        <f t="shared" si="307"/>
        <v>40.570238531110391</v>
      </c>
      <c r="JH225" s="109">
        <f t="shared" si="307"/>
        <v>20</v>
      </c>
      <c r="JI225" s="109"/>
      <c r="JJ225" s="40"/>
      <c r="JN225" s="12" t="str">
        <f t="shared" si="314"/>
        <v>Since FY21</v>
      </c>
      <c r="JO225" s="12">
        <f t="shared" si="314"/>
        <v>45106</v>
      </c>
      <c r="JP225" s="109">
        <f t="shared" si="315"/>
        <v>19.52442312302496</v>
      </c>
      <c r="JQ225" s="109">
        <f t="shared" si="315"/>
        <v>4</v>
      </c>
      <c r="JR225" s="109" t="e">
        <f t="shared" si="316"/>
        <v>#N/A</v>
      </c>
      <c r="JS225" s="109" t="e">
        <f t="shared" si="316"/>
        <v>#N/A</v>
      </c>
      <c r="JT225" s="40" t="e">
        <f>NA()</f>
        <v>#N/A</v>
      </c>
      <c r="JU225" s="40" t="e">
        <f>NA()</f>
        <v>#N/A</v>
      </c>
    </row>
    <row r="226" spans="13:281" x14ac:dyDescent="0.25">
      <c r="M226" s="5" t="str" cm="1">
        <f t="array" ref="M226">LOOKUP(2,1/($G$19:$G$35&lt;=$V226)/($H$19:$H$35&gt;=$V226),$F$19:$F$35)</f>
        <v>2H21</v>
      </c>
      <c r="N226" s="5" t="str" cm="1">
        <f t="array" ref="N226">LOOKUP(2,1/($G$8:$G$16&lt;=$V226)/($H$8:$H$16&gt;=$V226),$F$8:$F$16)</f>
        <v>FY21</v>
      </c>
      <c r="O226" s="5" t="str">
        <f>IFERROR(N226&amp;"-"&amp;COUNTIF($N$19:N226,N226),NA())</f>
        <v>FY21-40</v>
      </c>
      <c r="P226" s="5">
        <f>COUNTIF(V$19:V226,"&gt;="&amp;MAX($V:$V)-183)</f>
        <v>0</v>
      </c>
      <c r="Q226" s="5">
        <f>COUNTIF(V$19:V226,"&gt;="&amp;MAX($V:$V)-365)</f>
        <v>0</v>
      </c>
      <c r="R226" s="5" t="str" cm="1">
        <f t="array" ref="R226">LOOKUP(2,1/($G$46:$G$50&lt;=$V226)/($H$46:$H$50&gt;=$V226),$F$46:$F$50)</f>
        <v>A1</v>
      </c>
      <c r="S226" s="5" cm="1">
        <f t="array" ref="S226">LOOKUP(2,1/($G$53:$G$56&lt;=$V226)/($H$53:$H$56&gt;=$V226),$F$53:$F$56)</f>
        <v>0</v>
      </c>
      <c r="T226" s="5" t="str">
        <f>IFERROR(IF($R226&gt;0,$R226&amp;"-"&amp;COUNTIF($R$19:$R226,$R226),NA()),NA())</f>
        <v>A1-10</v>
      </c>
      <c r="U226" s="5" t="e">
        <f>IFERROR(IF($S226&gt;0,$S226&amp;"-"&amp;COUNTIF($S$19:$S226,$S226),NA()),NA())</f>
        <v>#N/A</v>
      </c>
      <c r="V226" s="10">
        <v>44287</v>
      </c>
      <c r="W226" s="101">
        <v>37212500.334448159</v>
      </c>
      <c r="X226" s="101">
        <v>45149926.655785955</v>
      </c>
      <c r="Y226" s="102">
        <v>20000000</v>
      </c>
      <c r="JE226" s="12" t="str">
        <f t="shared" si="317"/>
        <v>Since FY21</v>
      </c>
      <c r="JF226" s="12">
        <f t="shared" si="318"/>
        <v>45127</v>
      </c>
      <c r="JG226" s="109">
        <f t="shared" si="307"/>
        <v>60.8369621880789</v>
      </c>
      <c r="JH226" s="109">
        <f t="shared" si="307"/>
        <v>40</v>
      </c>
      <c r="JI226" s="109"/>
      <c r="JJ226" s="40"/>
      <c r="JN226" s="12" t="str">
        <f t="shared" si="314"/>
        <v>Since FY21</v>
      </c>
      <c r="JO226" s="12">
        <f t="shared" si="314"/>
        <v>45113</v>
      </c>
      <c r="JP226" s="109">
        <f t="shared" si="315"/>
        <v>31.154789255748071</v>
      </c>
      <c r="JQ226" s="109">
        <f t="shared" si="315"/>
        <v>12</v>
      </c>
      <c r="JR226" s="109" t="e">
        <f t="shared" si="316"/>
        <v>#N/A</v>
      </c>
      <c r="JS226" s="109" t="e">
        <f t="shared" si="316"/>
        <v>#N/A</v>
      </c>
      <c r="JT226" s="40" t="e">
        <f>NA()</f>
        <v>#N/A</v>
      </c>
      <c r="JU226" s="40" t="e">
        <f>NA()</f>
        <v>#N/A</v>
      </c>
    </row>
    <row r="227" spans="13:281" x14ac:dyDescent="0.25">
      <c r="M227" s="5" t="str" cm="1">
        <f t="array" ref="M227">LOOKUP(2,1/($G$19:$G$35&lt;=$V227)/($H$19:$H$35&gt;=$V227),$F$19:$F$35)</f>
        <v>2H21</v>
      </c>
      <c r="N227" s="5" t="str" cm="1">
        <f t="array" ref="N227">LOOKUP(2,1/($G$8:$G$16&lt;=$V227)/($H$8:$H$16&gt;=$V227),$F$8:$F$16)</f>
        <v>FY21</v>
      </c>
      <c r="O227" s="5" t="str">
        <f>IFERROR(N227&amp;"-"&amp;COUNTIF($N$19:N227,N227),NA())</f>
        <v>FY21-41</v>
      </c>
      <c r="P227" s="5">
        <f>COUNTIF(V$19:V227,"&gt;="&amp;MAX($V:$V)-183)</f>
        <v>0</v>
      </c>
      <c r="Q227" s="5">
        <f>COUNTIF(V$19:V227,"&gt;="&amp;MAX($V:$V)-365)</f>
        <v>0</v>
      </c>
      <c r="R227" s="5" t="str" cm="1">
        <f t="array" ref="R227">LOOKUP(2,1/($G$46:$G$50&lt;=$V227)/($H$46:$H$50&gt;=$V227),$F$46:$F$50)</f>
        <v>A1</v>
      </c>
      <c r="S227" s="5" cm="1">
        <f t="array" ref="S227">LOOKUP(2,1/($G$53:$G$56&lt;=$V227)/($H$53:$H$56&gt;=$V227),$F$53:$F$56)</f>
        <v>0</v>
      </c>
      <c r="T227" s="5" t="str">
        <f>IFERROR(IF($R227&gt;0,$R227&amp;"-"&amp;COUNTIF($R$19:$R227,$R227),NA()),NA())</f>
        <v>A1-11</v>
      </c>
      <c r="U227" s="5" t="e">
        <f>IFERROR(IF($S227&gt;0,$S227&amp;"-"&amp;COUNTIF($S$19:$S227,$S227),NA()),NA())</f>
        <v>#N/A</v>
      </c>
      <c r="V227" s="10">
        <v>44294</v>
      </c>
      <c r="W227" s="101">
        <v>41866552.508361198</v>
      </c>
      <c r="X227" s="101">
        <v>50796688.158394642</v>
      </c>
      <c r="Y227" s="102">
        <v>30000000</v>
      </c>
      <c r="JE227" s="12" t="str">
        <f t="shared" si="317"/>
        <v>Since FY21</v>
      </c>
      <c r="JF227" s="12">
        <f t="shared" si="318"/>
        <v>45134</v>
      </c>
      <c r="JG227" s="109">
        <f t="shared" si="307"/>
        <v>84.639629072681714</v>
      </c>
      <c r="JH227" s="109">
        <f t="shared" si="307"/>
        <v>60</v>
      </c>
      <c r="JI227" s="109"/>
      <c r="JJ227" s="40"/>
      <c r="JN227" s="12" t="str">
        <f t="shared" si="314"/>
        <v>Since FY21</v>
      </c>
      <c r="JO227" s="12">
        <f t="shared" si="314"/>
        <v>45120</v>
      </c>
      <c r="JP227" s="109">
        <f t="shared" si="315"/>
        <v>40.570238531110391</v>
      </c>
      <c r="JQ227" s="109">
        <f t="shared" si="315"/>
        <v>20</v>
      </c>
      <c r="JR227" s="109" t="e">
        <f t="shared" si="316"/>
        <v>#N/A</v>
      </c>
      <c r="JS227" s="109" t="e">
        <f t="shared" si="316"/>
        <v>#N/A</v>
      </c>
      <c r="JT227" s="40" t="e">
        <f>NA()</f>
        <v>#N/A</v>
      </c>
      <c r="JU227" s="40" t="e">
        <f>NA()</f>
        <v>#N/A</v>
      </c>
    </row>
    <row r="228" spans="13:281" x14ac:dyDescent="0.25">
      <c r="M228" s="5" t="str" cm="1">
        <f t="array" ref="M228">LOOKUP(2,1/($G$19:$G$35&lt;=$V228)/($H$19:$H$35&gt;=$V228),$F$19:$F$35)</f>
        <v>2H21</v>
      </c>
      <c r="N228" s="5" t="str" cm="1">
        <f t="array" ref="N228">LOOKUP(2,1/($G$8:$G$16&lt;=$V228)/($H$8:$H$16&gt;=$V228),$F$8:$F$16)</f>
        <v>FY21</v>
      </c>
      <c r="O228" s="5" t="str">
        <f>IFERROR(N228&amp;"-"&amp;COUNTIF($N$19:N228,N228),NA())</f>
        <v>FY21-42</v>
      </c>
      <c r="P228" s="5">
        <f>COUNTIF(V$19:V228,"&gt;="&amp;MAX($V:$V)-183)</f>
        <v>0</v>
      </c>
      <c r="Q228" s="5">
        <f>COUNTIF(V$19:V228,"&gt;="&amp;MAX($V:$V)-365)</f>
        <v>0</v>
      </c>
      <c r="R228" s="5" t="str" cm="1">
        <f t="array" ref="R228">LOOKUP(2,1/($G$46:$G$50&lt;=$V228)/($H$46:$H$50&gt;=$V228),$F$46:$F$50)</f>
        <v>A1</v>
      </c>
      <c r="S228" s="5" cm="1">
        <f t="array" ref="S228">LOOKUP(2,1/($G$53:$G$56&lt;=$V228)/($H$53:$H$56&gt;=$V228),$F$53:$F$56)</f>
        <v>0</v>
      </c>
      <c r="T228" s="5" t="str">
        <f>IFERROR(IF($R228&gt;0,$R228&amp;"-"&amp;COUNTIF($R$19:$R228,$R228),NA()),NA())</f>
        <v>A1-12</v>
      </c>
      <c r="U228" s="5" t="e">
        <f>IFERROR(IF($S228&gt;0,$S228&amp;"-"&amp;COUNTIF($S$19:$S228,$S228),NA()),NA())</f>
        <v>#N/A</v>
      </c>
      <c r="V228" s="10">
        <v>44301</v>
      </c>
      <c r="W228" s="101">
        <v>63615309.698996648</v>
      </c>
      <c r="X228" s="101">
        <v>77184455.257792637</v>
      </c>
      <c r="Y228" s="102">
        <v>50000000</v>
      </c>
      <c r="JE228" s="12" t="str">
        <f t="shared" ref="JE228:JE243" si="319">IF(ISBLANK(IW166),NA(),IW166)</f>
        <v>Since FY21</v>
      </c>
      <c r="JF228" s="12">
        <f t="shared" ref="JF228:JF243" si="320">IF(ISBLANK(IX166),NA(),IX166)</f>
        <v>45141</v>
      </c>
      <c r="JG228" s="109">
        <f t="shared" ref="JG228:JG243" si="321">IF(ISBLANK(IY166),NA(),IY166/1000000)</f>
        <v>156.82348817696416</v>
      </c>
      <c r="JH228" s="109">
        <f t="shared" ref="JH228:JH243" si="322">IF(ISBLANK(IZ166),NA(),IZ166/1000000)</f>
        <v>100</v>
      </c>
      <c r="JI228" s="109"/>
      <c r="JJ228" s="109"/>
      <c r="JN228" s="12" t="str">
        <f t="shared" ref="JN228:JN244" si="323">IF(OR(ISBLANK(IW164),$IZ164&gt;=$JO$66),NA(),IW164)</f>
        <v>Since FY21</v>
      </c>
      <c r="JO228" s="12">
        <f t="shared" ref="JO228:JO244" si="324">IF(OR(ISBLANK(IX164),$IZ164&gt;=$JO$66),NA(),IX164)</f>
        <v>45127</v>
      </c>
      <c r="JP228" s="109">
        <f t="shared" ref="JP228:JP244" si="325">IF(OR(ISBLANK(IY164),$IZ164&gt;=$JO$66),NA(),IY164)/1000000</f>
        <v>60.8369621880789</v>
      </c>
      <c r="JQ228" s="109">
        <f t="shared" ref="JQ228:JQ244" si="326">IF(OR(ISBLANK(IZ164),$IZ164&gt;=$JO$66),NA(),IZ164)/1000000</f>
        <v>40</v>
      </c>
      <c r="JR228" s="109" t="e">
        <f t="shared" ref="JR228:JR244" si="327">IF(OR(ISBLANK(IY164),$IZ164&lt;$JR$66),NA(),IY164)/1000000</f>
        <v>#N/A</v>
      </c>
      <c r="JS228" s="109" t="e">
        <f t="shared" ref="JS228:JS244" si="328">IF(OR(ISBLANK(IZ164),$IZ164&lt;$JR$66),NA(),IZ164)/1000000</f>
        <v>#N/A</v>
      </c>
      <c r="JT228" s="40" t="e">
        <f>NA()</f>
        <v>#N/A</v>
      </c>
      <c r="JU228" s="40" t="e">
        <f>NA()</f>
        <v>#N/A</v>
      </c>
    </row>
    <row r="229" spans="13:281" x14ac:dyDescent="0.25">
      <c r="M229" s="5" t="str" cm="1">
        <f t="array" ref="M229">LOOKUP(2,1/($G$19:$G$35&lt;=$V229)/($H$19:$H$35&gt;=$V229),$F$19:$F$35)</f>
        <v>2H21</v>
      </c>
      <c r="N229" s="5" t="str" cm="1">
        <f t="array" ref="N229">LOOKUP(2,1/($G$8:$G$16&lt;=$V229)/($H$8:$H$16&gt;=$V229),$F$8:$F$16)</f>
        <v>FY21</v>
      </c>
      <c r="O229" s="5" t="str">
        <f>IFERROR(N229&amp;"-"&amp;COUNTIF($N$19:N229,N229),NA())</f>
        <v>FY21-43</v>
      </c>
      <c r="P229" s="5">
        <f>COUNTIF(V$19:V229,"&gt;="&amp;MAX($V:$V)-183)</f>
        <v>0</v>
      </c>
      <c r="Q229" s="5">
        <f>COUNTIF(V$19:V229,"&gt;="&amp;MAX($V:$V)-365)</f>
        <v>0</v>
      </c>
      <c r="R229" s="5" t="str" cm="1">
        <f t="array" ref="R229">LOOKUP(2,1/($G$46:$G$50&lt;=$V229)/($H$46:$H$50&gt;=$V229),$F$46:$F$50)</f>
        <v>A1</v>
      </c>
      <c r="S229" s="5" cm="1">
        <f t="array" ref="S229">LOOKUP(2,1/($G$53:$G$56&lt;=$V229)/($H$53:$H$56&gt;=$V229),$F$53:$F$56)</f>
        <v>0</v>
      </c>
      <c r="T229" s="5" t="str">
        <f>IFERROR(IF($R229&gt;0,$R229&amp;"-"&amp;COUNTIF($R$19:$R229,$R229),NA()),NA())</f>
        <v>A1-13</v>
      </c>
      <c r="U229" s="5" t="e">
        <f>IFERROR(IF($S229&gt;0,$S229&amp;"-"&amp;COUNTIF($S$19:$S229,$S229),NA()),NA())</f>
        <v>#N/A</v>
      </c>
      <c r="V229" s="10">
        <v>44308</v>
      </c>
      <c r="W229" s="101">
        <v>118500310.611128</v>
      </c>
      <c r="X229" s="101">
        <v>143776426.8644816</v>
      </c>
      <c r="Y229" s="102">
        <v>80000000</v>
      </c>
      <c r="JE229" s="12" t="str">
        <f t="shared" si="319"/>
        <v>Since FY21</v>
      </c>
      <c r="JF229" s="12">
        <f t="shared" si="320"/>
        <v>45148</v>
      </c>
      <c r="JG229" s="109">
        <f t="shared" si="321"/>
        <v>20.677774436090228</v>
      </c>
      <c r="JH229" s="109">
        <f t="shared" si="322"/>
        <v>4</v>
      </c>
      <c r="JI229" s="109"/>
      <c r="JJ229" s="109"/>
      <c r="JN229" s="12" t="str">
        <f t="shared" si="323"/>
        <v>Since FY21</v>
      </c>
      <c r="JO229" s="12">
        <f t="shared" si="324"/>
        <v>45134</v>
      </c>
      <c r="JP229" s="109">
        <f t="shared" si="325"/>
        <v>84.639629072681714</v>
      </c>
      <c r="JQ229" s="109">
        <f t="shared" si="326"/>
        <v>60</v>
      </c>
      <c r="JR229" s="109" t="e">
        <f t="shared" si="327"/>
        <v>#N/A</v>
      </c>
      <c r="JS229" s="109" t="e">
        <f t="shared" si="328"/>
        <v>#N/A</v>
      </c>
      <c r="JT229" s="40" t="e">
        <f>NA()</f>
        <v>#N/A</v>
      </c>
      <c r="JU229" s="40" t="e">
        <f>NA()</f>
        <v>#N/A</v>
      </c>
    </row>
    <row r="230" spans="13:281" x14ac:dyDescent="0.25">
      <c r="M230" s="5" t="str" cm="1">
        <f t="array" ref="M230">LOOKUP(2,1/($G$19:$G$35&lt;=$V230)/($H$19:$H$35&gt;=$V230),$F$19:$F$35)</f>
        <v>2H21</v>
      </c>
      <c r="N230" s="5" t="str" cm="1">
        <f t="array" ref="N230">LOOKUP(2,1/($G$8:$G$16&lt;=$V230)/($H$8:$H$16&gt;=$V230),$F$8:$F$16)</f>
        <v>FY21</v>
      </c>
      <c r="O230" s="5" t="str">
        <f>IFERROR(N230&amp;"-"&amp;COUNTIF($N$19:N230,N230),NA())</f>
        <v>FY21-44</v>
      </c>
      <c r="P230" s="5">
        <f>COUNTIF(V$19:V230,"&gt;="&amp;MAX($V:$V)-183)</f>
        <v>0</v>
      </c>
      <c r="Q230" s="5">
        <f>COUNTIF(V$19:V230,"&gt;="&amp;MAX($V:$V)-365)</f>
        <v>0</v>
      </c>
      <c r="R230" s="5" t="str" cm="1">
        <f t="array" ref="R230">LOOKUP(2,1/($G$46:$G$50&lt;=$V230)/($H$46:$H$50&gt;=$V230),$F$46:$F$50)</f>
        <v>A1</v>
      </c>
      <c r="S230" s="5" cm="1">
        <f t="array" ref="S230">LOOKUP(2,1/($G$53:$G$56&lt;=$V230)/($H$53:$H$56&gt;=$V230),$F$53:$F$56)</f>
        <v>0</v>
      </c>
      <c r="T230" s="5" t="str">
        <f>IFERROR(IF($R230&gt;0,$R230&amp;"-"&amp;COUNTIF($R$19:$R230,$R230),NA()),NA())</f>
        <v>A1-14</v>
      </c>
      <c r="U230" s="5" t="e">
        <f>IFERROR(IF($S230&gt;0,$S230&amp;"-"&amp;COUNTIF($S$19:$S230,$S230),NA()),NA())</f>
        <v>#N/A</v>
      </c>
      <c r="V230" s="10">
        <v>44315</v>
      </c>
      <c r="W230" s="101">
        <v>24573953.906962603</v>
      </c>
      <c r="X230" s="101">
        <v>29815578.275317729</v>
      </c>
      <c r="Y230" s="102">
        <v>8000000</v>
      </c>
      <c r="JE230" s="12" t="str">
        <f t="shared" si="319"/>
        <v>Since FY21</v>
      </c>
      <c r="JF230" s="12">
        <f t="shared" si="320"/>
        <v>45155</v>
      </c>
      <c r="JG230" s="109">
        <f t="shared" si="321"/>
        <v>30.840203334423013</v>
      </c>
      <c r="JH230" s="109">
        <f t="shared" si="322"/>
        <v>12</v>
      </c>
      <c r="JI230" s="109"/>
      <c r="JJ230" s="109"/>
      <c r="JN230" s="12" t="e">
        <f t="shared" si="323"/>
        <v>#N/A</v>
      </c>
      <c r="JO230" s="12" t="e">
        <f t="shared" si="324"/>
        <v>#N/A</v>
      </c>
      <c r="JP230" s="109" t="e">
        <f t="shared" si="325"/>
        <v>#N/A</v>
      </c>
      <c r="JQ230" s="109" t="e">
        <f t="shared" si="326"/>
        <v>#N/A</v>
      </c>
      <c r="JR230" s="109">
        <f t="shared" si="327"/>
        <v>156.82348817696416</v>
      </c>
      <c r="JS230" s="109">
        <f t="shared" si="328"/>
        <v>100</v>
      </c>
      <c r="JT230" s="40" t="e">
        <f>NA()</f>
        <v>#N/A</v>
      </c>
      <c r="JU230" s="40" t="e">
        <f>NA()</f>
        <v>#N/A</v>
      </c>
    </row>
    <row r="231" spans="13:281" x14ac:dyDescent="0.25">
      <c r="M231" s="5" t="str" cm="1">
        <f t="array" ref="M231">LOOKUP(2,1/($G$19:$G$35&lt;=$V231)/($H$19:$H$35&gt;=$V231),$F$19:$F$35)</f>
        <v>2H21</v>
      </c>
      <c r="N231" s="5" t="str" cm="1">
        <f t="array" ref="N231">LOOKUP(2,1/($G$8:$G$16&lt;=$V231)/($H$8:$H$16&gt;=$V231),$F$8:$F$16)</f>
        <v>FY21</v>
      </c>
      <c r="O231" s="5" t="str">
        <f>IFERROR(N231&amp;"-"&amp;COUNTIF($N$19:N231,N231),NA())</f>
        <v>FY21-45</v>
      </c>
      <c r="P231" s="5">
        <f>COUNTIF(V$19:V231,"&gt;="&amp;MAX($V:$V)-183)</f>
        <v>0</v>
      </c>
      <c r="Q231" s="5">
        <f>COUNTIF(V$19:V231,"&gt;="&amp;MAX($V:$V)-365)</f>
        <v>0</v>
      </c>
      <c r="R231" s="5" t="str" cm="1">
        <f t="array" ref="R231">LOOKUP(2,1/($G$46:$G$50&lt;=$V231)/($H$46:$H$50&gt;=$V231),$F$46:$F$50)</f>
        <v>A1</v>
      </c>
      <c r="S231" s="5" cm="1">
        <f t="array" ref="S231">LOOKUP(2,1/($G$53:$G$56&lt;=$V231)/($H$53:$H$56&gt;=$V231),$F$53:$F$56)</f>
        <v>0</v>
      </c>
      <c r="T231" s="5" t="str">
        <f>IFERROR(IF($R231&gt;0,$R231&amp;"-"&amp;COUNTIF($R$19:$R231,$R231),NA()),NA())</f>
        <v>A1-15</v>
      </c>
      <c r="U231" s="5" t="e">
        <f>IFERROR(IF($S231&gt;0,$S231&amp;"-"&amp;COUNTIF($S$19:$S231,$S231),NA()),NA())</f>
        <v>#N/A</v>
      </c>
      <c r="V231" s="10">
        <v>44322</v>
      </c>
      <c r="W231" s="101">
        <v>37110605.290361807</v>
      </c>
      <c r="X231" s="101">
        <v>45026297.398795985</v>
      </c>
      <c r="Y231" s="102">
        <v>20000000</v>
      </c>
      <c r="JE231" s="12" t="str">
        <f t="shared" si="319"/>
        <v>Since FY21</v>
      </c>
      <c r="JF231" s="12">
        <f t="shared" si="320"/>
        <v>45162</v>
      </c>
      <c r="JG231" s="109">
        <f t="shared" si="321"/>
        <v>42.995307072027899</v>
      </c>
      <c r="JH231" s="109">
        <f t="shared" si="322"/>
        <v>20</v>
      </c>
      <c r="JI231" s="109"/>
      <c r="JJ231" s="109"/>
      <c r="JN231" s="12" t="str">
        <f t="shared" si="323"/>
        <v>Since FY21</v>
      </c>
      <c r="JO231" s="12">
        <f t="shared" si="324"/>
        <v>45148</v>
      </c>
      <c r="JP231" s="109">
        <f t="shared" si="325"/>
        <v>20.677774436090228</v>
      </c>
      <c r="JQ231" s="109">
        <f t="shared" si="326"/>
        <v>4</v>
      </c>
      <c r="JR231" s="109" t="e">
        <f t="shared" si="327"/>
        <v>#N/A</v>
      </c>
      <c r="JS231" s="109" t="e">
        <f t="shared" si="328"/>
        <v>#N/A</v>
      </c>
      <c r="JT231" s="40" t="e">
        <f>NA()</f>
        <v>#N/A</v>
      </c>
      <c r="JU231" s="40" t="e">
        <f>NA()</f>
        <v>#N/A</v>
      </c>
    </row>
    <row r="232" spans="13:281" x14ac:dyDescent="0.25">
      <c r="M232" s="5" t="str" cm="1">
        <f t="array" ref="M232">LOOKUP(2,1/($G$19:$G$35&lt;=$V232)/($H$19:$H$35&gt;=$V232),$F$19:$F$35)</f>
        <v>2H21</v>
      </c>
      <c r="N232" s="5" t="str" cm="1">
        <f t="array" ref="N232">LOOKUP(2,1/($G$8:$G$16&lt;=$V232)/($H$8:$H$16&gt;=$V232),$F$8:$F$16)</f>
        <v>FY21</v>
      </c>
      <c r="O232" s="5" t="str">
        <f>IFERROR(N232&amp;"-"&amp;COUNTIF($N$19:N232,N232),NA())</f>
        <v>FY21-46</v>
      </c>
      <c r="P232" s="5">
        <f>COUNTIF(V$19:V232,"&gt;="&amp;MAX($V:$V)-183)</f>
        <v>0</v>
      </c>
      <c r="Q232" s="5">
        <f>COUNTIF(V$19:V232,"&gt;="&amp;MAX($V:$V)-365)</f>
        <v>0</v>
      </c>
      <c r="R232" s="5" t="str" cm="1">
        <f t="array" ref="R232">LOOKUP(2,1/($G$46:$G$50&lt;=$V232)/($H$46:$H$50&gt;=$V232),$F$46:$F$50)</f>
        <v>A1</v>
      </c>
      <c r="S232" s="5" cm="1">
        <f t="array" ref="S232">LOOKUP(2,1/($G$53:$G$56&lt;=$V232)/($H$53:$H$56&gt;=$V232),$F$53:$F$56)</f>
        <v>0</v>
      </c>
      <c r="T232" s="5" t="str">
        <f>IFERROR(IF($R232&gt;0,$R232&amp;"-"&amp;COUNTIF($R$19:$R232,$R232),NA()),NA())</f>
        <v>A1-16</v>
      </c>
      <c r="U232" s="5" t="e">
        <f>IFERROR(IF($S232&gt;0,$S232&amp;"-"&amp;COUNTIF($S$19:$S232,$S232),NA()),NA())</f>
        <v>#N/A</v>
      </c>
      <c r="V232" s="10">
        <v>44329</v>
      </c>
      <c r="W232" s="101">
        <v>47890415.81027668</v>
      </c>
      <c r="X232" s="101">
        <v>58105441.502608694</v>
      </c>
      <c r="Y232" s="102">
        <v>30000000</v>
      </c>
      <c r="JE232" s="12" t="str">
        <f t="shared" si="319"/>
        <v>Since FY21</v>
      </c>
      <c r="JF232" s="12">
        <f t="shared" si="320"/>
        <v>45169</v>
      </c>
      <c r="JG232" s="109">
        <f t="shared" si="321"/>
        <v>59.703342595619482</v>
      </c>
      <c r="JH232" s="109">
        <f t="shared" si="322"/>
        <v>40</v>
      </c>
      <c r="JI232" s="109"/>
      <c r="JJ232" s="109"/>
      <c r="JN232" s="12" t="str">
        <f t="shared" si="323"/>
        <v>Since FY21</v>
      </c>
      <c r="JO232" s="12">
        <f t="shared" si="324"/>
        <v>45155</v>
      </c>
      <c r="JP232" s="109">
        <f t="shared" si="325"/>
        <v>30.840203334423013</v>
      </c>
      <c r="JQ232" s="109">
        <f t="shared" si="326"/>
        <v>12</v>
      </c>
      <c r="JR232" s="109" t="e">
        <f t="shared" si="327"/>
        <v>#N/A</v>
      </c>
      <c r="JS232" s="109" t="e">
        <f t="shared" si="328"/>
        <v>#N/A</v>
      </c>
      <c r="JT232" s="40" t="e">
        <f>NA()</f>
        <v>#N/A</v>
      </c>
      <c r="JU232" s="40" t="e">
        <f>NA()</f>
        <v>#N/A</v>
      </c>
    </row>
    <row r="233" spans="13:281" x14ac:dyDescent="0.25">
      <c r="M233" s="5" t="str" cm="1">
        <f t="array" ref="M233">LOOKUP(2,1/($G$19:$G$35&lt;=$V233)/($H$19:$H$35&gt;=$V233),$F$19:$F$35)</f>
        <v>2H21</v>
      </c>
      <c r="N233" s="5" t="str" cm="1">
        <f t="array" ref="N233">LOOKUP(2,1/($G$8:$G$16&lt;=$V233)/($H$8:$H$16&gt;=$V233),$F$8:$F$16)</f>
        <v>FY21</v>
      </c>
      <c r="O233" s="5" t="str">
        <f>IFERROR(N233&amp;"-"&amp;COUNTIF($N$19:N233,N233),NA())</f>
        <v>FY21-47</v>
      </c>
      <c r="P233" s="5">
        <f>COUNTIF(V$19:V233,"&gt;="&amp;MAX($V:$V)-183)</f>
        <v>0</v>
      </c>
      <c r="Q233" s="5">
        <f>COUNTIF(V$19:V233,"&gt;="&amp;MAX($V:$V)-365)</f>
        <v>0</v>
      </c>
      <c r="R233" s="5" t="str" cm="1">
        <f t="array" ref="R233">LOOKUP(2,1/($G$46:$G$50&lt;=$V233)/($H$46:$H$50&gt;=$V233),$F$46:$F$50)</f>
        <v>F1</v>
      </c>
      <c r="S233" s="5" cm="1">
        <f t="array" ref="S233">LOOKUP(2,1/($G$53:$G$56&lt;=$V233)/($H$53:$H$56&gt;=$V233),$F$53:$F$56)</f>
        <v>0</v>
      </c>
      <c r="T233" s="5" t="str">
        <f>IFERROR(IF($R233&gt;0,$R233&amp;"-"&amp;COUNTIF($R$19:$R233,$R233),NA()),NA())</f>
        <v>F1-1</v>
      </c>
      <c r="U233" s="5" t="e">
        <f>IFERROR(IF($S233&gt;0,$S233&amp;"-"&amp;COUNTIF($S$19:$S233,$S233),NA()),NA())</f>
        <v>#N/A</v>
      </c>
      <c r="V233" s="10">
        <v>44336</v>
      </c>
      <c r="W233" s="101">
        <v>18569740.589844935</v>
      </c>
      <c r="X233" s="101">
        <v>22530666.257658862</v>
      </c>
      <c r="Y233" s="102">
        <v>3000000</v>
      </c>
      <c r="JE233" s="12" t="str">
        <f t="shared" si="319"/>
        <v>Since FY21</v>
      </c>
      <c r="JF233" s="12">
        <f t="shared" si="320"/>
        <v>45176</v>
      </c>
      <c r="JG233" s="109">
        <f t="shared" si="321"/>
        <v>20.222166067342272</v>
      </c>
      <c r="JH233" s="109">
        <f t="shared" si="322"/>
        <v>4</v>
      </c>
      <c r="JI233" s="109"/>
      <c r="JJ233" s="109"/>
      <c r="JN233" s="12" t="str">
        <f t="shared" si="323"/>
        <v>Since FY21</v>
      </c>
      <c r="JO233" s="12">
        <f t="shared" si="324"/>
        <v>45162</v>
      </c>
      <c r="JP233" s="109">
        <f t="shared" si="325"/>
        <v>42.995307072027899</v>
      </c>
      <c r="JQ233" s="109">
        <f t="shared" si="326"/>
        <v>20</v>
      </c>
      <c r="JR233" s="109" t="e">
        <f t="shared" si="327"/>
        <v>#N/A</v>
      </c>
      <c r="JS233" s="109" t="e">
        <f t="shared" si="328"/>
        <v>#N/A</v>
      </c>
      <c r="JT233" s="40" t="e">
        <f>NA()</f>
        <v>#N/A</v>
      </c>
      <c r="JU233" s="40" t="e">
        <f>NA()</f>
        <v>#N/A</v>
      </c>
    </row>
    <row r="234" spans="13:281" x14ac:dyDescent="0.25">
      <c r="M234" s="5" t="str" cm="1">
        <f t="array" ref="M234">LOOKUP(2,1/($G$19:$G$35&lt;=$V234)/($H$19:$H$35&gt;=$V234),$F$19:$F$35)</f>
        <v>2H21</v>
      </c>
      <c r="N234" s="5" t="str" cm="1">
        <f t="array" ref="N234">LOOKUP(2,1/($G$8:$G$16&lt;=$V234)/($H$8:$H$16&gt;=$V234),$F$8:$F$16)</f>
        <v>FY21</v>
      </c>
      <c r="O234" s="5" t="str">
        <f>IFERROR(N234&amp;"-"&amp;COUNTIF($N$19:N234,N234),NA())</f>
        <v>FY21-48</v>
      </c>
      <c r="P234" s="5">
        <f>COUNTIF(V$19:V234,"&gt;="&amp;MAX($V:$V)-183)</f>
        <v>0</v>
      </c>
      <c r="Q234" s="5">
        <f>COUNTIF(V$19:V234,"&gt;="&amp;MAX($V:$V)-365)</f>
        <v>0</v>
      </c>
      <c r="R234" s="5" t="str" cm="1">
        <f t="array" ref="R234">LOOKUP(2,1/($G$46:$G$50&lt;=$V234)/($H$46:$H$50&gt;=$V234),$F$46:$F$50)</f>
        <v>F1</v>
      </c>
      <c r="S234" s="5" cm="1">
        <f t="array" ref="S234">LOOKUP(2,1/($G$53:$G$56&lt;=$V234)/($H$53:$H$56&gt;=$V234),$F$53:$F$56)</f>
        <v>0</v>
      </c>
      <c r="T234" s="5" t="str">
        <f>IFERROR(IF($R234&gt;0,$R234&amp;"-"&amp;COUNTIF($R$19:$R234,$R234),NA()),NA())</f>
        <v>F1-2</v>
      </c>
      <c r="U234" s="5" t="e">
        <f>IFERROR(IF($S234&gt;0,$S234&amp;"-"&amp;COUNTIF($S$19:$S234,$S234),NA()),NA())</f>
        <v>#N/A</v>
      </c>
      <c r="V234" s="10">
        <v>44343</v>
      </c>
      <c r="W234" s="101">
        <v>25429040.072970506</v>
      </c>
      <c r="X234" s="101">
        <v>30853054.320535116</v>
      </c>
      <c r="Y234" s="102">
        <v>8000000</v>
      </c>
      <c r="JE234" s="12" t="str">
        <f t="shared" si="319"/>
        <v>Since FY21</v>
      </c>
      <c r="JF234" s="12">
        <f t="shared" si="320"/>
        <v>45183</v>
      </c>
      <c r="JG234" s="109">
        <f t="shared" si="321"/>
        <v>32.237415277323748</v>
      </c>
      <c r="JH234" s="109">
        <f t="shared" si="322"/>
        <v>12</v>
      </c>
      <c r="JI234" s="109"/>
      <c r="JJ234" s="109"/>
      <c r="JN234" s="12" t="str">
        <f t="shared" si="323"/>
        <v>Since FY21</v>
      </c>
      <c r="JO234" s="12">
        <f t="shared" si="324"/>
        <v>45169</v>
      </c>
      <c r="JP234" s="109">
        <f t="shared" si="325"/>
        <v>59.703342595619482</v>
      </c>
      <c r="JQ234" s="109">
        <f t="shared" si="326"/>
        <v>40</v>
      </c>
      <c r="JR234" s="109" t="e">
        <f t="shared" si="327"/>
        <v>#N/A</v>
      </c>
      <c r="JS234" s="109" t="e">
        <f t="shared" si="328"/>
        <v>#N/A</v>
      </c>
      <c r="JT234" s="40" t="e">
        <f>NA()</f>
        <v>#N/A</v>
      </c>
      <c r="JU234" s="40" t="e">
        <f>NA()</f>
        <v>#N/A</v>
      </c>
    </row>
    <row r="235" spans="13:281" x14ac:dyDescent="0.25">
      <c r="M235" s="5" t="str" cm="1">
        <f t="array" ref="M235">LOOKUP(2,1/($G$19:$G$35&lt;=$V235)/($H$19:$H$35&gt;=$V235),$F$19:$F$35)</f>
        <v>2H21</v>
      </c>
      <c r="N235" s="5" t="str" cm="1">
        <f t="array" ref="N235">LOOKUP(2,1/($G$8:$G$16&lt;=$V235)/($H$8:$H$16&gt;=$V235),$F$8:$F$16)</f>
        <v>FY21</v>
      </c>
      <c r="O235" s="5" t="str">
        <f>IFERROR(N235&amp;"-"&amp;COUNTIF($N$19:N235,N235),NA())</f>
        <v>FY21-49</v>
      </c>
      <c r="P235" s="5">
        <f>COUNTIF(V$19:V235,"&gt;="&amp;MAX($V:$V)-183)</f>
        <v>0</v>
      </c>
      <c r="Q235" s="5">
        <f>COUNTIF(V$19:V235,"&gt;="&amp;MAX($V:$V)-365)</f>
        <v>0</v>
      </c>
      <c r="R235" s="5" t="str" cm="1">
        <f t="array" ref="R235">LOOKUP(2,1/($G$46:$G$50&lt;=$V235)/($H$46:$H$50&gt;=$V235),$F$46:$F$50)</f>
        <v>F1</v>
      </c>
      <c r="S235" s="5" cm="1">
        <f t="array" ref="S235">LOOKUP(2,1/($G$53:$G$56&lt;=$V235)/($H$53:$H$56&gt;=$V235),$F$53:$F$56)</f>
        <v>0</v>
      </c>
      <c r="T235" s="5" t="str">
        <f>IFERROR(IF($R235&gt;0,$R235&amp;"-"&amp;COUNTIF($R$19:$R235,$R235),NA()),NA())</f>
        <v>F1-3</v>
      </c>
      <c r="U235" s="5" t="e">
        <f>IFERROR(IF($S235&gt;0,$S235&amp;"-"&amp;COUNTIF($S$19:$S235,$S235),NA()),NA())</f>
        <v>#N/A</v>
      </c>
      <c r="V235" s="10">
        <v>44350</v>
      </c>
      <c r="W235" s="101">
        <v>17730661.964122836</v>
      </c>
      <c r="X235" s="101">
        <v>21512612.161070239</v>
      </c>
      <c r="Y235" s="102">
        <v>3000000</v>
      </c>
      <c r="JE235" s="12" t="str">
        <f t="shared" si="319"/>
        <v>Since FY21</v>
      </c>
      <c r="JF235" s="12">
        <f t="shared" si="320"/>
        <v>45190</v>
      </c>
      <c r="JG235" s="109">
        <f t="shared" si="321"/>
        <v>41.746812901819773</v>
      </c>
      <c r="JH235" s="109">
        <f t="shared" si="322"/>
        <v>20</v>
      </c>
      <c r="JI235" s="109"/>
      <c r="JJ235" s="109"/>
      <c r="JN235" s="12" t="str">
        <f t="shared" si="323"/>
        <v>Since FY21</v>
      </c>
      <c r="JO235" s="12">
        <f t="shared" si="324"/>
        <v>45176</v>
      </c>
      <c r="JP235" s="109">
        <f t="shared" si="325"/>
        <v>20.222166067342272</v>
      </c>
      <c r="JQ235" s="109">
        <f t="shared" si="326"/>
        <v>4</v>
      </c>
      <c r="JR235" s="109" t="e">
        <f t="shared" si="327"/>
        <v>#N/A</v>
      </c>
      <c r="JS235" s="109" t="e">
        <f t="shared" si="328"/>
        <v>#N/A</v>
      </c>
      <c r="JT235" s="40" t="e">
        <f>NA()</f>
        <v>#N/A</v>
      </c>
      <c r="JU235" s="40" t="e">
        <f>NA()</f>
        <v>#N/A</v>
      </c>
    </row>
    <row r="236" spans="13:281" x14ac:dyDescent="0.25">
      <c r="M236" s="5" t="str" cm="1">
        <f t="array" ref="M236">LOOKUP(2,1/($G$19:$G$35&lt;=$V236)/($H$19:$H$35&gt;=$V236),$F$19:$F$35)</f>
        <v>2H21</v>
      </c>
      <c r="N236" s="5" t="str" cm="1">
        <f t="array" ref="N236">LOOKUP(2,1/($G$8:$G$16&lt;=$V236)/($H$8:$H$16&gt;=$V236),$F$8:$F$16)</f>
        <v>FY21</v>
      </c>
      <c r="O236" s="5" t="str">
        <f>IFERROR(N236&amp;"-"&amp;COUNTIF($N$19:N236,N236),NA())</f>
        <v>FY21-50</v>
      </c>
      <c r="P236" s="5">
        <f>COUNTIF(V$19:V236,"&gt;="&amp;MAX($V:$V)-183)</f>
        <v>0</v>
      </c>
      <c r="Q236" s="5">
        <f>COUNTIF(V$19:V236,"&gt;="&amp;MAX($V:$V)-365)</f>
        <v>0</v>
      </c>
      <c r="R236" s="5" t="str" cm="1">
        <f t="array" ref="R236">LOOKUP(2,1/($G$46:$G$50&lt;=$V236)/($H$46:$H$50&gt;=$V236),$F$46:$F$50)</f>
        <v>F1</v>
      </c>
      <c r="S236" s="5" cm="1">
        <f t="array" ref="S236">LOOKUP(2,1/($G$53:$G$56&lt;=$V236)/($H$53:$H$56&gt;=$V236),$F$53:$F$56)</f>
        <v>0</v>
      </c>
      <c r="T236" s="5" t="str">
        <f>IFERROR(IF($R236&gt;0,$R236&amp;"-"&amp;COUNTIF($R$19:$R236,$R236),NA()),NA())</f>
        <v>F1-4</v>
      </c>
      <c r="U236" s="5" t="e">
        <f>IFERROR(IF($S236&gt;0,$S236&amp;"-"&amp;COUNTIF($S$19:$S236,$S236),NA()),NA())</f>
        <v>#N/A</v>
      </c>
      <c r="V236" s="10">
        <v>44357</v>
      </c>
      <c r="W236" s="101">
        <v>23443848.707813926</v>
      </c>
      <c r="X236" s="101">
        <v>28444421.637190636</v>
      </c>
      <c r="Y236" s="102">
        <v>8000000</v>
      </c>
      <c r="JE236" s="12" t="str">
        <f t="shared" si="319"/>
        <v>Since FY21</v>
      </c>
      <c r="JF236" s="12">
        <f t="shared" si="320"/>
        <v>45197</v>
      </c>
      <c r="JG236" s="109">
        <f t="shared" si="321"/>
        <v>56.641298899422473</v>
      </c>
      <c r="JH236" s="109">
        <f t="shared" si="322"/>
        <v>40</v>
      </c>
      <c r="JI236" s="109"/>
      <c r="JJ236" s="109"/>
      <c r="JN236" s="12" t="str">
        <f t="shared" si="323"/>
        <v>Since FY21</v>
      </c>
      <c r="JO236" s="12">
        <f t="shared" si="324"/>
        <v>45183</v>
      </c>
      <c r="JP236" s="109">
        <f t="shared" si="325"/>
        <v>32.237415277323748</v>
      </c>
      <c r="JQ236" s="109">
        <f t="shared" si="326"/>
        <v>12</v>
      </c>
      <c r="JR236" s="109" t="e">
        <f t="shared" si="327"/>
        <v>#N/A</v>
      </c>
      <c r="JS236" s="109" t="e">
        <f t="shared" si="328"/>
        <v>#N/A</v>
      </c>
      <c r="JT236" s="40" t="e">
        <f>NA()</f>
        <v>#N/A</v>
      </c>
      <c r="JU236" s="40" t="e">
        <f>NA()</f>
        <v>#N/A</v>
      </c>
    </row>
    <row r="237" spans="13:281" x14ac:dyDescent="0.25">
      <c r="M237" s="5" t="str" cm="1">
        <f t="array" ref="M237">LOOKUP(2,1/($G$19:$G$35&lt;=$V237)/($H$19:$H$35&gt;=$V237),$F$19:$F$35)</f>
        <v>2H21</v>
      </c>
      <c r="N237" s="5" t="str" cm="1">
        <f t="array" ref="N237">LOOKUP(2,1/($G$8:$G$16&lt;=$V237)/($H$8:$H$16&gt;=$V237),$F$8:$F$16)</f>
        <v>FY21</v>
      </c>
      <c r="O237" s="5" t="str">
        <f>IFERROR(N237&amp;"-"&amp;COUNTIF($N$19:N237,N237),NA())</f>
        <v>FY21-51</v>
      </c>
      <c r="P237" s="5">
        <f>COUNTIF(V$19:V237,"&gt;="&amp;MAX($V:$V)-183)</f>
        <v>0</v>
      </c>
      <c r="Q237" s="5">
        <f>COUNTIF(V$19:V237,"&gt;="&amp;MAX($V:$V)-365)</f>
        <v>0</v>
      </c>
      <c r="R237" s="5" t="str" cm="1">
        <f t="array" ref="R237">LOOKUP(2,1/($G$46:$G$50&lt;=$V237)/($H$46:$H$50&gt;=$V237),$F$46:$F$50)</f>
        <v>F1</v>
      </c>
      <c r="S237" s="5" cm="1">
        <f t="array" ref="S237">LOOKUP(2,1/($G$53:$G$56&lt;=$V237)/($H$53:$H$56&gt;=$V237),$F$53:$F$56)</f>
        <v>0</v>
      </c>
      <c r="T237" s="5" t="str">
        <f>IFERROR(IF($R237&gt;0,$R237&amp;"-"&amp;COUNTIF($R$19:$R237,$R237),NA()),NA())</f>
        <v>F1-5</v>
      </c>
      <c r="U237" s="5" t="e">
        <f>IFERROR(IF($S237&gt;0,$S237&amp;"-"&amp;COUNTIF($S$19:$S237,$S237),NA()),NA())</f>
        <v>#N/A</v>
      </c>
      <c r="V237" s="10">
        <v>44364</v>
      </c>
      <c r="W237" s="101">
        <v>36861438.491942838</v>
      </c>
      <c r="X237" s="101">
        <v>44723983.322274245</v>
      </c>
      <c r="Y237" s="102">
        <v>20000000</v>
      </c>
      <c r="JE237" s="12" t="str">
        <f t="shared" si="319"/>
        <v>Since FY21</v>
      </c>
      <c r="JF237" s="12">
        <f t="shared" si="320"/>
        <v>45204</v>
      </c>
      <c r="JG237" s="109">
        <f t="shared" si="321"/>
        <v>85.3851064618067</v>
      </c>
      <c r="JH237" s="109">
        <f t="shared" si="322"/>
        <v>60</v>
      </c>
      <c r="JI237" s="109"/>
      <c r="JJ237" s="109"/>
      <c r="JN237" s="12" t="str">
        <f t="shared" si="323"/>
        <v>Since FY21</v>
      </c>
      <c r="JO237" s="12">
        <f t="shared" si="324"/>
        <v>45190</v>
      </c>
      <c r="JP237" s="109">
        <f t="shared" si="325"/>
        <v>41.746812901819773</v>
      </c>
      <c r="JQ237" s="109">
        <f t="shared" si="326"/>
        <v>20</v>
      </c>
      <c r="JR237" s="109" t="e">
        <f t="shared" si="327"/>
        <v>#N/A</v>
      </c>
      <c r="JS237" s="109" t="e">
        <f t="shared" si="328"/>
        <v>#N/A</v>
      </c>
      <c r="JT237" s="40" t="e">
        <f>NA()</f>
        <v>#N/A</v>
      </c>
      <c r="JU237" s="40" t="e">
        <f>NA()</f>
        <v>#N/A</v>
      </c>
    </row>
    <row r="238" spans="13:281" x14ac:dyDescent="0.25">
      <c r="M238" s="5" t="str" cm="1">
        <f t="array" ref="M238">LOOKUP(2,1/($G$19:$G$35&lt;=$V238)/($H$19:$H$35&gt;=$V238),$F$19:$F$35)</f>
        <v>2H21</v>
      </c>
      <c r="N238" s="5" t="str" cm="1">
        <f t="array" ref="N238">LOOKUP(2,1/($G$8:$G$16&lt;=$V238)/($H$8:$H$16&gt;=$V238),$F$8:$F$16)</f>
        <v>FY21</v>
      </c>
      <c r="O238" s="5" t="str">
        <f>IFERROR(N238&amp;"-"&amp;COUNTIF($N$19:N238,N238),NA())</f>
        <v>FY21-52</v>
      </c>
      <c r="P238" s="5">
        <f>COUNTIF(V$19:V238,"&gt;="&amp;MAX($V:$V)-183)</f>
        <v>0</v>
      </c>
      <c r="Q238" s="5">
        <f>COUNTIF(V$19:V238,"&gt;="&amp;MAX($V:$V)-365)</f>
        <v>0</v>
      </c>
      <c r="R238" s="5" t="str" cm="1">
        <f t="array" ref="R238">LOOKUP(2,1/($G$46:$G$50&lt;=$V238)/($H$46:$H$50&gt;=$V238),$F$46:$F$50)</f>
        <v>F1</v>
      </c>
      <c r="S238" s="5" cm="1">
        <f t="array" ref="S238">LOOKUP(2,1/($G$53:$G$56&lt;=$V238)/($H$53:$H$56&gt;=$V238),$F$53:$F$56)</f>
        <v>0</v>
      </c>
      <c r="T238" s="5" t="str">
        <f>IFERROR(IF($R238&gt;0,$R238&amp;"-"&amp;COUNTIF($R$19:$R238,$R238),NA()),NA())</f>
        <v>F1-6</v>
      </c>
      <c r="U238" s="5" t="e">
        <f>IFERROR(IF($S238&gt;0,$S238&amp;"-"&amp;COUNTIF($S$19:$S238,$S238),NA()),NA())</f>
        <v>#N/A</v>
      </c>
      <c r="V238" s="10">
        <v>44371</v>
      </c>
      <c r="W238" s="101">
        <v>55754455.457585886</v>
      </c>
      <c r="X238" s="101">
        <v>67646880.806688964</v>
      </c>
      <c r="Y238" s="102">
        <v>40000000</v>
      </c>
      <c r="JE238" s="12" t="e">
        <f t="shared" si="319"/>
        <v>#N/A</v>
      </c>
      <c r="JF238" s="12" t="e">
        <f t="shared" si="320"/>
        <v>#N/A</v>
      </c>
      <c r="JG238" s="109" t="e">
        <f t="shared" si="321"/>
        <v>#N/A</v>
      </c>
      <c r="JH238" s="109" t="e">
        <f t="shared" si="322"/>
        <v>#N/A</v>
      </c>
      <c r="JI238" s="109"/>
      <c r="JJ238" s="109"/>
      <c r="JN238" s="12" t="str">
        <f t="shared" si="323"/>
        <v>Since FY21</v>
      </c>
      <c r="JO238" s="12">
        <f t="shared" si="324"/>
        <v>45197</v>
      </c>
      <c r="JP238" s="109">
        <f t="shared" si="325"/>
        <v>56.641298899422473</v>
      </c>
      <c r="JQ238" s="109">
        <f t="shared" si="326"/>
        <v>40</v>
      </c>
      <c r="JR238" s="109" t="e">
        <f t="shared" si="327"/>
        <v>#N/A</v>
      </c>
      <c r="JS238" s="109" t="e">
        <f t="shared" si="328"/>
        <v>#N/A</v>
      </c>
      <c r="JT238" s="40" t="e">
        <f>NA()</f>
        <v>#N/A</v>
      </c>
      <c r="JU238" s="40" t="e">
        <f>NA()</f>
        <v>#N/A</v>
      </c>
    </row>
    <row r="239" spans="13:281" x14ac:dyDescent="0.25">
      <c r="M239" s="5" t="str" cm="1">
        <f t="array" ref="M239">LOOKUP(2,1/($G$19:$G$35&lt;=$V239)/($H$19:$H$35&gt;=$V239),$F$19:$F$35)</f>
        <v>1H22</v>
      </c>
      <c r="N239" s="5" t="str" cm="1">
        <f t="array" ref="N239">LOOKUP(2,1/($G$8:$G$16&lt;=$V239)/($H$8:$H$16&gt;=$V239),$F$8:$F$16)</f>
        <v>FY22</v>
      </c>
      <c r="O239" s="5" t="str">
        <f>IFERROR(N239&amp;"-"&amp;COUNTIF($N$19:N239,N239),NA())</f>
        <v>FY22-1</v>
      </c>
      <c r="P239" s="5">
        <f>COUNTIF(V$19:V239,"&gt;="&amp;MAX($V:$V)-183)</f>
        <v>0</v>
      </c>
      <c r="Q239" s="5">
        <f>COUNTIF(V$19:V239,"&gt;="&amp;MAX($V:$V)-365)</f>
        <v>0</v>
      </c>
      <c r="R239" s="5" t="str" cm="1">
        <f t="array" ref="R239">LOOKUP(2,1/($G$46:$G$50&lt;=$V239)/($H$46:$H$50&gt;=$V239),$F$46:$F$50)</f>
        <v>F1</v>
      </c>
      <c r="S239" s="5" cm="1">
        <f t="array" ref="S239">LOOKUP(2,1/($G$53:$G$56&lt;=$V239)/($H$53:$H$56&gt;=$V239),$F$53:$F$56)</f>
        <v>0</v>
      </c>
      <c r="T239" s="5" t="str">
        <f>IFERROR(IF($R239&gt;0,$R239&amp;"-"&amp;COUNTIF($R$19:$R239,$R239),NA()),NA())</f>
        <v>F1-7</v>
      </c>
      <c r="U239" s="5" t="e">
        <f>IFERROR(IF($S239&gt;0,$S239&amp;"-"&amp;COUNTIF($S$19:$S239,$S239),NA()),NA())</f>
        <v>#N/A</v>
      </c>
      <c r="V239" s="10">
        <v>44378</v>
      </c>
      <c r="W239" s="101">
        <v>77623219.458802059</v>
      </c>
      <c r="X239" s="101">
        <v>94180252.169364542</v>
      </c>
      <c r="Y239" s="102">
        <v>60000000</v>
      </c>
      <c r="JE239" s="12" t="e">
        <f t="shared" si="319"/>
        <v>#N/A</v>
      </c>
      <c r="JF239" s="12" t="e">
        <f t="shared" si="320"/>
        <v>#N/A</v>
      </c>
      <c r="JG239" s="109" t="e">
        <f t="shared" si="321"/>
        <v>#N/A</v>
      </c>
      <c r="JH239" s="109" t="e">
        <f t="shared" si="322"/>
        <v>#N/A</v>
      </c>
      <c r="JI239" s="109"/>
      <c r="JJ239" s="109"/>
      <c r="JN239" s="12" t="str">
        <f t="shared" si="323"/>
        <v>Since FY21</v>
      </c>
      <c r="JO239" s="12">
        <f t="shared" si="324"/>
        <v>45204</v>
      </c>
      <c r="JP239" s="109">
        <f t="shared" si="325"/>
        <v>85.3851064618067</v>
      </c>
      <c r="JQ239" s="109">
        <f t="shared" si="326"/>
        <v>60</v>
      </c>
      <c r="JR239" s="109" t="e">
        <f t="shared" si="327"/>
        <v>#N/A</v>
      </c>
      <c r="JS239" s="109" t="e">
        <f t="shared" si="328"/>
        <v>#N/A</v>
      </c>
      <c r="JT239" s="40" t="e">
        <f>NA()</f>
        <v>#N/A</v>
      </c>
      <c r="JU239" s="40" t="e">
        <f>NA()</f>
        <v>#N/A</v>
      </c>
    </row>
    <row r="240" spans="13:281" x14ac:dyDescent="0.25">
      <c r="M240" s="5" t="str" cm="1">
        <f t="array" ref="M240">LOOKUP(2,1/($G$19:$G$35&lt;=$V240)/($H$19:$H$35&gt;=$V240),$F$19:$F$35)</f>
        <v>1H22</v>
      </c>
      <c r="N240" s="5" t="str" cm="1">
        <f t="array" ref="N240">LOOKUP(2,1/($G$8:$G$16&lt;=$V240)/($H$8:$H$16&gt;=$V240),$F$8:$F$16)</f>
        <v>FY22</v>
      </c>
      <c r="O240" s="5" t="str">
        <f>IFERROR(N240&amp;"-"&amp;COUNTIF($N$19:N240,N240),NA())</f>
        <v>FY22-2</v>
      </c>
      <c r="P240" s="5">
        <f>COUNTIF(V$19:V240,"&gt;="&amp;MAX($V:$V)-183)</f>
        <v>0</v>
      </c>
      <c r="Q240" s="5">
        <f>COUNTIF(V$19:V240,"&gt;="&amp;MAX($V:$V)-365)</f>
        <v>0</v>
      </c>
      <c r="R240" s="5" t="str" cm="1">
        <f t="array" ref="R240">LOOKUP(2,1/($G$46:$G$50&lt;=$V240)/($H$46:$H$50&gt;=$V240),$F$46:$F$50)</f>
        <v>F1</v>
      </c>
      <c r="S240" s="5" cm="1">
        <f t="array" ref="S240">LOOKUP(2,1/($G$53:$G$56&lt;=$V240)/($H$53:$H$56&gt;=$V240),$F$53:$F$56)</f>
        <v>0</v>
      </c>
      <c r="T240" s="5" t="str">
        <f>IFERROR(IF($R240&gt;0,$R240&amp;"-"&amp;COUNTIF($R$19:$R240,$R240),NA()),NA())</f>
        <v>F1-8</v>
      </c>
      <c r="U240" s="5" t="e">
        <f>IFERROR(IF($S240&gt;0,$S240&amp;"-"&amp;COUNTIF($S$19:$S240,$S240),NA()),NA())</f>
        <v>#N/A</v>
      </c>
      <c r="V240" s="10">
        <v>44385</v>
      </c>
      <c r="W240" s="101">
        <v>18162558.102766801</v>
      </c>
      <c r="X240" s="101">
        <v>22036631.746086959</v>
      </c>
      <c r="Y240" s="102">
        <v>3000000</v>
      </c>
      <c r="JE240" s="12" t="e">
        <f t="shared" si="319"/>
        <v>#N/A</v>
      </c>
      <c r="JF240" s="12" t="e">
        <f t="shared" si="320"/>
        <v>#N/A</v>
      </c>
      <c r="JG240" s="109" t="e">
        <f t="shared" si="321"/>
        <v>#N/A</v>
      </c>
      <c r="JH240" s="109" t="e">
        <f t="shared" si="322"/>
        <v>#N/A</v>
      </c>
      <c r="JI240" s="109"/>
      <c r="JJ240" s="109"/>
      <c r="JN240" s="12" t="e">
        <f t="shared" si="323"/>
        <v>#N/A</v>
      </c>
      <c r="JO240" s="12" t="e">
        <f t="shared" si="324"/>
        <v>#N/A</v>
      </c>
      <c r="JP240" s="109" t="e">
        <f t="shared" si="325"/>
        <v>#N/A</v>
      </c>
      <c r="JQ240" s="109" t="e">
        <f t="shared" si="326"/>
        <v>#N/A</v>
      </c>
      <c r="JR240" s="109" t="e">
        <f t="shared" si="327"/>
        <v>#N/A</v>
      </c>
      <c r="JS240" s="109" t="e">
        <f t="shared" si="328"/>
        <v>#N/A</v>
      </c>
      <c r="JT240" s="40" t="e">
        <f>NA()</f>
        <v>#N/A</v>
      </c>
      <c r="JU240" s="40" t="e">
        <f>NA()</f>
        <v>#N/A</v>
      </c>
    </row>
    <row r="241" spans="13:281" x14ac:dyDescent="0.25">
      <c r="M241" s="5" t="str" cm="1">
        <f t="array" ref="M241">LOOKUP(2,1/($G$19:$G$35&lt;=$V241)/($H$19:$H$35&gt;=$V241),$F$19:$F$35)</f>
        <v>1H22</v>
      </c>
      <c r="N241" s="5" t="str" cm="1">
        <f t="array" ref="N241">LOOKUP(2,1/($G$8:$G$16&lt;=$V241)/($H$8:$H$16&gt;=$V241),$F$8:$F$16)</f>
        <v>FY22</v>
      </c>
      <c r="O241" s="5" t="str">
        <f>IFERROR(N241&amp;"-"&amp;COUNTIF($N$19:N241,N241),NA())</f>
        <v>FY22-3</v>
      </c>
      <c r="P241" s="5">
        <f>COUNTIF(V$19:V241,"&gt;="&amp;MAX($V:$V)-183)</f>
        <v>0</v>
      </c>
      <c r="Q241" s="5">
        <f>COUNTIF(V$19:V241,"&gt;="&amp;MAX($V:$V)-365)</f>
        <v>0</v>
      </c>
      <c r="R241" s="5" t="str" cm="1">
        <f t="array" ref="R241">LOOKUP(2,1/($G$46:$G$50&lt;=$V241)/($H$46:$H$50&gt;=$V241),$F$46:$F$50)</f>
        <v>F1</v>
      </c>
      <c r="S241" s="5" cm="1">
        <f t="array" ref="S241">LOOKUP(2,1/($G$53:$G$56&lt;=$V241)/($H$53:$H$56&gt;=$V241),$F$53:$F$56)</f>
        <v>0</v>
      </c>
      <c r="T241" s="5" t="str">
        <f>IFERROR(IF($R241&gt;0,$R241&amp;"-"&amp;COUNTIF($R$19:$R241,$R241),NA()),NA())</f>
        <v>F1-9</v>
      </c>
      <c r="U241" s="5" t="e">
        <f>IFERROR(IF($S241&gt;0,$S241&amp;"-"&amp;COUNTIF($S$19:$S241,$S241),NA()),NA())</f>
        <v>#N/A</v>
      </c>
      <c r="V241" s="10">
        <v>44392</v>
      </c>
      <c r="W241" s="101">
        <v>25998846.336272418</v>
      </c>
      <c r="X241" s="101">
        <v>31544400.259799328</v>
      </c>
      <c r="Y241" s="102">
        <v>8000000</v>
      </c>
      <c r="JE241" s="12" t="e">
        <f t="shared" si="319"/>
        <v>#N/A</v>
      </c>
      <c r="JF241" s="12" t="e">
        <f t="shared" si="320"/>
        <v>#N/A</v>
      </c>
      <c r="JG241" s="109" t="e">
        <f t="shared" si="321"/>
        <v>#N/A</v>
      </c>
      <c r="JH241" s="109" t="e">
        <f t="shared" si="322"/>
        <v>#N/A</v>
      </c>
      <c r="JI241" s="109"/>
      <c r="JJ241" s="109"/>
      <c r="JN241" s="12" t="e">
        <f t="shared" si="323"/>
        <v>#N/A</v>
      </c>
      <c r="JO241" s="12" t="e">
        <f t="shared" si="324"/>
        <v>#N/A</v>
      </c>
      <c r="JP241" s="109" t="e">
        <f t="shared" si="325"/>
        <v>#N/A</v>
      </c>
      <c r="JQ241" s="109" t="e">
        <f t="shared" si="326"/>
        <v>#N/A</v>
      </c>
      <c r="JR241" s="109" t="e">
        <f t="shared" si="327"/>
        <v>#N/A</v>
      </c>
      <c r="JS241" s="109" t="e">
        <f t="shared" si="328"/>
        <v>#N/A</v>
      </c>
      <c r="JT241" s="40" t="e">
        <f>NA()</f>
        <v>#N/A</v>
      </c>
      <c r="JU241" s="40" t="e">
        <f>NA()</f>
        <v>#N/A</v>
      </c>
    </row>
    <row r="242" spans="13:281" x14ac:dyDescent="0.25">
      <c r="M242" s="5" t="str" cm="1">
        <f t="array" ref="M242">LOOKUP(2,1/($G$19:$G$35&lt;=$V242)/($H$19:$H$35&gt;=$V242),$F$19:$F$35)</f>
        <v>1H22</v>
      </c>
      <c r="N242" s="5" t="str" cm="1">
        <f t="array" ref="N242">LOOKUP(2,1/($G$8:$G$16&lt;=$V242)/($H$8:$H$16&gt;=$V242),$F$8:$F$16)</f>
        <v>FY22</v>
      </c>
      <c r="O242" s="5" t="str">
        <f>IFERROR(N242&amp;"-"&amp;COUNTIF($N$19:N242,N242),NA())</f>
        <v>FY22-4</v>
      </c>
      <c r="P242" s="5">
        <f>COUNTIF(V$19:V242,"&gt;="&amp;MAX($V:$V)-183)</f>
        <v>0</v>
      </c>
      <c r="Q242" s="5">
        <f>COUNTIF(V$19:V242,"&gt;="&amp;MAX($V:$V)-365)</f>
        <v>0</v>
      </c>
      <c r="R242" s="5" t="str" cm="1">
        <f t="array" ref="R242">LOOKUP(2,1/($G$46:$G$50&lt;=$V242)/($H$46:$H$50&gt;=$V242),$F$46:$F$50)</f>
        <v>F1</v>
      </c>
      <c r="S242" s="5" cm="1">
        <f t="array" ref="S242">LOOKUP(2,1/($G$53:$G$56&lt;=$V242)/($H$53:$H$56&gt;=$V242),$F$53:$F$56)</f>
        <v>0</v>
      </c>
      <c r="T242" s="5" t="str">
        <f>IFERROR(IF($R242&gt;0,$R242&amp;"-"&amp;COUNTIF($R$19:$R242,$R242),NA()),NA())</f>
        <v>F1-10</v>
      </c>
      <c r="U242" s="5" t="e">
        <f>IFERROR(IF($S242&gt;0,$S242&amp;"-"&amp;COUNTIF($S$19:$S242,$S242),NA()),NA())</f>
        <v>#N/A</v>
      </c>
      <c r="V242" s="10">
        <v>44399</v>
      </c>
      <c r="W242" s="101">
        <v>41039352.751596227</v>
      </c>
      <c r="X242" s="101">
        <v>49793046.693511702</v>
      </c>
      <c r="Y242" s="102">
        <v>20000000</v>
      </c>
      <c r="JE242" s="12" t="e">
        <f t="shared" si="319"/>
        <v>#N/A</v>
      </c>
      <c r="JF242" s="12" t="e">
        <f t="shared" si="320"/>
        <v>#N/A</v>
      </c>
      <c r="JG242" s="109" t="e">
        <f t="shared" si="321"/>
        <v>#N/A</v>
      </c>
      <c r="JH242" s="109" t="e">
        <f t="shared" si="322"/>
        <v>#N/A</v>
      </c>
      <c r="JI242" s="109"/>
      <c r="JJ242" s="109"/>
      <c r="JN242" s="12" t="e">
        <f t="shared" si="323"/>
        <v>#N/A</v>
      </c>
      <c r="JO242" s="12" t="e">
        <f t="shared" si="324"/>
        <v>#N/A</v>
      </c>
      <c r="JP242" s="109" t="e">
        <f t="shared" si="325"/>
        <v>#N/A</v>
      </c>
      <c r="JQ242" s="109" t="e">
        <f t="shared" si="326"/>
        <v>#N/A</v>
      </c>
      <c r="JR242" s="109" t="e">
        <f t="shared" si="327"/>
        <v>#N/A</v>
      </c>
      <c r="JS242" s="109" t="e">
        <f t="shared" si="328"/>
        <v>#N/A</v>
      </c>
      <c r="JT242" s="40" t="e">
        <f>NA()</f>
        <v>#N/A</v>
      </c>
      <c r="JU242" s="40" t="e">
        <f>NA()</f>
        <v>#N/A</v>
      </c>
    </row>
    <row r="243" spans="13:281" x14ac:dyDescent="0.25">
      <c r="M243" s="5" t="str" cm="1">
        <f t="array" ref="M243">LOOKUP(2,1/($G$19:$G$35&lt;=$V243)/($H$19:$H$35&gt;=$V243),$F$19:$F$35)</f>
        <v>1H22</v>
      </c>
      <c r="N243" s="5" t="str" cm="1">
        <f t="array" ref="N243">LOOKUP(2,1/($G$8:$G$16&lt;=$V243)/($H$8:$H$16&gt;=$V243),$F$8:$F$16)</f>
        <v>FY22</v>
      </c>
      <c r="O243" s="5" t="str">
        <f>IFERROR(N243&amp;"-"&amp;COUNTIF($N$19:N243,N243),NA())</f>
        <v>FY22-5</v>
      </c>
      <c r="P243" s="5">
        <f>COUNTIF(V$19:V243,"&gt;="&amp;MAX($V:$V)-183)</f>
        <v>0</v>
      </c>
      <c r="Q243" s="5">
        <f>COUNTIF(V$19:V243,"&gt;="&amp;MAX($V:$V)-365)</f>
        <v>0</v>
      </c>
      <c r="R243" s="5" t="str" cm="1">
        <f t="array" ref="R243">LOOKUP(2,1/($G$46:$G$50&lt;=$V243)/($H$46:$H$50&gt;=$V243),$F$46:$F$50)</f>
        <v>F1</v>
      </c>
      <c r="S243" s="5" cm="1">
        <f t="array" ref="S243">LOOKUP(2,1/($G$53:$G$56&lt;=$V243)/($H$53:$H$56&gt;=$V243),$F$53:$F$56)</f>
        <v>0</v>
      </c>
      <c r="T243" s="5" t="str">
        <f>IFERROR(IF($R243&gt;0,$R243&amp;"-"&amp;COUNTIF($R$19:$R243,$R243),NA()),NA())</f>
        <v>F1-11</v>
      </c>
      <c r="U243" s="5" t="e">
        <f>IFERROR(IF($S243&gt;0,$S243&amp;"-"&amp;COUNTIF($S$19:$S243,$S243),NA()),NA())</f>
        <v>#N/A</v>
      </c>
      <c r="V243" s="10">
        <v>44406</v>
      </c>
      <c r="W243" s="101">
        <v>57263651.200972937</v>
      </c>
      <c r="X243" s="101">
        <v>69477988.002140462</v>
      </c>
      <c r="Y243" s="102">
        <v>40000000</v>
      </c>
      <c r="JE243" s="12" t="e">
        <f t="shared" si="319"/>
        <v>#N/A</v>
      </c>
      <c r="JF243" s="12" t="e">
        <f t="shared" si="320"/>
        <v>#N/A</v>
      </c>
      <c r="JG243" s="109" t="e">
        <f t="shared" si="321"/>
        <v>#N/A</v>
      </c>
      <c r="JH243" s="109" t="e">
        <f t="shared" si="322"/>
        <v>#N/A</v>
      </c>
      <c r="JI243" s="109"/>
      <c r="JJ243" s="109"/>
      <c r="JN243" s="12" t="e">
        <f t="shared" si="323"/>
        <v>#N/A</v>
      </c>
      <c r="JO243" s="12" t="e">
        <f t="shared" si="324"/>
        <v>#N/A</v>
      </c>
      <c r="JP243" s="109" t="e">
        <f t="shared" si="325"/>
        <v>#N/A</v>
      </c>
      <c r="JQ243" s="109" t="e">
        <f t="shared" si="326"/>
        <v>#N/A</v>
      </c>
      <c r="JR243" s="109" t="e">
        <f t="shared" si="327"/>
        <v>#N/A</v>
      </c>
      <c r="JS243" s="109" t="e">
        <f t="shared" si="328"/>
        <v>#N/A</v>
      </c>
      <c r="JT243" s="40" t="e">
        <f>NA()</f>
        <v>#N/A</v>
      </c>
      <c r="JU243" s="40" t="e">
        <f>NA()</f>
        <v>#N/A</v>
      </c>
    </row>
    <row r="244" spans="13:281" x14ac:dyDescent="0.25">
      <c r="M244" s="5" t="str" cm="1">
        <f t="array" ref="M244">LOOKUP(2,1/($G$19:$G$35&lt;=$V244)/($H$19:$H$35&gt;=$V244),$F$19:$F$35)</f>
        <v>1H22</v>
      </c>
      <c r="N244" s="5" t="str" cm="1">
        <f t="array" ref="N244">LOOKUP(2,1/($G$8:$G$16&lt;=$V244)/($H$8:$H$16&gt;=$V244),$F$8:$F$16)</f>
        <v>FY22</v>
      </c>
      <c r="O244" s="5" t="str">
        <f>IFERROR(N244&amp;"-"&amp;COUNTIF($N$19:N244,N244),NA())</f>
        <v>FY22-6</v>
      </c>
      <c r="P244" s="5">
        <f>COUNTIF(V$19:V244,"&gt;="&amp;MAX($V:$V)-183)</f>
        <v>0</v>
      </c>
      <c r="Q244" s="5">
        <f>COUNTIF(V$19:V244,"&gt;="&amp;MAX($V:$V)-365)</f>
        <v>0</v>
      </c>
      <c r="R244" s="5" t="str" cm="1">
        <f t="array" ref="R244">LOOKUP(2,1/($G$46:$G$50&lt;=$V244)/($H$46:$H$50&gt;=$V244),$F$46:$F$50)</f>
        <v>F1</v>
      </c>
      <c r="S244" s="5" cm="1">
        <f t="array" ref="S244">LOOKUP(2,1/($G$53:$G$56&lt;=$V244)/($H$53:$H$56&gt;=$V244),$F$53:$F$56)</f>
        <v>0</v>
      </c>
      <c r="T244" s="5" t="str">
        <f>IFERROR(IF($R244&gt;0,$R244&amp;"-"&amp;COUNTIF($R$19:$R244,$R244),NA()),NA())</f>
        <v>F1-12</v>
      </c>
      <c r="U244" s="5" t="e">
        <f>IFERROR(IF($S244&gt;0,$S244&amp;"-"&amp;COUNTIF($S$19:$S244,$S244),NA()),NA())</f>
        <v>#N/A</v>
      </c>
      <c r="V244" s="10">
        <v>44413</v>
      </c>
      <c r="W244" s="101">
        <v>80092385.770750985</v>
      </c>
      <c r="X244" s="101">
        <v>97176091.65565218</v>
      </c>
      <c r="Y244" s="102">
        <v>60000000</v>
      </c>
      <c r="JE244" s="12"/>
      <c r="JF244" s="12"/>
      <c r="JG244" s="109"/>
      <c r="JH244" s="109"/>
      <c r="JI244" s="109"/>
      <c r="JJ244" s="109"/>
      <c r="JN244" s="12" t="e">
        <f t="shared" si="323"/>
        <v>#N/A</v>
      </c>
      <c r="JO244" s="12" t="e">
        <f t="shared" si="324"/>
        <v>#N/A</v>
      </c>
      <c r="JP244" s="109" t="e">
        <f t="shared" si="325"/>
        <v>#N/A</v>
      </c>
      <c r="JQ244" s="109" t="e">
        <f t="shared" si="326"/>
        <v>#N/A</v>
      </c>
      <c r="JR244" s="109" t="e">
        <f t="shared" si="327"/>
        <v>#N/A</v>
      </c>
      <c r="JS244" s="109" t="e">
        <f t="shared" si="328"/>
        <v>#N/A</v>
      </c>
      <c r="JT244" s="40" t="e">
        <f>NA()</f>
        <v>#N/A</v>
      </c>
      <c r="JU244" s="40" t="e">
        <f>NA()</f>
        <v>#N/A</v>
      </c>
    </row>
    <row r="245" spans="13:281" x14ac:dyDescent="0.25">
      <c r="M245" s="5" t="str" cm="1">
        <f t="array" ref="M245">LOOKUP(2,1/($G$19:$G$35&lt;=$V245)/($H$19:$H$35&gt;=$V245),$F$19:$F$35)</f>
        <v>1H22</v>
      </c>
      <c r="N245" s="5" t="str" cm="1">
        <f t="array" ref="N245">LOOKUP(2,1/($G$8:$G$16&lt;=$V245)/($H$8:$H$16&gt;=$V245),$F$8:$F$16)</f>
        <v>FY22</v>
      </c>
      <c r="O245" s="5" t="str">
        <f>IFERROR(N245&amp;"-"&amp;COUNTIF($N$19:N245,N245),NA())</f>
        <v>FY22-7</v>
      </c>
      <c r="P245" s="5">
        <f>COUNTIF(V$19:V245,"&gt;="&amp;MAX($V:$V)-183)</f>
        <v>0</v>
      </c>
      <c r="Q245" s="5">
        <f>COUNTIF(V$19:V245,"&gt;="&amp;MAX($V:$V)-365)</f>
        <v>0</v>
      </c>
      <c r="R245" s="5" t="str" cm="1">
        <f t="array" ref="R245">LOOKUP(2,1/($G$46:$G$50&lt;=$V245)/($H$46:$H$50&gt;=$V245),$F$46:$F$50)</f>
        <v>F1</v>
      </c>
      <c r="S245" s="5" cm="1">
        <f t="array" ref="S245">LOOKUP(2,1/($G$53:$G$56&lt;=$V245)/($H$53:$H$56&gt;=$V245),$F$53:$F$56)</f>
        <v>0</v>
      </c>
      <c r="T245" s="5" t="str">
        <f>IFERROR(IF($R245&gt;0,$R245&amp;"-"&amp;COUNTIF($R$19:$R245,$R245),NA()),NA())</f>
        <v>F1-13</v>
      </c>
      <c r="U245" s="5" t="e">
        <f>IFERROR(IF($S245&gt;0,$S245&amp;"-"&amp;COUNTIF($S$19:$S245,$S245),NA()),NA())</f>
        <v>#N/A</v>
      </c>
      <c r="V245" s="10">
        <v>44420</v>
      </c>
      <c r="W245" s="101">
        <v>125405739.86013986</v>
      </c>
      <c r="X245" s="101">
        <v>152154784.1723077</v>
      </c>
      <c r="Y245" s="102">
        <v>80000000</v>
      </c>
      <c r="JE245" s="12"/>
      <c r="JF245" s="12"/>
      <c r="JG245" s="109"/>
      <c r="JH245" s="109"/>
      <c r="JI245" s="109"/>
      <c r="JJ245" s="109"/>
    </row>
    <row r="246" spans="13:281" x14ac:dyDescent="0.25">
      <c r="M246" s="5" t="str" cm="1">
        <f t="array" ref="M246">LOOKUP(2,1/($G$19:$G$35&lt;=$V246)/($H$19:$H$35&gt;=$V246),$F$19:$F$35)</f>
        <v>1H22</v>
      </c>
      <c r="N246" s="5" t="str" cm="1">
        <f t="array" ref="N246">LOOKUP(2,1/($G$8:$G$16&lt;=$V246)/($H$8:$H$16&gt;=$V246),$F$8:$F$16)</f>
        <v>FY22</v>
      </c>
      <c r="O246" s="5" t="str">
        <f>IFERROR(N246&amp;"-"&amp;COUNTIF($N$19:N246,N246),NA())</f>
        <v>FY22-8</v>
      </c>
      <c r="P246" s="5">
        <f>COUNTIF(V$19:V246,"&gt;="&amp;MAX($V:$V)-183)</f>
        <v>0</v>
      </c>
      <c r="Q246" s="5">
        <f>COUNTIF(V$19:V246,"&gt;="&amp;MAX($V:$V)-365)</f>
        <v>0</v>
      </c>
      <c r="R246" s="5" t="str" cm="1">
        <f t="array" ref="R246">LOOKUP(2,1/($G$46:$G$50&lt;=$V246)/($H$46:$H$50&gt;=$V246),$F$46:$F$50)</f>
        <v>F1</v>
      </c>
      <c r="S246" s="5" cm="1">
        <f t="array" ref="S246">LOOKUP(2,1/($G$53:$G$56&lt;=$V246)/($H$53:$H$56&gt;=$V246),$F$53:$F$56)</f>
        <v>0</v>
      </c>
      <c r="T246" s="5" t="str">
        <f>IFERROR(IF($R246&gt;0,$R246&amp;"-"&amp;COUNTIF($R$19:$R246,$R246),NA()),NA())</f>
        <v>F1-14</v>
      </c>
      <c r="U246" s="5" t="e">
        <f>IFERROR(IF($S246&gt;0,$S246&amp;"-"&amp;COUNTIF($S$19:$S246,$S246),NA()),NA())</f>
        <v>#N/A</v>
      </c>
      <c r="V246" s="10">
        <v>44427</v>
      </c>
      <c r="W246" s="101">
        <v>20220383.581635755</v>
      </c>
      <c r="X246" s="101">
        <v>24533391.399598662</v>
      </c>
      <c r="Y246" s="102">
        <v>3000000</v>
      </c>
      <c r="JE246" s="12"/>
      <c r="JF246" s="12"/>
      <c r="JG246" s="109"/>
      <c r="JH246" s="109"/>
      <c r="JI246" s="109"/>
      <c r="JJ246" s="109"/>
    </row>
    <row r="247" spans="13:281" x14ac:dyDescent="0.25">
      <c r="M247" s="5" t="str" cm="1">
        <f t="array" ref="M247">LOOKUP(2,1/($G$19:$G$35&lt;=$V247)/($H$19:$H$35&gt;=$V247),$F$19:$F$35)</f>
        <v>1H22</v>
      </c>
      <c r="N247" s="5" t="str" cm="1">
        <f t="array" ref="N247">LOOKUP(2,1/($G$8:$G$16&lt;=$V247)/($H$8:$H$16&gt;=$V247),$F$8:$F$16)</f>
        <v>FY22</v>
      </c>
      <c r="O247" s="5" t="str">
        <f>IFERROR(N247&amp;"-"&amp;COUNTIF($N$19:N247,N247),NA())</f>
        <v>FY22-9</v>
      </c>
      <c r="P247" s="5">
        <f>COUNTIF(V$19:V247,"&gt;="&amp;MAX($V:$V)-183)</f>
        <v>0</v>
      </c>
      <c r="Q247" s="5">
        <f>COUNTIF(V$19:V247,"&gt;="&amp;MAX($V:$V)-365)</f>
        <v>0</v>
      </c>
      <c r="R247" s="5" t="str" cm="1">
        <f t="array" ref="R247">LOOKUP(2,1/($G$46:$G$50&lt;=$V247)/($H$46:$H$50&gt;=$V247),$F$46:$F$50)</f>
        <v>F1</v>
      </c>
      <c r="S247" s="5" cm="1">
        <f t="array" ref="S247">LOOKUP(2,1/($G$53:$G$56&lt;=$V247)/($H$53:$H$56&gt;=$V247),$F$53:$F$56)</f>
        <v>0</v>
      </c>
      <c r="T247" s="5" t="str">
        <f>IFERROR(IF($R247&gt;0,$R247&amp;"-"&amp;COUNTIF($R$19:$R247,$R247),NA()),NA())</f>
        <v>F1-15</v>
      </c>
      <c r="U247" s="5" t="e">
        <f>IFERROR(IF($S247&gt;0,$S247&amp;"-"&amp;COUNTIF($S$19:$S247,$S247),NA()),NA())</f>
        <v>#N/A</v>
      </c>
      <c r="V247" s="10">
        <v>44434</v>
      </c>
      <c r="W247" s="101">
        <v>29212562.35937975</v>
      </c>
      <c r="X247" s="101">
        <v>35443601.910635449</v>
      </c>
      <c r="Y247" s="102">
        <v>8000000</v>
      </c>
      <c r="JE247" s="12"/>
      <c r="JF247" s="12"/>
      <c r="JG247" s="109"/>
      <c r="JH247" s="109"/>
      <c r="JI247" s="109"/>
      <c r="JJ247" s="109"/>
    </row>
    <row r="248" spans="13:281" x14ac:dyDescent="0.25">
      <c r="M248" s="5" t="str" cm="1">
        <f t="array" ref="M248">LOOKUP(2,1/($G$19:$G$35&lt;=$V248)/($H$19:$H$35&gt;=$V248),$F$19:$F$35)</f>
        <v>1H22</v>
      </c>
      <c r="N248" s="5" t="str" cm="1">
        <f t="array" ref="N248">LOOKUP(2,1/($G$8:$G$16&lt;=$V248)/($H$8:$H$16&gt;=$V248),$F$8:$F$16)</f>
        <v>FY22</v>
      </c>
      <c r="O248" s="5" t="str">
        <f>IFERROR(N248&amp;"-"&amp;COUNTIF($N$19:N248,N248),NA())</f>
        <v>FY22-10</v>
      </c>
      <c r="P248" s="5">
        <f>COUNTIF(V$19:V248,"&gt;="&amp;MAX($V:$V)-183)</f>
        <v>0</v>
      </c>
      <c r="Q248" s="5">
        <f>COUNTIF(V$19:V248,"&gt;="&amp;MAX($V:$V)-365)</f>
        <v>0</v>
      </c>
      <c r="R248" s="5" t="str" cm="1">
        <f t="array" ref="R248">LOOKUP(2,1/($G$46:$G$50&lt;=$V248)/($H$46:$H$50&gt;=$V248),$F$46:$F$50)</f>
        <v>F1</v>
      </c>
      <c r="S248" s="5" cm="1">
        <f t="array" ref="S248">LOOKUP(2,1/($G$53:$G$56&lt;=$V248)/($H$53:$H$56&gt;=$V248),$F$53:$F$56)</f>
        <v>0</v>
      </c>
      <c r="T248" s="5" t="str">
        <f>IFERROR(IF($R248&gt;0,$R248&amp;"-"&amp;COUNTIF($R$19:$R248,$R248),NA()),NA())</f>
        <v>F1-16</v>
      </c>
      <c r="U248" s="5" t="e">
        <f>IFERROR(IF($S248&gt;0,$S248&amp;"-"&amp;COUNTIF($S$19:$S248,$S248),NA()),NA())</f>
        <v>#N/A</v>
      </c>
      <c r="V248" s="10">
        <v>44441</v>
      </c>
      <c r="W248" s="101">
        <v>43186218.060200661</v>
      </c>
      <c r="X248" s="101">
        <v>52397838.372441463</v>
      </c>
      <c r="Y248" s="102">
        <v>20000000</v>
      </c>
      <c r="JE248" s="12"/>
      <c r="JF248" s="12"/>
      <c r="JG248" s="109"/>
      <c r="JH248" s="109"/>
      <c r="JI248" s="109"/>
      <c r="JJ248" s="109"/>
    </row>
    <row r="249" spans="13:281" x14ac:dyDescent="0.25">
      <c r="M249" s="5" t="str" cm="1">
        <f t="array" ref="M249">LOOKUP(2,1/($G$19:$G$35&lt;=$V249)/($H$19:$H$35&gt;=$V249),$F$19:$F$35)</f>
        <v>1H22</v>
      </c>
      <c r="N249" s="5" t="str" cm="1">
        <f t="array" ref="N249">LOOKUP(2,1/($G$8:$G$16&lt;=$V249)/($H$8:$H$16&gt;=$V249),$F$8:$F$16)</f>
        <v>FY22</v>
      </c>
      <c r="O249" s="5" t="str">
        <f>IFERROR(N249&amp;"-"&amp;COUNTIF($N$19:N249,N249),NA())</f>
        <v>FY22-11</v>
      </c>
      <c r="P249" s="5">
        <f>COUNTIF(V$19:V249,"&gt;="&amp;MAX($V:$V)-183)</f>
        <v>0</v>
      </c>
      <c r="Q249" s="5">
        <f>COUNTIF(V$19:V249,"&gt;="&amp;MAX($V:$V)-365)</f>
        <v>0</v>
      </c>
      <c r="R249" s="5" cm="1">
        <f t="array" ref="R249">LOOKUP(2,1/($G$46:$G$50&lt;=$V249)/($H$46:$H$50&gt;=$V249),$F$46:$F$50)</f>
        <v>0</v>
      </c>
      <c r="S249" s="5" cm="1">
        <f t="array" ref="S249">LOOKUP(2,1/($G$53:$G$56&lt;=$V249)/($H$53:$H$56&gt;=$V249),$F$53:$F$56)</f>
        <v>0</v>
      </c>
      <c r="T249" s="5" t="e">
        <f>IFERROR(IF($R249&gt;0,$R249&amp;"-"&amp;COUNTIF($R$19:$R249,$R249),NA()),NA())</f>
        <v>#N/A</v>
      </c>
      <c r="U249" s="5" t="e">
        <f>IFERROR(IF($S249&gt;0,$S249&amp;"-"&amp;COUNTIF($S$19:$S249,$S249),NA()),NA())</f>
        <v>#N/A</v>
      </c>
      <c r="V249" s="10">
        <v>44448</v>
      </c>
      <c r="W249" s="101">
        <v>19506276.92307692</v>
      </c>
      <c r="X249" s="101">
        <v>23666965.790769227</v>
      </c>
      <c r="Y249" s="102">
        <v>3000000</v>
      </c>
      <c r="JE249" s="12"/>
      <c r="JF249" s="12"/>
      <c r="JG249" s="109"/>
      <c r="JH249" s="109"/>
      <c r="JI249" s="109"/>
      <c r="JJ249" s="109"/>
    </row>
    <row r="250" spans="13:281" x14ac:dyDescent="0.25">
      <c r="M250" s="5" t="str" cm="1">
        <f t="array" ref="M250">LOOKUP(2,1/($G$19:$G$35&lt;=$V250)/($H$19:$H$35&gt;=$V250),$F$19:$F$35)</f>
        <v>1H22</v>
      </c>
      <c r="N250" s="5" t="str" cm="1">
        <f t="array" ref="N250">LOOKUP(2,1/($G$8:$G$16&lt;=$V250)/($H$8:$H$16&gt;=$V250),$F$8:$F$16)</f>
        <v>FY22</v>
      </c>
      <c r="O250" s="5" t="str">
        <f>IFERROR(N250&amp;"-"&amp;COUNTIF($N$19:N250,N250),NA())</f>
        <v>FY22-12</v>
      </c>
      <c r="P250" s="5">
        <f>COUNTIF(V$19:V250,"&gt;="&amp;MAX($V:$V)-183)</f>
        <v>0</v>
      </c>
      <c r="Q250" s="5">
        <f>COUNTIF(V$19:V250,"&gt;="&amp;MAX($V:$V)-365)</f>
        <v>0</v>
      </c>
      <c r="R250" s="5" cm="1">
        <f t="array" ref="R250">LOOKUP(2,1/($G$46:$G$50&lt;=$V250)/($H$46:$H$50&gt;=$V250),$F$46:$F$50)</f>
        <v>0</v>
      </c>
      <c r="S250" s="5" cm="1">
        <f t="array" ref="S250">LOOKUP(2,1/($G$53:$G$56&lt;=$V250)/($H$53:$H$56&gt;=$V250),$F$53:$F$56)</f>
        <v>0</v>
      </c>
      <c r="T250" s="5" t="e">
        <f>IFERROR(IF($R250&gt;0,$R250&amp;"-"&amp;COUNTIF($R$19:$R250,$R250),NA()),NA())</f>
        <v>#N/A</v>
      </c>
      <c r="U250" s="5" t="e">
        <f>IFERROR(IF($S250&gt;0,$S250&amp;"-"&amp;COUNTIF($S$19:$S250,$S250),NA()),NA())</f>
        <v>#N/A</v>
      </c>
      <c r="V250" s="10">
        <v>44455</v>
      </c>
      <c r="W250" s="101">
        <v>25355454.910307083</v>
      </c>
      <c r="X250" s="101">
        <v>30763773.442675587</v>
      </c>
      <c r="Y250" s="102">
        <v>8000000</v>
      </c>
      <c r="JE250" s="12"/>
      <c r="JF250" s="12"/>
      <c r="JG250" s="109"/>
      <c r="JH250" s="109"/>
      <c r="JI250" s="109"/>
      <c r="JJ250" s="109"/>
    </row>
    <row r="251" spans="13:281" x14ac:dyDescent="0.25">
      <c r="M251" s="5" t="str" cm="1">
        <f t="array" ref="M251">LOOKUP(2,1/($G$19:$G$35&lt;=$V251)/($H$19:$H$35&gt;=$V251),$F$19:$F$35)</f>
        <v>1H22</v>
      </c>
      <c r="N251" s="5" t="str" cm="1">
        <f t="array" ref="N251">LOOKUP(2,1/($G$8:$G$16&lt;=$V251)/($H$8:$H$16&gt;=$V251),$F$8:$F$16)</f>
        <v>FY22</v>
      </c>
      <c r="O251" s="5" t="str">
        <f>IFERROR(N251&amp;"-"&amp;COUNTIF($N$19:N251,N251),NA())</f>
        <v>FY22-13</v>
      </c>
      <c r="P251" s="5">
        <f>COUNTIF(V$19:V251,"&gt;="&amp;MAX($V:$V)-183)</f>
        <v>0</v>
      </c>
      <c r="Q251" s="5">
        <f>COUNTIF(V$19:V251,"&gt;="&amp;MAX($V:$V)-365)</f>
        <v>0</v>
      </c>
      <c r="R251" s="5" cm="1">
        <f t="array" ref="R251">LOOKUP(2,1/($G$46:$G$50&lt;=$V251)/($H$46:$H$50&gt;=$V251),$F$46:$F$50)</f>
        <v>0</v>
      </c>
      <c r="S251" s="5" cm="1">
        <f t="array" ref="S251">LOOKUP(2,1/($G$53:$G$56&lt;=$V251)/($H$53:$H$56&gt;=$V251),$F$53:$F$56)</f>
        <v>0</v>
      </c>
      <c r="T251" s="5" t="e">
        <f>IFERROR(IF($R251&gt;0,$R251&amp;"-"&amp;COUNTIF($R$19:$R251,$R251),NA()),NA())</f>
        <v>#N/A</v>
      </c>
      <c r="U251" s="5" t="e">
        <f>IFERROR(IF($S251&gt;0,$S251&amp;"-"&amp;COUNTIF($S$19:$S251,$S251),NA()),NA())</f>
        <v>#N/A</v>
      </c>
      <c r="V251" s="10">
        <v>44462</v>
      </c>
      <c r="W251" s="101">
        <v>19222718.151413802</v>
      </c>
      <c r="X251" s="101">
        <v>23322923.933110368</v>
      </c>
      <c r="Y251" s="102">
        <v>3000000</v>
      </c>
      <c r="JE251" s="12"/>
      <c r="JF251" s="12"/>
      <c r="JG251" s="109"/>
      <c r="JH251" s="109"/>
      <c r="JI251" s="109"/>
      <c r="JJ251" s="109"/>
    </row>
    <row r="252" spans="13:281" x14ac:dyDescent="0.25">
      <c r="M252" s="5" t="str" cm="1">
        <f t="array" ref="M252">LOOKUP(2,1/($G$19:$G$35&lt;=$V252)/($H$19:$H$35&gt;=$V252),$F$19:$F$35)</f>
        <v>1H22</v>
      </c>
      <c r="N252" s="5" t="str" cm="1">
        <f t="array" ref="N252">LOOKUP(2,1/($G$8:$G$16&lt;=$V252)/($H$8:$H$16&gt;=$V252),$F$8:$F$16)</f>
        <v>FY22</v>
      </c>
      <c r="O252" s="5" t="str">
        <f>IFERROR(N252&amp;"-"&amp;COUNTIF($N$19:N252,N252),NA())</f>
        <v>FY22-14</v>
      </c>
      <c r="P252" s="5">
        <f>COUNTIF(V$19:V252,"&gt;="&amp;MAX($V:$V)-183)</f>
        <v>0</v>
      </c>
      <c r="Q252" s="5">
        <f>COUNTIF(V$19:V252,"&gt;="&amp;MAX($V:$V)-365)</f>
        <v>0</v>
      </c>
      <c r="R252" s="5" cm="1">
        <f t="array" ref="R252">LOOKUP(2,1/($G$46:$G$50&lt;=$V252)/($H$46:$H$50&gt;=$V252),$F$46:$F$50)</f>
        <v>0</v>
      </c>
      <c r="S252" s="5" cm="1">
        <f t="array" ref="S252">LOOKUP(2,1/($G$53:$G$56&lt;=$V252)/($H$53:$H$56&gt;=$V252),$F$53:$F$56)</f>
        <v>0</v>
      </c>
      <c r="T252" s="5" t="e">
        <f>IFERROR(IF($R252&gt;0,$R252&amp;"-"&amp;COUNTIF($R$19:$R252,$R252),NA()),NA())</f>
        <v>#N/A</v>
      </c>
      <c r="U252" s="5" t="e">
        <f>IFERROR(IF($S252&gt;0,$S252&amp;"-"&amp;COUNTIF($S$19:$S252,$S252),NA()),NA())</f>
        <v>#N/A</v>
      </c>
      <c r="V252" s="10">
        <v>44469</v>
      </c>
      <c r="W252" s="101">
        <v>26314208.574034661</v>
      </c>
      <c r="X252" s="101">
        <v>31927029.262876257</v>
      </c>
      <c r="Y252" s="102">
        <v>8000000</v>
      </c>
      <c r="JE252" s="12"/>
      <c r="JF252" s="12"/>
      <c r="JG252" s="109"/>
      <c r="JH252" s="109"/>
      <c r="JI252" s="109"/>
      <c r="JJ252" s="109"/>
    </row>
    <row r="253" spans="13:281" x14ac:dyDescent="0.25">
      <c r="M253" s="5" t="str" cm="1">
        <f t="array" ref="M253">LOOKUP(2,1/($G$19:$G$35&lt;=$V253)/($H$19:$H$35&gt;=$V253),$F$19:$F$35)</f>
        <v>1H22</v>
      </c>
      <c r="N253" s="5" t="str" cm="1">
        <f t="array" ref="N253">LOOKUP(2,1/($G$8:$G$16&lt;=$V253)/($H$8:$H$16&gt;=$V253),$F$8:$F$16)</f>
        <v>FY22</v>
      </c>
      <c r="O253" s="5" t="str">
        <f>IFERROR(N253&amp;"-"&amp;COUNTIF($N$19:N253,N253),NA())</f>
        <v>FY22-15</v>
      </c>
      <c r="P253" s="5">
        <f>COUNTIF(V$19:V253,"&gt;="&amp;MAX($V:$V)-183)</f>
        <v>0</v>
      </c>
      <c r="Q253" s="5">
        <f>COUNTIF(V$19:V253,"&gt;="&amp;MAX($V:$V)-365)</f>
        <v>0</v>
      </c>
      <c r="R253" s="5" cm="1">
        <f t="array" ref="R253">LOOKUP(2,1/($G$46:$G$50&lt;=$V253)/($H$46:$H$50&gt;=$V253),$F$46:$F$50)</f>
        <v>0</v>
      </c>
      <c r="S253" s="5" cm="1">
        <f t="array" ref="S253">LOOKUP(2,1/($G$53:$G$56&lt;=$V253)/($H$53:$H$56&gt;=$V253),$F$53:$F$56)</f>
        <v>0</v>
      </c>
      <c r="T253" s="5" t="e">
        <f>IFERROR(IF($R253&gt;0,$R253&amp;"-"&amp;COUNTIF($R$19:$R253,$R253),NA()),NA())</f>
        <v>#N/A</v>
      </c>
      <c r="U253" s="5" t="e">
        <f>IFERROR(IF($S253&gt;0,$S253&amp;"-"&amp;COUNTIF($S$19:$S253,$S253),NA()),NA())</f>
        <v>#N/A</v>
      </c>
      <c r="V253" s="10">
        <v>44476</v>
      </c>
      <c r="W253" s="101">
        <v>42338397.567649737</v>
      </c>
      <c r="X253" s="101">
        <v>51369177.768829428</v>
      </c>
      <c r="Y253" s="102">
        <v>20000000</v>
      </c>
      <c r="JE253" s="12"/>
      <c r="JF253" s="12"/>
      <c r="JG253" s="109"/>
      <c r="JH253" s="109"/>
      <c r="JI253" s="109"/>
      <c r="JJ253" s="109"/>
    </row>
    <row r="254" spans="13:281" x14ac:dyDescent="0.25">
      <c r="M254" s="5" t="str" cm="1">
        <f t="array" ref="M254">LOOKUP(2,1/($G$19:$G$35&lt;=$V254)/($H$19:$H$35&gt;=$V254),$F$19:$F$35)</f>
        <v>1H22</v>
      </c>
      <c r="N254" s="5" t="str" cm="1">
        <f t="array" ref="N254">LOOKUP(2,1/($G$8:$G$16&lt;=$V254)/($H$8:$H$16&gt;=$V254),$F$8:$F$16)</f>
        <v>FY22</v>
      </c>
      <c r="O254" s="5" t="str">
        <f>IFERROR(N254&amp;"-"&amp;COUNTIF($N$19:N254,N254),NA())</f>
        <v>FY22-16</v>
      </c>
      <c r="P254" s="5">
        <f>COUNTIF(V$19:V254,"&gt;="&amp;MAX($V:$V)-183)</f>
        <v>0</v>
      </c>
      <c r="Q254" s="5">
        <f>COUNTIF(V$19:V254,"&gt;="&amp;MAX($V:$V)-365)</f>
        <v>0</v>
      </c>
      <c r="R254" s="5" cm="1">
        <f t="array" ref="R254">LOOKUP(2,1/($G$46:$G$50&lt;=$V254)/($H$46:$H$50&gt;=$V254),$F$46:$F$50)</f>
        <v>0</v>
      </c>
      <c r="S254" s="5" cm="1">
        <f t="array" ref="S254">LOOKUP(2,1/($G$53:$G$56&lt;=$V254)/($H$53:$H$56&gt;=$V254),$F$53:$F$56)</f>
        <v>0</v>
      </c>
      <c r="T254" s="5" t="e">
        <f>IFERROR(IF($R254&gt;0,$R254&amp;"-"&amp;COUNTIF($R$19:$R254,$R254),NA()),NA())</f>
        <v>#N/A</v>
      </c>
      <c r="U254" s="5" t="e">
        <f>IFERROR(IF($S254&gt;0,$S254&amp;"-"&amp;COUNTIF($S$19:$S254,$S254),NA()),NA())</f>
        <v>#N/A</v>
      </c>
      <c r="V254" s="10">
        <v>44483</v>
      </c>
      <c r="W254" s="101">
        <v>59016362.663423538</v>
      </c>
      <c r="X254" s="101">
        <v>71604552.819531783</v>
      </c>
      <c r="Y254" s="102">
        <v>40000000</v>
      </c>
      <c r="JE254" s="12"/>
      <c r="JF254" s="12"/>
      <c r="JG254" s="109"/>
      <c r="JH254" s="109"/>
      <c r="JI254" s="109"/>
      <c r="JJ254" s="109"/>
    </row>
    <row r="255" spans="13:281" x14ac:dyDescent="0.25">
      <c r="M255" s="5" t="str" cm="1">
        <f t="array" ref="M255">LOOKUP(2,1/($G$19:$G$35&lt;=$V255)/($H$19:$H$35&gt;=$V255),$F$19:$F$35)</f>
        <v>1H22</v>
      </c>
      <c r="N255" s="5" t="str" cm="1">
        <f t="array" ref="N255">LOOKUP(2,1/($G$8:$G$16&lt;=$V255)/($H$8:$H$16&gt;=$V255),$F$8:$F$16)</f>
        <v>FY22</v>
      </c>
      <c r="O255" s="5" t="str">
        <f>IFERROR(N255&amp;"-"&amp;COUNTIF($N$19:N255,N255),NA())</f>
        <v>FY22-17</v>
      </c>
      <c r="P255" s="5">
        <f>COUNTIF(V$19:V255,"&gt;="&amp;MAX($V:$V)-183)</f>
        <v>0</v>
      </c>
      <c r="Q255" s="5">
        <f>COUNTIF(V$19:V255,"&gt;="&amp;MAX($V:$V)-365)</f>
        <v>0</v>
      </c>
      <c r="R255" s="5" cm="1">
        <f t="array" ref="R255">LOOKUP(2,1/($G$46:$G$50&lt;=$V255)/($H$46:$H$50&gt;=$V255),$F$46:$F$50)</f>
        <v>0</v>
      </c>
      <c r="S255" s="5" cm="1">
        <f t="array" ref="S255">LOOKUP(2,1/($G$53:$G$56&lt;=$V255)/($H$53:$H$56&gt;=$V255),$F$53:$F$56)</f>
        <v>0</v>
      </c>
      <c r="T255" s="5" t="e">
        <f>IFERROR(IF($R255&gt;0,$R255&amp;"-"&amp;COUNTIF($R$19:$R255,$R255),NA()),NA())</f>
        <v>#N/A</v>
      </c>
      <c r="U255" s="5" t="e">
        <f>IFERROR(IF($S255&gt;0,$S255&amp;"-"&amp;COUNTIF($S$19:$S255,$S255),NA()),NA())</f>
        <v>#N/A</v>
      </c>
      <c r="V255" s="10">
        <v>44490</v>
      </c>
      <c r="W255" s="101">
        <v>83423387.290969908</v>
      </c>
      <c r="X255" s="101">
        <v>101217595.80013379</v>
      </c>
      <c r="Y255" s="102">
        <v>60000000</v>
      </c>
      <c r="JE255" s="12"/>
      <c r="JF255" s="12"/>
      <c r="JG255" s="109"/>
      <c r="JH255" s="109"/>
      <c r="JI255" s="109"/>
      <c r="JJ255" s="109"/>
    </row>
    <row r="256" spans="13:281" x14ac:dyDescent="0.25">
      <c r="M256" s="5" t="str" cm="1">
        <f t="array" ref="M256">LOOKUP(2,1/($G$19:$G$35&lt;=$V256)/($H$19:$H$35&gt;=$V256),$F$19:$F$35)</f>
        <v>1H22</v>
      </c>
      <c r="N256" s="5" t="str" cm="1">
        <f t="array" ref="N256">LOOKUP(2,1/($G$8:$G$16&lt;=$V256)/($H$8:$H$16&gt;=$V256),$F$8:$F$16)</f>
        <v>FY22</v>
      </c>
      <c r="O256" s="5" t="str">
        <f>IFERROR(N256&amp;"-"&amp;COUNTIF($N$19:N256,N256),NA())</f>
        <v>FY22-18</v>
      </c>
      <c r="P256" s="5">
        <f>COUNTIF(V$19:V256,"&gt;="&amp;MAX($V:$V)-183)</f>
        <v>0</v>
      </c>
      <c r="Q256" s="5">
        <f>COUNTIF(V$19:V256,"&gt;="&amp;MAX($V:$V)-365)</f>
        <v>0</v>
      </c>
      <c r="R256" s="5" cm="1">
        <f t="array" ref="R256">LOOKUP(2,1/($G$46:$G$50&lt;=$V256)/($H$46:$H$50&gt;=$V256),$F$46:$F$50)</f>
        <v>0</v>
      </c>
      <c r="S256" s="5" cm="1">
        <f t="array" ref="S256">LOOKUP(2,1/($G$53:$G$56&lt;=$V256)/($H$53:$H$56&gt;=$V256),$F$53:$F$56)</f>
        <v>0</v>
      </c>
      <c r="T256" s="5" t="e">
        <f>IFERROR(IF($R256&gt;0,$R256&amp;"-"&amp;COUNTIF($R$19:$R256,$R256),NA()),NA())</f>
        <v>#N/A</v>
      </c>
      <c r="U256" s="5" t="e">
        <f>IFERROR(IF($S256&gt;0,$S256&amp;"-"&amp;COUNTIF($S$19:$S256,$S256),NA()),NA())</f>
        <v>#N/A</v>
      </c>
      <c r="V256" s="10">
        <v>44497</v>
      </c>
      <c r="W256" s="101">
        <v>18862208.574034657</v>
      </c>
      <c r="X256" s="101">
        <v>22885517.662876252</v>
      </c>
      <c r="Y256" s="102">
        <v>3000000</v>
      </c>
      <c r="JE256" s="12"/>
      <c r="JF256" s="12"/>
      <c r="JG256" s="109"/>
      <c r="JH256" s="109"/>
      <c r="JI256" s="109"/>
      <c r="JJ256" s="109"/>
    </row>
    <row r="257" spans="13:270" x14ac:dyDescent="0.25">
      <c r="M257" s="5" t="str" cm="1">
        <f t="array" ref="M257">LOOKUP(2,1/($G$19:$G$35&lt;=$V257)/($H$19:$H$35&gt;=$V257),$F$19:$F$35)</f>
        <v>1H22</v>
      </c>
      <c r="N257" s="5" t="str" cm="1">
        <f t="array" ref="N257">LOOKUP(2,1/($G$8:$G$16&lt;=$V257)/($H$8:$H$16&gt;=$V257),$F$8:$F$16)</f>
        <v>FY22</v>
      </c>
      <c r="O257" s="5" t="str">
        <f>IFERROR(N257&amp;"-"&amp;COUNTIF($N$19:N257,N257),NA())</f>
        <v>FY22-19</v>
      </c>
      <c r="P257" s="5">
        <f>COUNTIF(V$19:V257,"&gt;="&amp;MAX($V:$V)-183)</f>
        <v>0</v>
      </c>
      <c r="Q257" s="5">
        <f>COUNTIF(V$19:V257,"&gt;="&amp;MAX($V:$V)-365)</f>
        <v>0</v>
      </c>
      <c r="R257" s="5" cm="1">
        <f t="array" ref="R257">LOOKUP(2,1/($G$46:$G$50&lt;=$V257)/($H$46:$H$50&gt;=$V257),$F$46:$F$50)</f>
        <v>0</v>
      </c>
      <c r="S257" s="5" cm="1">
        <f t="array" ref="S257">LOOKUP(2,1/($G$53:$G$56&lt;=$V257)/($H$53:$H$56&gt;=$V257),$F$53:$F$56)</f>
        <v>0</v>
      </c>
      <c r="T257" s="5" t="e">
        <f>IFERROR(IF($R257&gt;0,$R257&amp;"-"&amp;COUNTIF($R$19:$R257,$R257),NA()),NA())</f>
        <v>#N/A</v>
      </c>
      <c r="U257" s="5" t="e">
        <f>IFERROR(IF($S257&gt;0,$S257&amp;"-"&amp;COUNTIF($S$19:$S257,$S257),NA()),NA())</f>
        <v>#N/A</v>
      </c>
      <c r="V257" s="10">
        <v>44504</v>
      </c>
      <c r="W257" s="101">
        <v>25128435.147461236</v>
      </c>
      <c r="X257" s="101">
        <v>30488330.364414718</v>
      </c>
      <c r="Y257" s="102">
        <v>8000000</v>
      </c>
      <c r="JE257" s="12"/>
      <c r="JF257" s="12"/>
      <c r="JG257" s="109"/>
      <c r="JH257" s="109"/>
      <c r="JI257" s="109"/>
      <c r="JJ257" s="109"/>
    </row>
    <row r="258" spans="13:270" x14ac:dyDescent="0.25">
      <c r="M258" s="5" t="str" cm="1">
        <f t="array" ref="M258">LOOKUP(2,1/($G$19:$G$35&lt;=$V258)/($H$19:$H$35&gt;=$V258),$F$19:$F$35)</f>
        <v>1H22</v>
      </c>
      <c r="N258" s="5" t="str" cm="1">
        <f t="array" ref="N258">LOOKUP(2,1/($G$8:$G$16&lt;=$V258)/($H$8:$H$16&gt;=$V258),$F$8:$F$16)</f>
        <v>FY22</v>
      </c>
      <c r="O258" s="5" t="str">
        <f>IFERROR(N258&amp;"-"&amp;COUNTIF($N$19:N258,N258),NA())</f>
        <v>FY22-20</v>
      </c>
      <c r="P258" s="5">
        <f>COUNTIF(V$19:V258,"&gt;="&amp;MAX($V:$V)-183)</f>
        <v>0</v>
      </c>
      <c r="Q258" s="5">
        <f>COUNTIF(V$19:V258,"&gt;="&amp;MAX($V:$V)-365)</f>
        <v>0</v>
      </c>
      <c r="R258" s="5" cm="1">
        <f t="array" ref="R258">LOOKUP(2,1/($G$46:$G$50&lt;=$V258)/($H$46:$H$50&gt;=$V258),$F$46:$F$50)</f>
        <v>0</v>
      </c>
      <c r="S258" s="5" cm="1">
        <f t="array" ref="S258">LOOKUP(2,1/($G$53:$G$56&lt;=$V258)/($H$53:$H$56&gt;=$V258),$F$53:$F$56)</f>
        <v>0</v>
      </c>
      <c r="T258" s="5" t="e">
        <f>IFERROR(IF($R258&gt;0,$R258&amp;"-"&amp;COUNTIF($R$19:$R258,$R258),NA()),NA())</f>
        <v>#N/A</v>
      </c>
      <c r="U258" s="5" t="e">
        <f>IFERROR(IF($S258&gt;0,$S258&amp;"-"&amp;COUNTIF($S$19:$S258,$S258),NA()),NA())</f>
        <v>#N/A</v>
      </c>
      <c r="V258" s="10">
        <v>44511</v>
      </c>
      <c r="W258" s="101">
        <v>41533547.217999399</v>
      </c>
      <c r="X258" s="101">
        <v>50392652.839598671</v>
      </c>
      <c r="Y258" s="102">
        <v>20000000</v>
      </c>
      <c r="JE258" s="12"/>
      <c r="JF258" s="12"/>
      <c r="JG258" s="109"/>
      <c r="JH258" s="109"/>
      <c r="JI258" s="109"/>
      <c r="JJ258" s="109"/>
    </row>
    <row r="259" spans="13:270" x14ac:dyDescent="0.25">
      <c r="M259" s="5" t="str" cm="1">
        <f t="array" ref="M259">LOOKUP(2,1/($G$19:$G$35&lt;=$V259)/($H$19:$H$35&gt;=$V259),$F$19:$F$35)</f>
        <v>1H22</v>
      </c>
      <c r="N259" s="5" t="str" cm="1">
        <f t="array" ref="N259">LOOKUP(2,1/($G$8:$G$16&lt;=$V259)/($H$8:$H$16&gt;=$V259),$F$8:$F$16)</f>
        <v>FY22</v>
      </c>
      <c r="O259" s="5" t="str">
        <f>IFERROR(N259&amp;"-"&amp;COUNTIF($N$19:N259,N259),NA())</f>
        <v>FY22-21</v>
      </c>
      <c r="P259" s="5">
        <f>COUNTIF(V$19:V259,"&gt;="&amp;MAX($V:$V)-183)</f>
        <v>0</v>
      </c>
      <c r="Q259" s="5">
        <f>COUNTIF(V$19:V259,"&gt;="&amp;MAX($V:$V)-365)</f>
        <v>0</v>
      </c>
      <c r="R259" s="5" cm="1">
        <f t="array" ref="R259">LOOKUP(2,1/($G$46:$G$50&lt;=$V259)/($H$46:$H$50&gt;=$V259),$F$46:$F$50)</f>
        <v>0</v>
      </c>
      <c r="S259" s="5" cm="1">
        <f t="array" ref="S259">LOOKUP(2,1/($G$53:$G$56&lt;=$V259)/($H$53:$H$56&gt;=$V259),$F$53:$F$56)</f>
        <v>0</v>
      </c>
      <c r="T259" s="5" t="e">
        <f>IFERROR(IF($R259&gt;0,$R259&amp;"-"&amp;COUNTIF($R$19:$R259,$R259),NA()),NA())</f>
        <v>#N/A</v>
      </c>
      <c r="U259" s="5" t="e">
        <f>IFERROR(IF($S259&gt;0,$S259&amp;"-"&amp;COUNTIF($S$19:$S259,$S259),NA()),NA())</f>
        <v>#N/A</v>
      </c>
      <c r="V259" s="10">
        <v>44518</v>
      </c>
      <c r="W259" s="101">
        <v>57357794.101550631</v>
      </c>
      <c r="X259" s="101">
        <v>69592211.583411381</v>
      </c>
      <c r="Y259" s="102">
        <v>40000000</v>
      </c>
      <c r="JE259" s="12"/>
      <c r="JF259" s="12"/>
      <c r="JG259" s="109"/>
      <c r="JH259" s="109"/>
      <c r="JI259" s="109"/>
      <c r="JJ259" s="109"/>
    </row>
    <row r="260" spans="13:270" x14ac:dyDescent="0.25">
      <c r="M260" s="5" t="str" cm="1">
        <f t="array" ref="M260">LOOKUP(2,1/($G$19:$G$35&lt;=$V260)/($H$19:$H$35&gt;=$V260),$F$19:$F$35)</f>
        <v>1H22</v>
      </c>
      <c r="N260" s="5" t="str" cm="1">
        <f t="array" ref="N260">LOOKUP(2,1/($G$8:$G$16&lt;=$V260)/($H$8:$H$16&gt;=$V260),$F$8:$F$16)</f>
        <v>FY22</v>
      </c>
      <c r="O260" s="5" t="str">
        <f>IFERROR(N260&amp;"-"&amp;COUNTIF($N$19:N260,N260),NA())</f>
        <v>FY22-22</v>
      </c>
      <c r="P260" s="5">
        <f>COUNTIF(V$19:V260,"&gt;="&amp;MAX($V:$V)-183)</f>
        <v>0</v>
      </c>
      <c r="Q260" s="5">
        <f>COUNTIF(V$19:V260,"&gt;="&amp;MAX($V:$V)-365)</f>
        <v>0</v>
      </c>
      <c r="R260" s="5" cm="1">
        <f t="array" ref="R260">LOOKUP(2,1/($G$46:$G$50&lt;=$V260)/($H$46:$H$50&gt;=$V260),$F$46:$F$50)</f>
        <v>0</v>
      </c>
      <c r="S260" s="5" cm="1">
        <f t="array" ref="S260">LOOKUP(2,1/($G$53:$G$56&lt;=$V260)/($H$53:$H$56&gt;=$V260),$F$53:$F$56)</f>
        <v>0</v>
      </c>
      <c r="T260" s="5" t="e">
        <f>IFERROR(IF($R260&gt;0,$R260&amp;"-"&amp;COUNTIF($R$19:$R260,$R260),NA()),NA())</f>
        <v>#N/A</v>
      </c>
      <c r="U260" s="5" t="e">
        <f>IFERROR(IF($S260&gt;0,$S260&amp;"-"&amp;COUNTIF($S$19:$S260,$S260),NA()),NA())</f>
        <v>#N/A</v>
      </c>
      <c r="V260" s="10">
        <v>44525</v>
      </c>
      <c r="W260" s="101">
        <v>81402100.334448159</v>
      </c>
      <c r="X260" s="101">
        <v>98765168.335785955</v>
      </c>
      <c r="Y260" s="102">
        <v>60000000</v>
      </c>
      <c r="JE260" s="12"/>
      <c r="JF260" s="12"/>
      <c r="JG260" s="109"/>
      <c r="JH260" s="109"/>
      <c r="JI260" s="109"/>
      <c r="JJ260" s="109"/>
    </row>
    <row r="261" spans="13:270" x14ac:dyDescent="0.25">
      <c r="M261" s="5" t="str" cm="1">
        <f t="array" ref="M261">LOOKUP(2,1/($G$19:$G$35&lt;=$V261)/($H$19:$H$35&gt;=$V261),$F$19:$F$35)</f>
        <v>1H22</v>
      </c>
      <c r="N261" s="5" t="str" cm="1">
        <f t="array" ref="N261">LOOKUP(2,1/($G$8:$G$16&lt;=$V261)/($H$8:$H$16&gt;=$V261),$F$8:$F$16)</f>
        <v>FY22</v>
      </c>
      <c r="O261" s="5" t="str">
        <f>IFERROR(N261&amp;"-"&amp;COUNTIF($N$19:N261,N261),NA())</f>
        <v>FY22-23</v>
      </c>
      <c r="P261" s="5">
        <f>COUNTIF(V$19:V261,"&gt;="&amp;MAX($V:$V)-183)</f>
        <v>0</v>
      </c>
      <c r="Q261" s="5">
        <f>COUNTIF(V$19:V261,"&gt;="&amp;MAX($V:$V)-365)</f>
        <v>0</v>
      </c>
      <c r="R261" s="5" cm="1">
        <f t="array" ref="R261">LOOKUP(2,1/($G$46:$G$50&lt;=$V261)/($H$46:$H$50&gt;=$V261),$F$46:$F$50)</f>
        <v>0</v>
      </c>
      <c r="S261" s="5" cm="1">
        <f t="array" ref="S261">LOOKUP(2,1/($G$53:$G$56&lt;=$V261)/($H$53:$H$56&gt;=$V261),$F$53:$F$56)</f>
        <v>0</v>
      </c>
      <c r="T261" s="5" t="e">
        <f>IFERROR(IF($R261&gt;0,$R261&amp;"-"&amp;COUNTIF($R$19:$R261,$R261),NA()),NA())</f>
        <v>#N/A</v>
      </c>
      <c r="U261" s="5" t="e">
        <f>IFERROR(IF($S261&gt;0,$S261&amp;"-"&amp;COUNTIF($S$19:$S261,$S261),NA()),NA())</f>
        <v>#N/A</v>
      </c>
      <c r="V261" s="10">
        <v>44532</v>
      </c>
      <c r="W261" s="101">
        <v>109814245.30252357</v>
      </c>
      <c r="X261" s="101">
        <v>133237623.82555185</v>
      </c>
      <c r="Y261" s="102">
        <v>80000000</v>
      </c>
      <c r="JE261" s="12"/>
      <c r="JF261" s="12"/>
      <c r="JG261" s="109"/>
      <c r="JH261" s="109"/>
      <c r="JI261" s="109"/>
      <c r="JJ261" s="109"/>
    </row>
    <row r="262" spans="13:270" x14ac:dyDescent="0.25">
      <c r="M262" s="5" t="str" cm="1">
        <f t="array" ref="M262">LOOKUP(2,1/($G$19:$G$35&lt;=$V262)/($H$19:$H$35&gt;=$V262),$F$19:$F$35)</f>
        <v>1H22</v>
      </c>
      <c r="N262" s="5" t="str" cm="1">
        <f t="array" ref="N262">LOOKUP(2,1/($G$8:$G$16&lt;=$V262)/($H$8:$H$16&gt;=$V262),$F$8:$F$16)</f>
        <v>FY22</v>
      </c>
      <c r="O262" s="5" t="str">
        <f>IFERROR(N262&amp;"-"&amp;COUNTIF($N$19:N262,N262),NA())</f>
        <v>FY22-24</v>
      </c>
      <c r="P262" s="5">
        <f>COUNTIF(V$19:V262,"&gt;="&amp;MAX($V:$V)-183)</f>
        <v>0</v>
      </c>
      <c r="Q262" s="5">
        <f>COUNTIF(V$19:V262,"&gt;="&amp;MAX($V:$V)-365)</f>
        <v>0</v>
      </c>
      <c r="R262" s="5" cm="1">
        <f t="array" ref="R262">LOOKUP(2,1/($G$46:$G$50&lt;=$V262)/($H$46:$H$50&gt;=$V262),$F$46:$F$50)</f>
        <v>0</v>
      </c>
      <c r="S262" s="5" cm="1">
        <f t="array" ref="S262">LOOKUP(2,1/($G$53:$G$56&lt;=$V262)/($H$53:$H$56&gt;=$V262),$F$53:$F$56)</f>
        <v>0</v>
      </c>
      <c r="T262" s="5" t="e">
        <f>IFERROR(IF($R262&gt;0,$R262&amp;"-"&amp;COUNTIF($R$19:$R262,$R262),NA()),NA())</f>
        <v>#N/A</v>
      </c>
      <c r="U262" s="5" t="e">
        <f>IFERROR(IF($S262&gt;0,$S262&amp;"-"&amp;COUNTIF($S$19:$S262,$S262),NA()),NA())</f>
        <v>#N/A</v>
      </c>
      <c r="V262" s="10">
        <v>44539</v>
      </c>
      <c r="W262" s="101">
        <v>18912447.065977499</v>
      </c>
      <c r="X262" s="101">
        <v>22946472.0251505</v>
      </c>
      <c r="Y262" s="102">
        <v>3000000</v>
      </c>
      <c r="JE262" s="12"/>
      <c r="JF262" s="12"/>
      <c r="JG262" s="109"/>
      <c r="JH262" s="109"/>
      <c r="JI262" s="109"/>
      <c r="JJ262" s="109"/>
    </row>
    <row r="263" spans="13:270" x14ac:dyDescent="0.25">
      <c r="M263" s="5" t="str" cm="1">
        <f t="array" ref="M263">LOOKUP(2,1/($G$19:$G$35&lt;=$V263)/($H$19:$H$35&gt;=$V263),$F$19:$F$35)</f>
        <v>1H22</v>
      </c>
      <c r="N263" s="5" t="str" cm="1">
        <f t="array" ref="N263">LOOKUP(2,1/($G$8:$G$16&lt;=$V263)/($H$8:$H$16&gt;=$V263),$F$8:$F$16)</f>
        <v>FY22</v>
      </c>
      <c r="O263" s="5" t="str">
        <f>IFERROR(N263&amp;"-"&amp;COUNTIF($N$19:N263,N263),NA())</f>
        <v>FY22-25</v>
      </c>
      <c r="P263" s="5">
        <f>COUNTIF(V$19:V263,"&gt;="&amp;MAX($V:$V)-183)</f>
        <v>0</v>
      </c>
      <c r="Q263" s="5">
        <f>COUNTIF(V$19:V263,"&gt;="&amp;MAX($V:$V)-365)</f>
        <v>0</v>
      </c>
      <c r="R263" s="5" cm="1">
        <f t="array" ref="R263">LOOKUP(2,1/($G$46:$G$50&lt;=$V263)/($H$46:$H$50&gt;=$V263),$F$46:$F$50)</f>
        <v>0</v>
      </c>
      <c r="S263" s="5" cm="1">
        <f t="array" ref="S263">LOOKUP(2,1/($G$53:$G$56&lt;=$V263)/($H$53:$H$56&gt;=$V263),$F$53:$F$56)</f>
        <v>0</v>
      </c>
      <c r="T263" s="5" t="e">
        <f>IFERROR(IF($R263&gt;0,$R263&amp;"-"&amp;COUNTIF($R$19:$R263,$R263),NA()),NA())</f>
        <v>#N/A</v>
      </c>
      <c r="U263" s="5" t="e">
        <f>IFERROR(IF($S263&gt;0,$S263&amp;"-"&amp;COUNTIF($S$19:$S263,$S263),NA()),NA())</f>
        <v>#N/A</v>
      </c>
      <c r="V263" s="10">
        <v>44546</v>
      </c>
      <c r="W263" s="101">
        <v>26709691.456369717</v>
      </c>
      <c r="X263" s="101">
        <v>32406868.644013379</v>
      </c>
      <c r="Y263" s="102">
        <v>8000000</v>
      </c>
      <c r="JE263" s="12"/>
      <c r="JF263" s="12"/>
      <c r="JG263" s="109"/>
      <c r="JH263" s="109"/>
      <c r="JI263" s="109"/>
      <c r="JJ263" s="109"/>
    </row>
    <row r="264" spans="13:270" x14ac:dyDescent="0.25">
      <c r="M264" s="5" t="str" cm="1">
        <f t="array" ref="M264">LOOKUP(2,1/($G$19:$G$35&lt;=$V264)/($H$19:$H$35&gt;=$V264),$F$19:$F$35)</f>
        <v>1H22</v>
      </c>
      <c r="N264" s="5" t="str" cm="1">
        <f t="array" ref="N264">LOOKUP(2,1/($G$8:$G$16&lt;=$V264)/($H$8:$H$16&gt;=$V264),$F$8:$F$16)</f>
        <v>FY22</v>
      </c>
      <c r="O264" s="5" t="str">
        <f>IFERROR(N264&amp;"-"&amp;COUNTIF($N$19:N264,N264),NA())</f>
        <v>FY22-26</v>
      </c>
      <c r="P264" s="5">
        <f>COUNTIF(V$19:V264,"&gt;="&amp;MAX($V:$V)-183)</f>
        <v>0</v>
      </c>
      <c r="Q264" s="5">
        <f>COUNTIF(V$19:V264,"&gt;="&amp;MAX($V:$V)-365)</f>
        <v>0</v>
      </c>
      <c r="R264" s="5" cm="1">
        <f t="array" ref="R264">LOOKUP(2,1/($G$46:$G$50&lt;=$V264)/($H$46:$H$50&gt;=$V264),$F$46:$F$50)</f>
        <v>0</v>
      </c>
      <c r="S264" s="5" cm="1">
        <f t="array" ref="S264">LOOKUP(2,1/($G$53:$G$56&lt;=$V264)/($H$53:$H$56&gt;=$V264),$F$53:$F$56)</f>
        <v>0</v>
      </c>
      <c r="T264" s="5" t="e">
        <f>IFERROR(IF($R264&gt;0,$R264&amp;"-"&amp;COUNTIF($R$19:$R264,$R264),NA()),NA())</f>
        <v>#N/A</v>
      </c>
      <c r="U264" s="5" t="e">
        <f>IFERROR(IF($S264&gt;0,$S264&amp;"-"&amp;COUNTIF($S$19:$S264,$S264),NA()),NA())</f>
        <v>#N/A</v>
      </c>
      <c r="V264" s="10">
        <v>44553</v>
      </c>
      <c r="W264" s="101">
        <v>40654796.959562175</v>
      </c>
      <c r="X264" s="101">
        <v>49326465.151036792</v>
      </c>
      <c r="Y264" s="102">
        <v>20000000</v>
      </c>
      <c r="JE264" s="12"/>
      <c r="JF264" s="12"/>
      <c r="JG264" s="109"/>
      <c r="JH264" s="109"/>
      <c r="JI264" s="109"/>
      <c r="JJ264" s="109"/>
    </row>
    <row r="265" spans="13:270" x14ac:dyDescent="0.25">
      <c r="M265" s="5" t="str" cm="1">
        <f t="array" ref="M265">LOOKUP(2,1/($G$19:$G$35&lt;=$V265)/($H$19:$H$35&gt;=$V265),$F$19:$F$35)</f>
        <v>1H22</v>
      </c>
      <c r="N265" s="5" t="str" cm="1">
        <f t="array" ref="N265">LOOKUP(2,1/($G$8:$G$16&lt;=$V265)/($H$8:$H$16&gt;=$V265),$F$8:$F$16)</f>
        <v>FY22</v>
      </c>
      <c r="O265" s="5" t="str">
        <f>IFERROR(N265&amp;"-"&amp;COUNTIF($N$19:N265,N265),NA())</f>
        <v>FY22-27</v>
      </c>
      <c r="P265" s="5">
        <f>COUNTIF(V$19:V265,"&gt;="&amp;MAX($V:$V)-183)</f>
        <v>0</v>
      </c>
      <c r="Q265" s="5">
        <f>COUNTIF(V$19:V265,"&gt;="&amp;MAX($V:$V)-365)</f>
        <v>0</v>
      </c>
      <c r="R265" s="5" cm="1">
        <f t="array" ref="R265">LOOKUP(2,1/($G$46:$G$50&lt;=$V265)/($H$46:$H$50&gt;=$V265),$F$46:$F$50)</f>
        <v>0</v>
      </c>
      <c r="S265" s="5" cm="1">
        <f t="array" ref="S265">LOOKUP(2,1/($G$53:$G$56&lt;=$V265)/($H$53:$H$56&gt;=$V265),$F$53:$F$56)</f>
        <v>0</v>
      </c>
      <c r="T265" s="5" t="e">
        <f>IFERROR(IF($R265&gt;0,$R265&amp;"-"&amp;COUNTIF($R$19:$R265,$R265),NA()),NA())</f>
        <v>#N/A</v>
      </c>
      <c r="U265" s="5" t="e">
        <f>IFERROR(IF($S265&gt;0,$S265&amp;"-"&amp;COUNTIF($S$19:$S265,$S265),NA()),NA())</f>
        <v>#N/A</v>
      </c>
      <c r="V265" s="10">
        <v>44560</v>
      </c>
      <c r="W265" s="101">
        <v>45526023.472179994</v>
      </c>
      <c r="X265" s="101">
        <v>55236724.278795987</v>
      </c>
      <c r="Y265" s="102">
        <v>30000000</v>
      </c>
      <c r="JE265" s="12"/>
      <c r="JF265" s="12"/>
      <c r="JG265" s="109"/>
      <c r="JH265" s="109"/>
      <c r="JI265" s="109"/>
      <c r="JJ265" s="109"/>
    </row>
    <row r="266" spans="13:270" x14ac:dyDescent="0.25">
      <c r="M266" s="5" t="str" cm="1">
        <f t="array" ref="M266">LOOKUP(2,1/($G$19:$G$35&lt;=$V266)/($H$19:$H$35&gt;=$V266),$F$19:$F$35)</f>
        <v>2H22</v>
      </c>
      <c r="N266" s="5" t="str" cm="1">
        <f t="array" ref="N266">LOOKUP(2,1/($G$8:$G$16&lt;=$V266)/($H$8:$H$16&gt;=$V266),$F$8:$F$16)</f>
        <v>FY22</v>
      </c>
      <c r="O266" s="5" t="str">
        <f>IFERROR(N266&amp;"-"&amp;COUNTIF($N$19:N266,N266),NA())</f>
        <v>FY22-28</v>
      </c>
      <c r="P266" s="5">
        <f>COUNTIF(V$19:V266,"&gt;="&amp;MAX($V:$V)-183)</f>
        <v>0</v>
      </c>
      <c r="Q266" s="5">
        <f>COUNTIF(V$19:V266,"&gt;="&amp;MAX($V:$V)-365)</f>
        <v>0</v>
      </c>
      <c r="R266" s="5" cm="1">
        <f t="array" ref="R266">LOOKUP(2,1/($G$46:$G$50&lt;=$V266)/($H$46:$H$50&gt;=$V266),$F$46:$F$50)</f>
        <v>0</v>
      </c>
      <c r="S266" s="5" cm="1">
        <f t="array" ref="S266">LOOKUP(2,1/($G$53:$G$56&lt;=$V266)/($H$53:$H$56&gt;=$V266),$F$53:$F$56)</f>
        <v>0</v>
      </c>
      <c r="T266" s="5" t="e">
        <f>IFERROR(IF($R266&gt;0,$R266&amp;"-"&amp;COUNTIF($R$19:$R266,$R266),NA()),NA())</f>
        <v>#N/A</v>
      </c>
      <c r="U266" s="5" t="e">
        <f>IFERROR(IF($S266&gt;0,$S266&amp;"-"&amp;COUNTIF($S$19:$S266,$S266),NA()),NA())</f>
        <v>#N/A</v>
      </c>
      <c r="V266" s="10">
        <v>44567</v>
      </c>
      <c r="W266" s="101">
        <v>76041502.462754637</v>
      </c>
      <c r="X266" s="101">
        <v>92261154.938060209</v>
      </c>
      <c r="Y266" s="102">
        <v>60000000</v>
      </c>
      <c r="JE266" s="12"/>
      <c r="JF266" s="12"/>
      <c r="JG266" s="109"/>
      <c r="JH266" s="109"/>
      <c r="JI266" s="109"/>
      <c r="JJ266" s="109"/>
    </row>
    <row r="267" spans="13:270" x14ac:dyDescent="0.25">
      <c r="M267" s="5" t="str" cm="1">
        <f t="array" ref="M267">LOOKUP(2,1/($G$19:$G$35&lt;=$V267)/($H$19:$H$35&gt;=$V267),$F$19:$F$35)</f>
        <v>2H22</v>
      </c>
      <c r="N267" s="5" t="str" cm="1">
        <f t="array" ref="N267">LOOKUP(2,1/($G$8:$G$16&lt;=$V267)/($H$8:$H$16&gt;=$V267),$F$8:$F$16)</f>
        <v>FY22</v>
      </c>
      <c r="O267" s="5" t="str">
        <f>IFERROR(N267&amp;"-"&amp;COUNTIF($N$19:N267,N267),NA())</f>
        <v>FY22-29</v>
      </c>
      <c r="P267" s="5">
        <f>COUNTIF(V$19:V267,"&gt;="&amp;MAX($V:$V)-183)</f>
        <v>0</v>
      </c>
      <c r="Q267" s="5">
        <f>COUNTIF(V$19:V267,"&gt;="&amp;MAX($V:$V)-365)</f>
        <v>0</v>
      </c>
      <c r="R267" s="5" cm="1">
        <f t="array" ref="R267">LOOKUP(2,1/($G$46:$G$50&lt;=$V267)/($H$46:$H$50&gt;=$V267),$F$46:$F$50)</f>
        <v>0</v>
      </c>
      <c r="S267" s="5" cm="1">
        <f t="array" ref="S267">LOOKUP(2,1/($G$53:$G$56&lt;=$V267)/($H$53:$H$56&gt;=$V267),$F$53:$F$56)</f>
        <v>0</v>
      </c>
      <c r="T267" s="5" t="e">
        <f>IFERROR(IF($R267&gt;0,$R267&amp;"-"&amp;COUNTIF($R$19:$R267,$R267),NA()),NA())</f>
        <v>#N/A</v>
      </c>
      <c r="U267" s="5" t="e">
        <f>IFERROR(IF($S267&gt;0,$S267&amp;"-"&amp;COUNTIF($S$19:$S267,$S267),NA()),NA())</f>
        <v>#N/A</v>
      </c>
      <c r="V267" s="10">
        <v>44574</v>
      </c>
      <c r="W267" s="101">
        <v>18115088.35512314</v>
      </c>
      <c r="X267" s="101">
        <v>21979036.701270908</v>
      </c>
      <c r="Y267" s="102">
        <v>3000000</v>
      </c>
      <c r="JE267" s="12"/>
      <c r="JF267" s="12"/>
      <c r="JG267" s="109"/>
      <c r="JH267" s="109"/>
      <c r="JI267" s="109"/>
      <c r="JJ267" s="109"/>
    </row>
    <row r="268" spans="13:270" x14ac:dyDescent="0.25">
      <c r="M268" s="5" t="str" cm="1">
        <f t="array" ref="M268">LOOKUP(2,1/($G$19:$G$35&lt;=$V268)/($H$19:$H$35&gt;=$V268),$F$19:$F$35)</f>
        <v>2H22</v>
      </c>
      <c r="N268" s="5" t="str" cm="1">
        <f t="array" ref="N268">LOOKUP(2,1/($G$8:$G$16&lt;=$V268)/($H$8:$H$16&gt;=$V268),$F$8:$F$16)</f>
        <v>FY22</v>
      </c>
      <c r="O268" s="5" t="str">
        <f>IFERROR(N268&amp;"-"&amp;COUNTIF($N$19:N268,N268),NA())</f>
        <v>FY22-30</v>
      </c>
      <c r="P268" s="5">
        <f>COUNTIF(V$19:V268,"&gt;="&amp;MAX($V:$V)-183)</f>
        <v>0</v>
      </c>
      <c r="Q268" s="5">
        <f>COUNTIF(V$19:V268,"&gt;="&amp;MAX($V:$V)-365)</f>
        <v>0</v>
      </c>
      <c r="R268" s="5" cm="1">
        <f t="array" ref="R268">LOOKUP(2,1/($G$46:$G$50&lt;=$V268)/($H$46:$H$50&gt;=$V268),$F$46:$F$50)</f>
        <v>0</v>
      </c>
      <c r="S268" s="5" cm="1">
        <f t="array" ref="S268">LOOKUP(2,1/($G$53:$G$56&lt;=$V268)/($H$53:$H$56&gt;=$V268),$F$53:$F$56)</f>
        <v>0</v>
      </c>
      <c r="T268" s="5" t="e">
        <f>IFERROR(IF($R268&gt;0,$R268&amp;"-"&amp;COUNTIF($R$19:$R268,$R268),NA()),NA())</f>
        <v>#N/A</v>
      </c>
      <c r="U268" s="5" t="e">
        <f>IFERROR(IF($S268&gt;0,$S268&amp;"-"&amp;COUNTIF($S$19:$S268,$S268),NA()),NA())</f>
        <v>#N/A</v>
      </c>
      <c r="V268" s="10">
        <v>44581</v>
      </c>
      <c r="W268" s="101">
        <v>23312285.071450286</v>
      </c>
      <c r="X268" s="101">
        <v>28284795.477190632</v>
      </c>
      <c r="Y268" s="102">
        <v>8000000</v>
      </c>
      <c r="JE268" s="12"/>
      <c r="JF268" s="12"/>
      <c r="JG268" s="109"/>
      <c r="JH268" s="109"/>
      <c r="JI268" s="109"/>
      <c r="JJ268" s="109"/>
    </row>
    <row r="269" spans="13:270" x14ac:dyDescent="0.25">
      <c r="M269" s="5" t="str" cm="1">
        <f t="array" ref="M269">LOOKUP(2,1/($G$19:$G$35&lt;=$V269)/($H$19:$H$35&gt;=$V269),$F$19:$F$35)</f>
        <v>2H22</v>
      </c>
      <c r="N269" s="5" t="str" cm="1">
        <f t="array" ref="N269">LOOKUP(2,1/($G$8:$G$16&lt;=$V269)/($H$8:$H$16&gt;=$V269),$F$8:$F$16)</f>
        <v>FY22</v>
      </c>
      <c r="O269" s="5" t="str">
        <f>IFERROR(N269&amp;"-"&amp;COUNTIF($N$19:N269,N269),NA())</f>
        <v>FY22-31</v>
      </c>
      <c r="P269" s="5">
        <f>COUNTIF(V$19:V269,"&gt;="&amp;MAX($V:$V)-183)</f>
        <v>0</v>
      </c>
      <c r="Q269" s="5">
        <f>COUNTIF(V$19:V269,"&gt;="&amp;MAX($V:$V)-365)</f>
        <v>0</v>
      </c>
      <c r="R269" s="5" cm="1">
        <f t="array" ref="R269">LOOKUP(2,1/($G$46:$G$50&lt;=$V269)/($H$46:$H$50&gt;=$V269),$F$46:$F$50)</f>
        <v>0</v>
      </c>
      <c r="S269" s="5" cm="1">
        <f t="array" ref="S269">LOOKUP(2,1/($G$53:$G$56&lt;=$V269)/($H$53:$H$56&gt;=$V269),$F$53:$F$56)</f>
        <v>0</v>
      </c>
      <c r="T269" s="5" t="e">
        <f>IFERROR(IF($R269&gt;0,$R269&amp;"-"&amp;COUNTIF($R$19:$R269,$R269),NA()),NA())</f>
        <v>#N/A</v>
      </c>
      <c r="U269" s="5" t="e">
        <f>IFERROR(IF($S269&gt;0,$S269&amp;"-"&amp;COUNTIF($S$19:$S269,$S269),NA()),NA())</f>
        <v>#N/A</v>
      </c>
      <c r="V269" s="10">
        <v>44588</v>
      </c>
      <c r="W269" s="101">
        <v>34469990.878686532</v>
      </c>
      <c r="X269" s="101">
        <v>41822439.933110371</v>
      </c>
      <c r="Y269" s="102">
        <v>20000000</v>
      </c>
      <c r="JE269" s="12"/>
      <c r="JF269" s="12"/>
      <c r="JG269" s="109"/>
      <c r="JH269" s="109"/>
      <c r="JI269" s="109"/>
      <c r="JJ269" s="109"/>
    </row>
    <row r="270" spans="13:270" x14ac:dyDescent="0.25">
      <c r="M270" s="5" t="str" cm="1">
        <f t="array" ref="M270">LOOKUP(2,1/($G$19:$G$35&lt;=$V270)/($H$19:$H$35&gt;=$V270),$F$19:$F$35)</f>
        <v>2H22</v>
      </c>
      <c r="N270" s="5" t="str" cm="1">
        <f t="array" ref="N270">LOOKUP(2,1/($G$8:$G$16&lt;=$V270)/($H$8:$H$16&gt;=$V270),$F$8:$F$16)</f>
        <v>FY22</v>
      </c>
      <c r="O270" s="5" t="str">
        <f>IFERROR(N270&amp;"-"&amp;COUNTIF($N$19:N270,N270),NA())</f>
        <v>FY22-32</v>
      </c>
      <c r="P270" s="5">
        <f>COUNTIF(V$19:V270,"&gt;="&amp;MAX($V:$V)-183)</f>
        <v>0</v>
      </c>
      <c r="Q270" s="5">
        <f>COUNTIF(V$19:V270,"&gt;="&amp;MAX($V:$V)-365)</f>
        <v>0</v>
      </c>
      <c r="R270" s="5" cm="1">
        <f t="array" ref="R270">LOOKUP(2,1/($G$46:$G$50&lt;=$V270)/($H$46:$H$50&gt;=$V270),$F$46:$F$50)</f>
        <v>0</v>
      </c>
      <c r="S270" s="5" cm="1">
        <f t="array" ref="S270">LOOKUP(2,1/($G$53:$G$56&lt;=$V270)/($H$53:$H$56&gt;=$V270),$F$53:$F$56)</f>
        <v>0</v>
      </c>
      <c r="T270" s="5" t="e">
        <f>IFERROR(IF($R270&gt;0,$R270&amp;"-"&amp;COUNTIF($R$19:$R270,$R270),NA()),NA())</f>
        <v>#N/A</v>
      </c>
      <c r="U270" s="5" t="e">
        <f>IFERROR(IF($S270&gt;0,$S270&amp;"-"&amp;COUNTIF($S$19:$S270,$S270),NA()),NA())</f>
        <v>#N/A</v>
      </c>
      <c r="V270" s="10">
        <v>44595</v>
      </c>
      <c r="W270" s="101">
        <v>56254159.197324418</v>
      </c>
      <c r="X270" s="101">
        <v>68253171.354113713</v>
      </c>
      <c r="Y270" s="102">
        <v>40000000</v>
      </c>
      <c r="JE270" s="12"/>
      <c r="JF270" s="12"/>
      <c r="JG270" s="109"/>
      <c r="JH270" s="109"/>
      <c r="JI270" s="109"/>
      <c r="JJ270" s="109"/>
    </row>
    <row r="271" spans="13:270" x14ac:dyDescent="0.25">
      <c r="M271" s="5" t="str" cm="1">
        <f t="array" ref="M271">LOOKUP(2,1/($G$19:$G$35&lt;=$V271)/($H$19:$H$35&gt;=$V271),$F$19:$F$35)</f>
        <v>2H22</v>
      </c>
      <c r="N271" s="5" t="str" cm="1">
        <f t="array" ref="N271">LOOKUP(2,1/($G$8:$G$16&lt;=$V271)/($H$8:$H$16&gt;=$V271),$F$8:$F$16)</f>
        <v>FY22</v>
      </c>
      <c r="O271" s="5" t="str">
        <f>IFERROR(N271&amp;"-"&amp;COUNTIF($N$19:N271,N271),NA())</f>
        <v>FY22-33</v>
      </c>
      <c r="P271" s="5">
        <f>COUNTIF(V$19:V271,"&gt;="&amp;MAX($V:$V)-183)</f>
        <v>0</v>
      </c>
      <c r="Q271" s="5">
        <f>COUNTIF(V$19:V271,"&gt;="&amp;MAX($V:$V)-365)</f>
        <v>0</v>
      </c>
      <c r="R271" s="5" cm="1">
        <f t="array" ref="R271">LOOKUP(2,1/($G$46:$G$50&lt;=$V271)/($H$46:$H$50&gt;=$V271),$F$46:$F$50)</f>
        <v>0</v>
      </c>
      <c r="S271" s="5" cm="1">
        <f t="array" ref="S271">LOOKUP(2,1/($G$53:$G$56&lt;=$V271)/($H$53:$H$56&gt;=$V271),$F$53:$F$56)</f>
        <v>0</v>
      </c>
      <c r="T271" s="5" t="e">
        <f>IFERROR(IF($R271&gt;0,$R271&amp;"-"&amp;COUNTIF($R$19:$R271,$R271),NA()),NA())</f>
        <v>#N/A</v>
      </c>
      <c r="U271" s="5" t="e">
        <f>IFERROR(IF($S271&gt;0,$S271&amp;"-"&amp;COUNTIF($S$19:$S271,$S271),NA()),NA())</f>
        <v>#N/A</v>
      </c>
      <c r="V271" s="10">
        <v>44602</v>
      </c>
      <c r="W271" s="101">
        <v>79133284.037701428</v>
      </c>
      <c r="X271" s="101">
        <v>96012413.522943139</v>
      </c>
      <c r="Y271" s="102">
        <v>60000000</v>
      </c>
      <c r="JE271" s="12"/>
      <c r="JF271" s="12"/>
      <c r="JG271" s="109"/>
      <c r="JH271" s="109"/>
      <c r="JI271" s="109"/>
      <c r="JJ271" s="109"/>
    </row>
    <row r="272" spans="13:270" x14ac:dyDescent="0.25">
      <c r="M272" s="5" t="str" cm="1">
        <f t="array" ref="M272">LOOKUP(2,1/($G$19:$G$35&lt;=$V272)/($H$19:$H$35&gt;=$V272),$F$19:$F$35)</f>
        <v>2H22</v>
      </c>
      <c r="N272" s="5" t="str" cm="1">
        <f t="array" ref="N272">LOOKUP(2,1/($G$8:$G$16&lt;=$V272)/($H$8:$H$16&gt;=$V272),$F$8:$F$16)</f>
        <v>FY22</v>
      </c>
      <c r="O272" s="5" t="str">
        <f>IFERROR(N272&amp;"-"&amp;COUNTIF($N$19:N272,N272),NA())</f>
        <v>FY22-34</v>
      </c>
      <c r="P272" s="5">
        <f>COUNTIF(V$19:V272,"&gt;="&amp;MAX($V:$V)-183)</f>
        <v>0</v>
      </c>
      <c r="Q272" s="5">
        <f>COUNTIF(V$19:V272,"&gt;="&amp;MAX($V:$V)-365)</f>
        <v>0</v>
      </c>
      <c r="R272" s="5" cm="1">
        <f t="array" ref="R272">LOOKUP(2,1/($G$46:$G$50&lt;=$V272)/($H$46:$H$50&gt;=$V272),$F$46:$F$50)</f>
        <v>0</v>
      </c>
      <c r="S272" s="5" cm="1">
        <f t="array" ref="S272">LOOKUP(2,1/($G$53:$G$56&lt;=$V272)/($H$53:$H$56&gt;=$V272),$F$53:$F$56)</f>
        <v>0</v>
      </c>
      <c r="T272" s="5" t="e">
        <f>IFERROR(IF($R272&gt;0,$R272&amp;"-"&amp;COUNTIF($R$19:$R272,$R272),NA()),NA())</f>
        <v>#N/A</v>
      </c>
      <c r="U272" s="5" t="e">
        <f>IFERROR(IF($S272&gt;0,$S272&amp;"-"&amp;COUNTIF($S$19:$S272,$S272),NA()),NA())</f>
        <v>#N/A</v>
      </c>
      <c r="V272" s="10">
        <v>44609</v>
      </c>
      <c r="W272" s="101">
        <v>115947240.37701429</v>
      </c>
      <c r="X272" s="101">
        <v>140678786.74943146</v>
      </c>
      <c r="Y272" s="102">
        <v>80000000</v>
      </c>
      <c r="JE272" s="12"/>
      <c r="JF272" s="12"/>
      <c r="JG272" s="109"/>
      <c r="JH272" s="109"/>
      <c r="JI272" s="109"/>
      <c r="JJ272" s="109"/>
    </row>
    <row r="273" spans="13:270" x14ac:dyDescent="0.25">
      <c r="M273" s="5" t="str" cm="1">
        <f t="array" ref="M273">LOOKUP(2,1/($G$19:$G$35&lt;=$V273)/($H$19:$H$35&gt;=$V273),$F$19:$F$35)</f>
        <v>2H22</v>
      </c>
      <c r="N273" s="5" t="str" cm="1">
        <f t="array" ref="N273">LOOKUP(2,1/($G$8:$G$16&lt;=$V273)/($H$8:$H$16&gt;=$V273),$F$8:$F$16)</f>
        <v>FY22</v>
      </c>
      <c r="O273" s="5" t="str">
        <f>IFERROR(N273&amp;"-"&amp;COUNTIF($N$19:N273,N273),NA())</f>
        <v>FY22-35</v>
      </c>
      <c r="P273" s="5">
        <f>COUNTIF(V$19:V273,"&gt;="&amp;MAX($V:$V)-183)</f>
        <v>0</v>
      </c>
      <c r="Q273" s="5">
        <f>COUNTIF(V$19:V273,"&gt;="&amp;MAX($V:$V)-365)</f>
        <v>0</v>
      </c>
      <c r="R273" s="5" cm="1">
        <f t="array" ref="R273">LOOKUP(2,1/($G$46:$G$50&lt;=$V273)/($H$46:$H$50&gt;=$V273),$F$46:$F$50)</f>
        <v>0</v>
      </c>
      <c r="S273" s="5" cm="1">
        <f t="array" ref="S273">LOOKUP(2,1/($G$53:$G$56&lt;=$V273)/($H$53:$H$56&gt;=$V273),$F$53:$F$56)</f>
        <v>0</v>
      </c>
      <c r="T273" s="5" t="e">
        <f>IFERROR(IF($R273&gt;0,$R273&amp;"-"&amp;COUNTIF($R$19:$R273,$R273),NA()),NA())</f>
        <v>#N/A</v>
      </c>
      <c r="U273" s="5" t="e">
        <f>IFERROR(IF($S273&gt;0,$S273&amp;"-"&amp;COUNTIF($S$19:$S273,$S273),NA()),NA())</f>
        <v>#N/A</v>
      </c>
      <c r="V273" s="10">
        <v>44616</v>
      </c>
      <c r="W273" s="101">
        <v>244631644.87686226</v>
      </c>
      <c r="X273" s="101">
        <v>296811574.72909701</v>
      </c>
      <c r="Y273" s="102">
        <v>120000000</v>
      </c>
      <c r="JE273" s="12"/>
      <c r="JF273" s="12"/>
      <c r="JG273" s="109"/>
      <c r="JH273" s="109"/>
      <c r="JI273" s="109"/>
      <c r="JJ273" s="109"/>
    </row>
    <row r="274" spans="13:270" x14ac:dyDescent="0.25">
      <c r="M274" s="5" t="str" cm="1">
        <f t="array" ref="M274">LOOKUP(2,1/($G$19:$G$35&lt;=$V274)/($H$19:$H$35&gt;=$V274),$F$19:$F$35)</f>
        <v>2H22</v>
      </c>
      <c r="N274" s="5" t="str" cm="1">
        <f t="array" ref="N274">LOOKUP(2,1/($G$8:$G$16&lt;=$V274)/($H$8:$H$16&gt;=$V274),$F$8:$F$16)</f>
        <v>FY22</v>
      </c>
      <c r="O274" s="5" t="str">
        <f>IFERROR(N274&amp;"-"&amp;COUNTIF($N$19:N274,N274),NA())</f>
        <v>FY22-36</v>
      </c>
      <c r="P274" s="5">
        <f>COUNTIF(V$19:V274,"&gt;="&amp;MAX($V:$V)-183)</f>
        <v>0</v>
      </c>
      <c r="Q274" s="5">
        <f>COUNTIF(V$19:V274,"&gt;="&amp;MAX($V:$V)-365)</f>
        <v>0</v>
      </c>
      <c r="R274" s="5" cm="1">
        <f t="array" ref="R274">LOOKUP(2,1/($G$46:$G$50&lt;=$V274)/($H$46:$H$50&gt;=$V274),$F$46:$F$50)</f>
        <v>0</v>
      </c>
      <c r="S274" s="5" cm="1">
        <f t="array" ref="S274">LOOKUP(2,1/($G$53:$G$56&lt;=$V274)/($H$53:$H$56&gt;=$V274),$F$53:$F$56)</f>
        <v>0</v>
      </c>
      <c r="T274" s="5" t="e">
        <f>IFERROR(IF($R274&gt;0,$R274&amp;"-"&amp;COUNTIF($R$19:$R274,$R274),NA()),NA())</f>
        <v>#N/A</v>
      </c>
      <c r="U274" s="5" t="e">
        <f>IFERROR(IF($S274&gt;0,$S274&amp;"-"&amp;COUNTIF($S$19:$S274,$S274),NA()),NA())</f>
        <v>#N/A</v>
      </c>
      <c r="V274" s="10">
        <v>44623</v>
      </c>
      <c r="W274" s="101">
        <v>19764375.068409853</v>
      </c>
      <c r="X274" s="101">
        <v>23980116.270501677</v>
      </c>
      <c r="Y274" s="102">
        <v>3000000</v>
      </c>
      <c r="JE274" s="12"/>
      <c r="JF274" s="12"/>
      <c r="JG274" s="109"/>
      <c r="JH274" s="109"/>
      <c r="JI274" s="109"/>
      <c r="JJ274" s="109"/>
    </row>
    <row r="275" spans="13:270" x14ac:dyDescent="0.25">
      <c r="M275" s="5" t="str" cm="1">
        <f t="array" ref="M275">LOOKUP(2,1/($G$19:$G$35&lt;=$V275)/($H$19:$H$35&gt;=$V275),$F$19:$F$35)</f>
        <v>2H22</v>
      </c>
      <c r="N275" s="5" t="str" cm="1">
        <f t="array" ref="N275">LOOKUP(2,1/($G$8:$G$16&lt;=$V275)/($H$8:$H$16&gt;=$V275),$F$8:$F$16)</f>
        <v>FY22</v>
      </c>
      <c r="O275" s="5" t="str">
        <f>IFERROR(N275&amp;"-"&amp;COUNTIF($N$19:N275,N275),NA())</f>
        <v>FY22-37</v>
      </c>
      <c r="P275" s="5">
        <f>COUNTIF(V$19:V275,"&gt;="&amp;MAX($V:$V)-183)</f>
        <v>0</v>
      </c>
      <c r="Q275" s="5">
        <f>COUNTIF(V$19:V275,"&gt;="&amp;MAX($V:$V)-365)</f>
        <v>0</v>
      </c>
      <c r="R275" s="5" cm="1">
        <f t="array" ref="R275">LOOKUP(2,1/($G$46:$G$50&lt;=$V275)/($H$46:$H$50&gt;=$V275),$F$46:$F$50)</f>
        <v>0</v>
      </c>
      <c r="S275" s="5" cm="1">
        <f t="array" ref="S275">LOOKUP(2,1/($G$53:$G$56&lt;=$V275)/($H$53:$H$56&gt;=$V275),$F$53:$F$56)</f>
        <v>0</v>
      </c>
      <c r="T275" s="5" t="e">
        <f>IFERROR(IF($R275&gt;0,$R275&amp;"-"&amp;COUNTIF($R$19:$R275,$R275),NA()),NA())</f>
        <v>#N/A</v>
      </c>
      <c r="U275" s="5" t="e">
        <f>IFERROR(IF($S275&gt;0,$S275&amp;"-"&amp;COUNTIF($S$19:$S275,$S275),NA()),NA())</f>
        <v>#N/A</v>
      </c>
      <c r="V275" s="10">
        <v>44630</v>
      </c>
      <c r="W275" s="101">
        <v>26335124.84037701</v>
      </c>
      <c r="X275" s="101">
        <v>31952406.968829427</v>
      </c>
      <c r="Y275" s="102">
        <v>8000000</v>
      </c>
      <c r="JE275" s="12"/>
      <c r="JF275" s="12"/>
      <c r="JG275" s="109"/>
      <c r="JH275" s="109"/>
      <c r="JI275" s="109"/>
      <c r="JJ275" s="109"/>
    </row>
    <row r="276" spans="13:270" x14ac:dyDescent="0.25">
      <c r="M276" s="5" t="str" cm="1">
        <f t="array" ref="M276">LOOKUP(2,1/($G$19:$G$35&lt;=$V276)/($H$19:$H$35&gt;=$V276),$F$19:$F$35)</f>
        <v>2H22</v>
      </c>
      <c r="N276" s="5" t="str" cm="1">
        <f t="array" ref="N276">LOOKUP(2,1/($G$8:$G$16&lt;=$V276)/($H$8:$H$16&gt;=$V276),$F$8:$F$16)</f>
        <v>FY22</v>
      </c>
      <c r="O276" s="5" t="str">
        <f>IFERROR(N276&amp;"-"&amp;COUNTIF($N$19:N276,N276),NA())</f>
        <v>FY22-38</v>
      </c>
      <c r="P276" s="5">
        <f>COUNTIF(V$19:V276,"&gt;="&amp;MAX($V:$V)-183)</f>
        <v>0</v>
      </c>
      <c r="Q276" s="5">
        <f>COUNTIF(V$19:V276,"&gt;="&amp;MAX($V:$V)-365)</f>
        <v>0</v>
      </c>
      <c r="R276" s="5" cm="1">
        <f t="array" ref="R276">LOOKUP(2,1/($G$46:$G$50&lt;=$V276)/($H$46:$H$50&gt;=$V276),$F$46:$F$50)</f>
        <v>0</v>
      </c>
      <c r="S276" s="5" cm="1">
        <f t="array" ref="S276">LOOKUP(2,1/($G$53:$G$56&lt;=$V276)/($H$53:$H$56&gt;=$V276),$F$53:$F$56)</f>
        <v>0</v>
      </c>
      <c r="T276" s="5" t="e">
        <f>IFERROR(IF($R276&gt;0,$R276&amp;"-"&amp;COUNTIF($R$19:$R276,$R276),NA()),NA())</f>
        <v>#N/A</v>
      </c>
      <c r="U276" s="5" t="e">
        <f>IFERROR(IF($S276&gt;0,$S276&amp;"-"&amp;COUNTIF($S$19:$S276,$S276),NA()),NA())</f>
        <v>#N/A</v>
      </c>
      <c r="V276" s="10">
        <v>44637</v>
      </c>
      <c r="W276" s="101">
        <v>40906184.493767105</v>
      </c>
      <c r="X276" s="101">
        <v>49631473.646287628</v>
      </c>
      <c r="Y276" s="102">
        <v>20000000</v>
      </c>
      <c r="JE276" s="12"/>
      <c r="JF276" s="12"/>
      <c r="JG276" s="109"/>
      <c r="JH276" s="109"/>
      <c r="JI276" s="109"/>
      <c r="JJ276" s="109"/>
    </row>
    <row r="277" spans="13:270" x14ac:dyDescent="0.25">
      <c r="M277" s="5" t="str" cm="1">
        <f t="array" ref="M277">LOOKUP(2,1/($G$19:$G$35&lt;=$V277)/($H$19:$H$35&gt;=$V277),$F$19:$F$35)</f>
        <v>2H22</v>
      </c>
      <c r="N277" s="5" t="str" cm="1">
        <f t="array" ref="N277">LOOKUP(2,1/($G$8:$G$16&lt;=$V277)/($H$8:$H$16&gt;=$V277),$F$8:$F$16)</f>
        <v>FY22</v>
      </c>
      <c r="O277" s="5" t="str">
        <f>IFERROR(N277&amp;"-"&amp;COUNTIF($N$19:N277,N277),NA())</f>
        <v>FY22-39</v>
      </c>
      <c r="P277" s="5">
        <f>COUNTIF(V$19:V277,"&gt;="&amp;MAX($V:$V)-183)</f>
        <v>0</v>
      </c>
      <c r="Q277" s="5">
        <f>COUNTIF(V$19:V277,"&gt;="&amp;MAX($V:$V)-365)</f>
        <v>0</v>
      </c>
      <c r="R277" s="5" cm="1">
        <f t="array" ref="R277">LOOKUP(2,1/($G$46:$G$50&lt;=$V277)/($H$46:$H$50&gt;=$V277),$F$46:$F$50)</f>
        <v>0</v>
      </c>
      <c r="S277" s="5" cm="1">
        <f t="array" ref="S277">LOOKUP(2,1/($G$53:$G$56&lt;=$V277)/($H$53:$H$56&gt;=$V277),$F$53:$F$56)</f>
        <v>0</v>
      </c>
      <c r="T277" s="5" t="e">
        <f>IFERROR(IF($R277&gt;0,$R277&amp;"-"&amp;COUNTIF($R$19:$R277,$R277),NA()),NA())</f>
        <v>#N/A</v>
      </c>
      <c r="U277" s="5" t="e">
        <f>IFERROR(IF($S277&gt;0,$S277&amp;"-"&amp;COUNTIF($S$19:$S277,$S277),NA()),NA())</f>
        <v>#N/A</v>
      </c>
      <c r="V277" s="10">
        <v>44644</v>
      </c>
      <c r="W277" s="101">
        <v>19376209.911827303</v>
      </c>
      <c r="X277" s="101">
        <v>23509155.48602007</v>
      </c>
      <c r="Y277" s="102">
        <v>3000000</v>
      </c>
      <c r="JE277" s="12"/>
      <c r="JF277" s="12"/>
      <c r="JG277" s="109"/>
      <c r="JH277" s="109"/>
      <c r="JI277" s="109"/>
      <c r="JJ277" s="109"/>
    </row>
    <row r="278" spans="13:270" x14ac:dyDescent="0.25">
      <c r="M278" s="5" t="str" cm="1">
        <f t="array" ref="M278">LOOKUP(2,1/($G$19:$G$35&lt;=$V278)/($H$19:$H$35&gt;=$V278),$F$19:$F$35)</f>
        <v>2H22</v>
      </c>
      <c r="N278" s="5" t="str" cm="1">
        <f t="array" ref="N278">LOOKUP(2,1/($G$8:$G$16&lt;=$V278)/($H$8:$H$16&gt;=$V278),$F$8:$F$16)</f>
        <v>FY22</v>
      </c>
      <c r="O278" s="5" t="str">
        <f>IFERROR(N278&amp;"-"&amp;COUNTIF($N$19:N278,N278),NA())</f>
        <v>FY22-40</v>
      </c>
      <c r="P278" s="5">
        <f>COUNTIF(V$19:V278,"&gt;="&amp;MAX($V:$V)-183)</f>
        <v>0</v>
      </c>
      <c r="Q278" s="5">
        <f>COUNTIF(V$19:V278,"&gt;="&amp;MAX($V:$V)-365)</f>
        <v>0</v>
      </c>
      <c r="R278" s="5" cm="1">
        <f t="array" ref="R278">LOOKUP(2,1/($G$46:$G$50&lt;=$V278)/($H$46:$H$50&gt;=$V278),$F$46:$F$50)</f>
        <v>0</v>
      </c>
      <c r="S278" s="5" cm="1">
        <f t="array" ref="S278">LOOKUP(2,1/($G$53:$G$56&lt;=$V278)/($H$53:$H$56&gt;=$V278),$F$53:$F$56)</f>
        <v>0</v>
      </c>
      <c r="T278" s="5" t="e">
        <f>IFERROR(IF($R278&gt;0,$R278&amp;"-"&amp;COUNTIF($R$19:$R278,$R278),NA()),NA())</f>
        <v>#N/A</v>
      </c>
      <c r="U278" s="5" t="e">
        <f>IFERROR(IF($S278&gt;0,$S278&amp;"-"&amp;COUNTIF($S$19:$S278,$S278),NA()),NA())</f>
        <v>#N/A</v>
      </c>
      <c r="V278" s="10">
        <v>44651</v>
      </c>
      <c r="W278" s="101">
        <v>27161959.98783825</v>
      </c>
      <c r="X278" s="101">
        <v>32955606.053244151</v>
      </c>
      <c r="Y278" s="102">
        <v>8000000</v>
      </c>
      <c r="JE278" s="12"/>
      <c r="JF278" s="12"/>
      <c r="JG278" s="109"/>
      <c r="JH278" s="109"/>
      <c r="JI278" s="109"/>
      <c r="JJ278" s="109"/>
    </row>
    <row r="279" spans="13:270" x14ac:dyDescent="0.25">
      <c r="M279" s="5" t="str" cm="1">
        <f t="array" ref="M279">LOOKUP(2,1/($G$19:$G$35&lt;=$V279)/($H$19:$H$35&gt;=$V279),$F$19:$F$35)</f>
        <v>2H22</v>
      </c>
      <c r="N279" s="5" t="str" cm="1">
        <f t="array" ref="N279">LOOKUP(2,1/($G$8:$G$16&lt;=$V279)/($H$8:$H$16&gt;=$V279),$F$8:$F$16)</f>
        <v>FY22</v>
      </c>
      <c r="O279" s="5" t="str">
        <f>IFERROR(N279&amp;"-"&amp;COUNTIF($N$19:N279,N279),NA())</f>
        <v>FY22-41</v>
      </c>
      <c r="P279" s="5">
        <f>COUNTIF(V$19:V279,"&gt;="&amp;MAX($V:$V)-183)</f>
        <v>0</v>
      </c>
      <c r="Q279" s="5">
        <f>COUNTIF(V$19:V279,"&gt;="&amp;MAX($V:$V)-365)</f>
        <v>0</v>
      </c>
      <c r="R279" s="5" cm="1">
        <f t="array" ref="R279">LOOKUP(2,1/($G$46:$G$50&lt;=$V279)/($H$46:$H$50&gt;=$V279),$F$46:$F$50)</f>
        <v>0</v>
      </c>
      <c r="S279" s="5" cm="1">
        <f t="array" ref="S279">LOOKUP(2,1/($G$53:$G$56&lt;=$V279)/($H$53:$H$56&gt;=$V279),$F$53:$F$56)</f>
        <v>0</v>
      </c>
      <c r="T279" s="5" t="e">
        <f>IFERROR(IF($R279&gt;0,$R279&amp;"-"&amp;COUNTIF($R$19:$R279,$R279),NA()),NA())</f>
        <v>#N/A</v>
      </c>
      <c r="U279" s="5" t="e">
        <f>IFERROR(IF($S279&gt;0,$S279&amp;"-"&amp;COUNTIF($S$19:$S279,$S279),NA()),NA())</f>
        <v>#N/A</v>
      </c>
      <c r="V279" s="10">
        <v>44658</v>
      </c>
      <c r="W279" s="101">
        <v>42925571.784736998</v>
      </c>
      <c r="X279" s="101">
        <v>52081596.246421404</v>
      </c>
      <c r="Y279" s="102">
        <v>20000000</v>
      </c>
      <c r="JE279" s="12"/>
      <c r="JF279" s="12"/>
      <c r="JG279" s="109"/>
      <c r="JH279" s="109"/>
      <c r="JI279" s="109"/>
      <c r="JJ279" s="109"/>
    </row>
    <row r="280" spans="13:270" x14ac:dyDescent="0.25">
      <c r="M280" s="5" t="str" cm="1">
        <f t="array" ref="M280">LOOKUP(2,1/($G$19:$G$35&lt;=$V280)/($H$19:$H$35&gt;=$V280),$F$19:$F$35)</f>
        <v>2H22</v>
      </c>
      <c r="N280" s="5" t="str" cm="1">
        <f t="array" ref="N280">LOOKUP(2,1/($G$8:$G$16&lt;=$V280)/($H$8:$H$16&gt;=$V280),$F$8:$F$16)</f>
        <v>FY22</v>
      </c>
      <c r="O280" s="5" t="str">
        <f>IFERROR(N280&amp;"-"&amp;COUNTIF($N$19:N280,N280),NA())</f>
        <v>FY22-42</v>
      </c>
      <c r="P280" s="5">
        <f>COUNTIF(V$19:V280,"&gt;="&amp;MAX($V:$V)-183)</f>
        <v>0</v>
      </c>
      <c r="Q280" s="5">
        <f>COUNTIF(V$19:V280,"&gt;="&amp;MAX($V:$V)-365)</f>
        <v>0</v>
      </c>
      <c r="R280" s="5" cm="1">
        <f t="array" ref="R280">LOOKUP(2,1/($G$46:$G$50&lt;=$V280)/($H$46:$H$50&gt;=$V280),$F$46:$F$50)</f>
        <v>0</v>
      </c>
      <c r="S280" s="5" cm="1">
        <f t="array" ref="S280">LOOKUP(2,1/($G$53:$G$56&lt;=$V280)/($H$53:$H$56&gt;=$V280),$F$53:$F$56)</f>
        <v>0</v>
      </c>
      <c r="T280" s="5" t="e">
        <f>IFERROR(IF($R280&gt;0,$R280&amp;"-"&amp;COUNTIF($R$19:$R280,$R280),NA()),NA())</f>
        <v>#N/A</v>
      </c>
      <c r="U280" s="5" t="e">
        <f>IFERROR(IF($S280&gt;0,$S280&amp;"-"&amp;COUNTIF($S$19:$S280,$S280),NA()),NA())</f>
        <v>#N/A</v>
      </c>
      <c r="V280" s="10">
        <v>44665</v>
      </c>
      <c r="W280" s="101">
        <v>20606947.765278194</v>
      </c>
      <c r="X280" s="101">
        <v>25002409.723612033</v>
      </c>
      <c r="Y280" s="102">
        <v>4000000</v>
      </c>
      <c r="JE280" s="12"/>
      <c r="JF280" s="12"/>
      <c r="JG280" s="109"/>
      <c r="JH280" s="109"/>
      <c r="JI280" s="109"/>
      <c r="JJ280" s="109"/>
    </row>
    <row r="281" spans="13:270" x14ac:dyDescent="0.25">
      <c r="M281" s="5" t="str" cm="1">
        <f t="array" ref="M281">LOOKUP(2,1/($G$19:$G$35&lt;=$V281)/($H$19:$H$35&gt;=$V281),$F$19:$F$35)</f>
        <v>2H22</v>
      </c>
      <c r="N281" s="5" t="str" cm="1">
        <f t="array" ref="N281">LOOKUP(2,1/($G$8:$G$16&lt;=$V281)/($H$8:$H$16&gt;=$V281),$F$8:$F$16)</f>
        <v>FY22</v>
      </c>
      <c r="O281" s="5" t="str">
        <f>IFERROR(N281&amp;"-"&amp;COUNTIF($N$19:N281,N281),NA())</f>
        <v>FY22-43</v>
      </c>
      <c r="P281" s="5">
        <f>COUNTIF(V$19:V281,"&gt;="&amp;MAX($V:$V)-183)</f>
        <v>0</v>
      </c>
      <c r="Q281" s="5">
        <f>COUNTIF(V$19:V281,"&gt;="&amp;MAX($V:$V)-365)</f>
        <v>0</v>
      </c>
      <c r="R281" s="5" cm="1">
        <f t="array" ref="R281">LOOKUP(2,1/($G$46:$G$50&lt;=$V281)/($H$46:$H$50&gt;=$V281),$F$46:$F$50)</f>
        <v>0</v>
      </c>
      <c r="S281" s="5" cm="1">
        <f t="array" ref="S281">LOOKUP(2,1/($G$53:$G$56&lt;=$V281)/($H$53:$H$56&gt;=$V281),$F$53:$F$56)</f>
        <v>0</v>
      </c>
      <c r="T281" s="5" t="e">
        <f>IFERROR(IF($R281&gt;0,$R281&amp;"-"&amp;COUNTIF($R$19:$R281,$R281),NA()),NA())</f>
        <v>#N/A</v>
      </c>
      <c r="U281" s="5" t="e">
        <f>IFERROR(IF($S281&gt;0,$S281&amp;"-"&amp;COUNTIF($S$19:$S281,$S281),NA()),NA())</f>
        <v>#N/A</v>
      </c>
      <c r="V281" s="10">
        <v>44672</v>
      </c>
      <c r="W281" s="101">
        <v>24232711.705685619</v>
      </c>
      <c r="X281" s="101">
        <v>29401549.112508364</v>
      </c>
      <c r="Y281" s="102">
        <v>8000000</v>
      </c>
      <c r="JE281" s="12"/>
      <c r="JF281" s="12"/>
      <c r="JG281" s="109"/>
      <c r="JH281" s="109"/>
      <c r="JI281" s="109"/>
      <c r="JJ281" s="109"/>
    </row>
    <row r="282" spans="13:270" x14ac:dyDescent="0.25">
      <c r="M282" s="5" t="str" cm="1">
        <f t="array" ref="M282">LOOKUP(2,1/($G$19:$G$35&lt;=$V282)/($H$19:$H$35&gt;=$V282),$F$19:$F$35)</f>
        <v>2H22</v>
      </c>
      <c r="N282" s="5" t="str" cm="1">
        <f t="array" ref="N282">LOOKUP(2,1/($G$8:$G$16&lt;=$V282)/($H$8:$H$16&gt;=$V282),$F$8:$F$16)</f>
        <v>FY22</v>
      </c>
      <c r="O282" s="5" t="str">
        <f>IFERROR(N282&amp;"-"&amp;COUNTIF($N$19:N282,N282),NA())</f>
        <v>FY22-44</v>
      </c>
      <c r="P282" s="5">
        <f>COUNTIF(V$19:V282,"&gt;="&amp;MAX($V:$V)-183)</f>
        <v>0</v>
      </c>
      <c r="Q282" s="5">
        <f>COUNTIF(V$19:V282,"&gt;="&amp;MAX($V:$V)-365)</f>
        <v>0</v>
      </c>
      <c r="R282" s="5" cm="1">
        <f t="array" ref="R282">LOOKUP(2,1/($G$46:$G$50&lt;=$V282)/($H$46:$H$50&gt;=$V282),$F$46:$F$50)</f>
        <v>0</v>
      </c>
      <c r="S282" s="5" cm="1">
        <f t="array" ref="S282">LOOKUP(2,1/($G$53:$G$56&lt;=$V282)/($H$53:$H$56&gt;=$V282),$F$53:$F$56)</f>
        <v>0</v>
      </c>
      <c r="T282" s="5" t="e">
        <f>IFERROR(IF($R282&gt;0,$R282&amp;"-"&amp;COUNTIF($R$19:$R282,$R282),NA()),NA())</f>
        <v>#N/A</v>
      </c>
      <c r="U282" s="5" t="e">
        <f>IFERROR(IF($S282&gt;0,$S282&amp;"-"&amp;COUNTIF($S$19:$S282,$S282),NA()),NA())</f>
        <v>#N/A</v>
      </c>
      <c r="V282" s="10">
        <v>44679</v>
      </c>
      <c r="W282" s="101">
        <v>39401901.124961987</v>
      </c>
      <c r="X282" s="101">
        <v>47806326.63491638</v>
      </c>
      <c r="Y282" s="102">
        <v>20000000</v>
      </c>
      <c r="JE282" s="12"/>
      <c r="JF282" s="12"/>
      <c r="JG282" s="109"/>
      <c r="JH282" s="109"/>
      <c r="JI282" s="109"/>
      <c r="JJ282" s="109"/>
    </row>
    <row r="283" spans="13:270" x14ac:dyDescent="0.25">
      <c r="M283" s="5" t="str" cm="1">
        <f t="array" ref="M283">LOOKUP(2,1/($G$19:$G$35&lt;=$V283)/($H$19:$H$35&gt;=$V283),$F$19:$F$35)</f>
        <v>2H22</v>
      </c>
      <c r="N283" s="5" t="str" cm="1">
        <f t="array" ref="N283">LOOKUP(2,1/($G$8:$G$16&lt;=$V283)/($H$8:$H$16&gt;=$V283),$F$8:$F$16)</f>
        <v>FY22</v>
      </c>
      <c r="O283" s="5" t="str">
        <f>IFERROR(N283&amp;"-"&amp;COUNTIF($N$19:N283,N283),NA())</f>
        <v>FY22-45</v>
      </c>
      <c r="P283" s="5">
        <f>COUNTIF(V$19:V283,"&gt;="&amp;MAX($V:$V)-183)</f>
        <v>0</v>
      </c>
      <c r="Q283" s="5">
        <f>COUNTIF(V$19:V283,"&gt;="&amp;MAX($V:$V)-365)</f>
        <v>0</v>
      </c>
      <c r="R283" s="5" cm="1">
        <f t="array" ref="R283">LOOKUP(2,1/($G$46:$G$50&lt;=$V283)/($H$46:$H$50&gt;=$V283),$F$46:$F$50)</f>
        <v>0</v>
      </c>
      <c r="S283" s="5" cm="1">
        <f t="array" ref="S283">LOOKUP(2,1/($G$53:$G$56&lt;=$V283)/($H$53:$H$56&gt;=$V283),$F$53:$F$56)</f>
        <v>0</v>
      </c>
      <c r="T283" s="5" t="e">
        <f>IFERROR(IF($R283&gt;0,$R283&amp;"-"&amp;COUNTIF($R$19:$R283,$R283),NA()),NA())</f>
        <v>#N/A</v>
      </c>
      <c r="U283" s="5" t="e">
        <f>IFERROR(IF($S283&gt;0,$S283&amp;"-"&amp;COUNTIF($S$19:$S283,$S283),NA()),NA())</f>
        <v>#N/A</v>
      </c>
      <c r="V283" s="10">
        <v>44686</v>
      </c>
      <c r="W283" s="101">
        <v>58067244.025539674</v>
      </c>
      <c r="X283" s="101">
        <v>70452987.176187292</v>
      </c>
      <c r="Y283" s="102">
        <v>40000000</v>
      </c>
      <c r="JE283" s="12"/>
      <c r="JF283" s="12"/>
      <c r="JG283" s="109"/>
      <c r="JH283" s="109"/>
      <c r="JI283" s="109"/>
      <c r="JJ283" s="109"/>
    </row>
    <row r="284" spans="13:270" x14ac:dyDescent="0.25">
      <c r="M284" s="5" t="str" cm="1">
        <f t="array" ref="M284">LOOKUP(2,1/($G$19:$G$35&lt;=$V284)/($H$19:$H$35&gt;=$V284),$F$19:$F$35)</f>
        <v>2H22</v>
      </c>
      <c r="N284" s="5" t="str" cm="1">
        <f t="array" ref="N284">LOOKUP(2,1/($G$8:$G$16&lt;=$V284)/($H$8:$H$16&gt;=$V284),$F$8:$F$16)</f>
        <v>FY22</v>
      </c>
      <c r="O284" s="5" t="str">
        <f>IFERROR(N284&amp;"-"&amp;COUNTIF($N$19:N284,N284),NA())</f>
        <v>FY22-46</v>
      </c>
      <c r="P284" s="5">
        <f>COUNTIF(V$19:V284,"&gt;="&amp;MAX($V:$V)-183)</f>
        <v>0</v>
      </c>
      <c r="Q284" s="5">
        <f>COUNTIF(V$19:V284,"&gt;="&amp;MAX($V:$V)-365)</f>
        <v>0</v>
      </c>
      <c r="R284" s="5" cm="1">
        <f t="array" ref="R284">LOOKUP(2,1/($G$46:$G$50&lt;=$V284)/($H$46:$H$50&gt;=$V284),$F$46:$F$50)</f>
        <v>0</v>
      </c>
      <c r="S284" s="5" cm="1">
        <f t="array" ref="S284">LOOKUP(2,1/($G$53:$G$56&lt;=$V284)/($H$53:$H$56&gt;=$V284),$F$53:$F$56)</f>
        <v>0</v>
      </c>
      <c r="T284" s="5" t="e">
        <f>IFERROR(IF($R284&gt;0,$R284&amp;"-"&amp;COUNTIF($R$19:$R284,$R284),NA()),NA())</f>
        <v>#N/A</v>
      </c>
      <c r="U284" s="5" t="e">
        <f>IFERROR(IF($S284&gt;0,$S284&amp;"-"&amp;COUNTIF($S$19:$S284,$S284),NA()),NA())</f>
        <v>#N/A</v>
      </c>
      <c r="V284" s="10">
        <v>44693</v>
      </c>
      <c r="W284" s="101">
        <v>83810205.168744296</v>
      </c>
      <c r="X284" s="101">
        <v>101686921.93123746</v>
      </c>
      <c r="Y284" s="102">
        <v>60000000</v>
      </c>
      <c r="JE284" s="12"/>
      <c r="JF284" s="12"/>
      <c r="JG284" s="109"/>
      <c r="JH284" s="109"/>
      <c r="JI284" s="109"/>
      <c r="JJ284" s="109"/>
    </row>
    <row r="285" spans="13:270" x14ac:dyDescent="0.25">
      <c r="M285" s="5" t="str" cm="1">
        <f t="array" ref="M285">LOOKUP(2,1/($G$19:$G$35&lt;=$V285)/($H$19:$H$35&gt;=$V285),$F$19:$F$35)</f>
        <v>2H22</v>
      </c>
      <c r="N285" s="5" t="str" cm="1">
        <f t="array" ref="N285">LOOKUP(2,1/($G$8:$G$16&lt;=$V285)/($H$8:$H$16&gt;=$V285),$F$8:$F$16)</f>
        <v>FY22</v>
      </c>
      <c r="O285" s="5" t="str">
        <f>IFERROR(N285&amp;"-"&amp;COUNTIF($N$19:N285,N285),NA())</f>
        <v>FY22-47</v>
      </c>
      <c r="P285" s="5">
        <f>COUNTIF(V$19:V285,"&gt;="&amp;MAX($V:$V)-183)</f>
        <v>0</v>
      </c>
      <c r="Q285" s="5">
        <f>COUNTIF(V$19:V285,"&gt;="&amp;MAX($V:$V)-365)</f>
        <v>0</v>
      </c>
      <c r="R285" s="5" cm="1">
        <f t="array" ref="R285">LOOKUP(2,1/($G$46:$G$50&lt;=$V285)/($H$46:$H$50&gt;=$V285),$F$46:$F$50)</f>
        <v>0</v>
      </c>
      <c r="S285" s="5" cm="1">
        <f t="array" ref="S285">LOOKUP(2,1/($G$53:$G$56&lt;=$V285)/($H$53:$H$56&gt;=$V285),$F$53:$F$56)</f>
        <v>0</v>
      </c>
      <c r="T285" s="5" t="e">
        <f>IFERROR(IF($R285&gt;0,$R285&amp;"-"&amp;COUNTIF($R$19:$R285,$R285),NA()),NA())</f>
        <v>#N/A</v>
      </c>
      <c r="U285" s="5" t="e">
        <f>IFERROR(IF($S285&gt;0,$S285&amp;"-"&amp;COUNTIF($S$19:$S285,$S285),NA()),NA())</f>
        <v>#N/A</v>
      </c>
      <c r="V285" s="10">
        <v>44700</v>
      </c>
      <c r="W285" s="101">
        <v>116725204.01337792</v>
      </c>
      <c r="X285" s="101">
        <v>141622690.02943143</v>
      </c>
      <c r="Y285" s="102">
        <v>80000000</v>
      </c>
      <c r="JE285" s="12"/>
      <c r="JF285" s="12"/>
      <c r="JG285" s="109"/>
      <c r="JH285" s="109"/>
      <c r="JI285" s="109"/>
      <c r="JJ285" s="109"/>
    </row>
    <row r="286" spans="13:270" x14ac:dyDescent="0.25">
      <c r="M286" s="5" t="str" cm="1">
        <f t="array" ref="M286">LOOKUP(2,1/($G$19:$G$35&lt;=$V286)/($H$19:$H$35&gt;=$V286),$F$19:$F$35)</f>
        <v>2H22</v>
      </c>
      <c r="N286" s="5" t="str" cm="1">
        <f t="array" ref="N286">LOOKUP(2,1/($G$8:$G$16&lt;=$V286)/($H$8:$H$16&gt;=$V286),$F$8:$F$16)</f>
        <v>FY22</v>
      </c>
      <c r="O286" s="5" t="str">
        <f>IFERROR(N286&amp;"-"&amp;COUNTIF($N$19:N286,N286),NA())</f>
        <v>FY22-48</v>
      </c>
      <c r="P286" s="5">
        <f>COUNTIF(V$19:V286,"&gt;="&amp;MAX($V:$V)-183)</f>
        <v>0</v>
      </c>
      <c r="Q286" s="5">
        <f>COUNTIF(V$19:V286,"&gt;="&amp;MAX($V:$V)-365)</f>
        <v>0</v>
      </c>
      <c r="R286" s="5" cm="1">
        <f t="array" ref="R286">LOOKUP(2,1/($G$46:$G$50&lt;=$V286)/($H$46:$H$50&gt;=$V286),$F$46:$F$50)</f>
        <v>0</v>
      </c>
      <c r="S286" s="5" t="str" cm="1">
        <f t="array" ref="S286">LOOKUP(2,1/($G$53:$G$56&lt;=$V286)/($H$53:$H$56&gt;=$V286),$F$53:$F$56)</f>
        <v>N2</v>
      </c>
      <c r="T286" s="5" t="e">
        <f>IFERROR(IF($R286&gt;0,$R286&amp;"-"&amp;COUNTIF($R$19:$R286,$R286),NA()),NA())</f>
        <v>#N/A</v>
      </c>
      <c r="U286" s="5" t="str">
        <f>IFERROR(IF($S286&gt;0,$S286&amp;"-"&amp;COUNTIF($S$19:$S286,$S286),NA()),NA())</f>
        <v>N2-1</v>
      </c>
      <c r="V286" s="10">
        <v>44707</v>
      </c>
      <c r="W286" s="101">
        <v>21016983.155974455</v>
      </c>
      <c r="X286" s="101">
        <v>25499905.663143806</v>
      </c>
      <c r="Y286" s="102">
        <v>4000000</v>
      </c>
      <c r="JE286" s="12"/>
      <c r="JF286" s="12"/>
      <c r="JG286" s="109"/>
      <c r="JH286" s="109"/>
      <c r="JI286" s="109"/>
      <c r="JJ286" s="109"/>
    </row>
    <row r="287" spans="13:270" x14ac:dyDescent="0.25">
      <c r="M287" s="5" t="str" cm="1">
        <f t="array" ref="M287">LOOKUP(2,1/($G$19:$G$35&lt;=$V287)/($H$19:$H$35&gt;=$V287),$F$19:$F$35)</f>
        <v>2H22</v>
      </c>
      <c r="N287" s="5" t="str" cm="1">
        <f t="array" ref="N287">LOOKUP(2,1/($G$8:$G$16&lt;=$V287)/($H$8:$H$16&gt;=$V287),$F$8:$F$16)</f>
        <v>FY22</v>
      </c>
      <c r="O287" s="5" t="str">
        <f>IFERROR(N287&amp;"-"&amp;COUNTIF($N$19:N287,N287),NA())</f>
        <v>FY22-49</v>
      </c>
      <c r="P287" s="5">
        <f>COUNTIF(V$19:V287,"&gt;="&amp;MAX($V:$V)-183)</f>
        <v>0</v>
      </c>
      <c r="Q287" s="5">
        <f>COUNTIF(V$19:V287,"&gt;="&amp;MAX($V:$V)-365)</f>
        <v>0</v>
      </c>
      <c r="R287" s="5" cm="1">
        <f t="array" ref="R287">LOOKUP(2,1/($G$46:$G$50&lt;=$V287)/($H$46:$H$50&gt;=$V287),$F$46:$F$50)</f>
        <v>0</v>
      </c>
      <c r="S287" s="5" t="str" cm="1">
        <f t="array" ref="S287">LOOKUP(2,1/($G$53:$G$56&lt;=$V287)/($H$53:$H$56&gt;=$V287),$F$53:$F$56)</f>
        <v>N2</v>
      </c>
      <c r="T287" s="5" t="e">
        <f>IFERROR(IF($R287&gt;0,$R287&amp;"-"&amp;COUNTIF($R$19:$R287,$R287),NA()),NA())</f>
        <v>#N/A</v>
      </c>
      <c r="U287" s="5" t="str">
        <f>IFERROR(IF($S287&gt;0,$S287&amp;"-"&amp;COUNTIF($S$19:$S287,$S287),NA()),NA())</f>
        <v>N2-2</v>
      </c>
      <c r="V287" s="10">
        <v>44714</v>
      </c>
      <c r="W287" s="101">
        <v>21125759.318941928</v>
      </c>
      <c r="X287" s="101">
        <v>25631883.781672243</v>
      </c>
      <c r="Y287" s="102">
        <v>4000000</v>
      </c>
      <c r="JE287" s="12"/>
      <c r="JF287" s="12"/>
      <c r="JG287" s="109"/>
      <c r="JH287" s="109"/>
      <c r="JI287" s="109"/>
      <c r="JJ287" s="109"/>
    </row>
    <row r="288" spans="13:270" x14ac:dyDescent="0.25">
      <c r="M288" s="5" t="str" cm="1">
        <f t="array" ref="M288">LOOKUP(2,1/($G$19:$G$35&lt;=$V288)/($H$19:$H$35&gt;=$V288),$F$19:$F$35)</f>
        <v>2H22</v>
      </c>
      <c r="N288" s="5" t="str" cm="1">
        <f t="array" ref="N288">LOOKUP(2,1/($G$8:$G$16&lt;=$V288)/($H$8:$H$16&gt;=$V288),$F$8:$F$16)</f>
        <v>FY22</v>
      </c>
      <c r="O288" s="5" t="str">
        <f>IFERROR(N288&amp;"-"&amp;COUNTIF($N$19:N288,N288),NA())</f>
        <v>FY22-50</v>
      </c>
      <c r="P288" s="5">
        <f>COUNTIF(V$19:V288,"&gt;="&amp;MAX($V:$V)-183)</f>
        <v>0</v>
      </c>
      <c r="Q288" s="5">
        <f>COUNTIF(V$19:V288,"&gt;="&amp;MAX($V:$V)-365)</f>
        <v>0</v>
      </c>
      <c r="R288" s="5" cm="1">
        <f t="array" ref="R288">LOOKUP(2,1/($G$46:$G$50&lt;=$V288)/($H$46:$H$50&gt;=$V288),$F$46:$F$50)</f>
        <v>0</v>
      </c>
      <c r="S288" s="5" t="str" cm="1">
        <f t="array" ref="S288">LOOKUP(2,1/($G$53:$G$56&lt;=$V288)/($H$53:$H$56&gt;=$V288),$F$53:$F$56)</f>
        <v>N2</v>
      </c>
      <c r="T288" s="5" t="e">
        <f>IFERROR(IF($R288&gt;0,$R288&amp;"-"&amp;COUNTIF($R$19:$R288,$R288),NA()),NA())</f>
        <v>#N/A</v>
      </c>
      <c r="U288" s="5" t="str">
        <f>IFERROR(IF($S288&gt;0,$S288&amp;"-"&amp;COUNTIF($S$19:$S288,$S288),NA()),NA())</f>
        <v>N2-3</v>
      </c>
      <c r="V288" s="10">
        <v>44721</v>
      </c>
      <c r="W288" s="101">
        <v>27291882.760717545</v>
      </c>
      <c r="X288" s="101">
        <v>33113241.353578597</v>
      </c>
      <c r="Y288" s="102">
        <v>8000000</v>
      </c>
      <c r="JE288" s="12"/>
      <c r="JF288" s="12"/>
      <c r="JG288" s="109"/>
      <c r="JH288" s="109"/>
      <c r="JI288" s="109"/>
      <c r="JJ288" s="109"/>
    </row>
    <row r="289" spans="13:270" x14ac:dyDescent="0.25">
      <c r="M289" s="5" t="str" cm="1">
        <f t="array" ref="M289">LOOKUP(2,1/($G$19:$G$35&lt;=$V289)/($H$19:$H$35&gt;=$V289),$F$19:$F$35)</f>
        <v>2H22</v>
      </c>
      <c r="N289" s="5" t="str" cm="1">
        <f t="array" ref="N289">LOOKUP(2,1/($G$8:$G$16&lt;=$V289)/($H$8:$H$16&gt;=$V289),$F$8:$F$16)</f>
        <v>FY22</v>
      </c>
      <c r="O289" s="5" t="str">
        <f>IFERROR(N289&amp;"-"&amp;COUNTIF($N$19:N289,N289),NA())</f>
        <v>FY22-51</v>
      </c>
      <c r="P289" s="5">
        <f>COUNTIF(V$19:V289,"&gt;="&amp;MAX($V:$V)-183)</f>
        <v>0</v>
      </c>
      <c r="Q289" s="5">
        <f>COUNTIF(V$19:V289,"&gt;="&amp;MAX($V:$V)-365)</f>
        <v>0</v>
      </c>
      <c r="R289" s="5" cm="1">
        <f t="array" ref="R289">LOOKUP(2,1/($G$46:$G$50&lt;=$V289)/($H$46:$H$50&gt;=$V289),$F$46:$F$50)</f>
        <v>0</v>
      </c>
      <c r="S289" s="5" t="str" cm="1">
        <f t="array" ref="S289">LOOKUP(2,1/($G$53:$G$56&lt;=$V289)/($H$53:$H$56&gt;=$V289),$F$53:$F$56)</f>
        <v>N2</v>
      </c>
      <c r="T289" s="5" t="e">
        <f>IFERROR(IF($R289&gt;0,$R289&amp;"-"&amp;COUNTIF($R$19:$R289,$R289),NA()),NA())</f>
        <v>#N/A</v>
      </c>
      <c r="U289" s="5" t="str">
        <f>IFERROR(IF($S289&gt;0,$S289&amp;"-"&amp;COUNTIF($S$19:$S289,$S289),NA()),NA())</f>
        <v>N2-4</v>
      </c>
      <c r="V289" s="10">
        <v>44728</v>
      </c>
      <c r="W289" s="101">
        <v>41963661.416844025</v>
      </c>
      <c r="X289" s="101">
        <v>50914510.397056855</v>
      </c>
      <c r="Y289" s="102">
        <v>20000000</v>
      </c>
      <c r="JE289" s="12"/>
      <c r="JF289" s="12"/>
      <c r="JG289" s="109"/>
      <c r="JH289" s="109"/>
      <c r="JI289" s="109"/>
      <c r="JJ289" s="109"/>
    </row>
    <row r="290" spans="13:270" x14ac:dyDescent="0.25">
      <c r="M290" s="5" t="str" cm="1">
        <f t="array" ref="M290">LOOKUP(2,1/($G$19:$G$35&lt;=$V290)/($H$19:$H$35&gt;=$V290),$F$19:$F$35)</f>
        <v>2H22</v>
      </c>
      <c r="N290" s="5" t="str" cm="1">
        <f t="array" ref="N290">LOOKUP(2,1/($G$8:$G$16&lt;=$V290)/($H$8:$H$16&gt;=$V290),$F$8:$F$16)</f>
        <v>FY22</v>
      </c>
      <c r="O290" s="5" t="str">
        <f>IFERROR(N290&amp;"-"&amp;COUNTIF($N$19:N290,N290),NA())</f>
        <v>FY22-52</v>
      </c>
      <c r="P290" s="5">
        <f>COUNTIF(V$19:V290,"&gt;="&amp;MAX($V:$V)-183)</f>
        <v>0</v>
      </c>
      <c r="Q290" s="5">
        <f>COUNTIF(V$19:V290,"&gt;="&amp;MAX($V:$V)-365)</f>
        <v>0</v>
      </c>
      <c r="R290" s="5" cm="1">
        <f t="array" ref="R290">LOOKUP(2,1/($G$46:$G$50&lt;=$V290)/($H$46:$H$50&gt;=$V290),$F$46:$F$50)</f>
        <v>0</v>
      </c>
      <c r="S290" s="5" t="str" cm="1">
        <f t="array" ref="S290">LOOKUP(2,1/($G$53:$G$56&lt;=$V290)/($H$53:$H$56&gt;=$V290),$F$53:$F$56)</f>
        <v>N2</v>
      </c>
      <c r="T290" s="5" t="e">
        <f>IFERROR(IF($R290&gt;0,$R290&amp;"-"&amp;COUNTIF($R$19:$R290,$R290),NA()),NA())</f>
        <v>#N/A</v>
      </c>
      <c r="U290" s="5" t="str">
        <f>IFERROR(IF($S290&gt;0,$S290&amp;"-"&amp;COUNTIF($S$19:$S290,$S290),NA()),NA())</f>
        <v>N2-5</v>
      </c>
      <c r="V290" s="10">
        <v>44735</v>
      </c>
      <c r="W290" s="101">
        <v>57463937.245363325</v>
      </c>
      <c r="X290" s="101">
        <v>69720995.059799328</v>
      </c>
      <c r="Y290" s="102">
        <v>40000000</v>
      </c>
      <c r="JE290" s="12"/>
      <c r="JF290" s="12"/>
      <c r="JG290" s="109"/>
      <c r="JH290" s="109"/>
      <c r="JI290" s="109"/>
      <c r="JJ290" s="109"/>
    </row>
    <row r="291" spans="13:270" x14ac:dyDescent="0.25">
      <c r="M291" s="5" t="str" cm="1">
        <f t="array" ref="M291">LOOKUP(2,1/($G$19:$G$35&lt;=$V291)/($H$19:$H$35&gt;=$V291),$F$19:$F$35)</f>
        <v>2H22</v>
      </c>
      <c r="N291" s="5" t="str" cm="1">
        <f t="array" ref="N291">LOOKUP(2,1/($G$8:$G$16&lt;=$V291)/($H$8:$H$16&gt;=$V291),$F$8:$F$16)</f>
        <v>FY22</v>
      </c>
      <c r="O291" s="5" t="str">
        <f>IFERROR(N291&amp;"-"&amp;COUNTIF($N$19:N291,N291),NA())</f>
        <v>FY22-53</v>
      </c>
      <c r="P291" s="5">
        <f>COUNTIF(V$19:V291,"&gt;="&amp;MAX($V:$V)-183)</f>
        <v>0</v>
      </c>
      <c r="Q291" s="5">
        <f>COUNTIF(V$19:V291,"&gt;="&amp;MAX($V:$V)-365)</f>
        <v>0</v>
      </c>
      <c r="R291" s="5" cm="1">
        <f t="array" ref="R291">LOOKUP(2,1/($G$46:$G$50&lt;=$V291)/($H$46:$H$50&gt;=$V291),$F$46:$F$50)</f>
        <v>0</v>
      </c>
      <c r="S291" s="5" t="str" cm="1">
        <f t="array" ref="S291">LOOKUP(2,1/($G$53:$G$56&lt;=$V291)/($H$53:$H$56&gt;=$V291),$F$53:$F$56)</f>
        <v>N2</v>
      </c>
      <c r="T291" s="5" t="e">
        <f>IFERROR(IF($R291&gt;0,$R291&amp;"-"&amp;COUNTIF($R$19:$R291,$R291),NA()),NA())</f>
        <v>#N/A</v>
      </c>
      <c r="U291" s="5" t="str">
        <f>IFERROR(IF($S291&gt;0,$S291&amp;"-"&amp;COUNTIF($S$19:$S291,$S291),NA()),NA())</f>
        <v>N2-6</v>
      </c>
      <c r="V291" s="10">
        <v>44742</v>
      </c>
      <c r="W291" s="101">
        <v>77836461.903314069</v>
      </c>
      <c r="X291" s="101">
        <v>94438979.227290958</v>
      </c>
      <c r="Y291" s="102">
        <v>60000000</v>
      </c>
      <c r="JE291" s="12"/>
      <c r="JF291" s="12"/>
      <c r="JG291" s="109"/>
      <c r="JH291" s="109"/>
      <c r="JI291" s="109"/>
      <c r="JJ291" s="109"/>
    </row>
    <row r="292" spans="13:270" x14ac:dyDescent="0.25">
      <c r="M292" s="5" t="str" cm="1">
        <f t="array" ref="M292">LOOKUP(2,1/($G$19:$G$35&lt;=$V292)/($H$19:$H$35&gt;=$V292),$F$19:$F$35)</f>
        <v>1H23</v>
      </c>
      <c r="N292" s="5" t="str" cm="1">
        <f t="array" ref="N292">LOOKUP(2,1/($G$8:$G$16&lt;=$V292)/($H$8:$H$16&gt;=$V292),$F$8:$F$16)</f>
        <v>FY23</v>
      </c>
      <c r="O292" s="5" t="str">
        <f>IFERROR(N292&amp;"-"&amp;COUNTIF($N$19:N292,N292),NA())</f>
        <v>FY23-1</v>
      </c>
      <c r="P292" s="5">
        <f>COUNTIF(V$19:V292,"&gt;="&amp;MAX($V:$V)-183)</f>
        <v>0</v>
      </c>
      <c r="Q292" s="5">
        <f>COUNTIF(V$19:V292,"&gt;="&amp;MAX($V:$V)-365)</f>
        <v>0</v>
      </c>
      <c r="R292" s="5" cm="1">
        <f t="array" ref="R292">LOOKUP(2,1/($G$46:$G$50&lt;=$V292)/($H$46:$H$50&gt;=$V292),$F$46:$F$50)</f>
        <v>0</v>
      </c>
      <c r="S292" s="5" t="str" cm="1">
        <f t="array" ref="S292">LOOKUP(2,1/($G$53:$G$56&lt;=$V292)/($H$53:$H$56&gt;=$V292),$F$53:$F$56)</f>
        <v>N2</v>
      </c>
      <c r="T292" s="5" t="e">
        <f>IFERROR(IF($R292&gt;0,$R292&amp;"-"&amp;COUNTIF($R$19:$R292,$R292),NA()),NA())</f>
        <v>#N/A</v>
      </c>
      <c r="U292" s="5" t="str">
        <f>IFERROR(IF($S292&gt;0,$S292&amp;"-"&amp;COUNTIF($S$19:$S292,$S292),NA()),NA())</f>
        <v>N2-7</v>
      </c>
      <c r="V292" s="10">
        <v>44749</v>
      </c>
      <c r="W292" s="101">
        <v>20096787.838248707</v>
      </c>
      <c r="X292" s="101">
        <v>24383432.684147157</v>
      </c>
      <c r="Y292" s="102">
        <v>4000000</v>
      </c>
      <c r="JE292" s="12"/>
      <c r="JF292" s="12"/>
      <c r="JG292" s="109"/>
      <c r="JH292" s="109"/>
      <c r="JI292" s="109"/>
      <c r="JJ292" s="109"/>
    </row>
    <row r="293" spans="13:270" x14ac:dyDescent="0.25">
      <c r="M293" s="5" t="str" cm="1">
        <f t="array" ref="M293">LOOKUP(2,1/($G$19:$G$35&lt;=$V293)/($H$19:$H$35&gt;=$V293),$F$19:$F$35)</f>
        <v>1H23</v>
      </c>
      <c r="N293" s="5" t="str" cm="1">
        <f t="array" ref="N293">LOOKUP(2,1/($G$8:$G$16&lt;=$V293)/($H$8:$H$16&gt;=$V293),$F$8:$F$16)</f>
        <v>FY23</v>
      </c>
      <c r="O293" s="5" t="str">
        <f>IFERROR(N293&amp;"-"&amp;COUNTIF($N$19:N293,N293),NA())</f>
        <v>FY23-2</v>
      </c>
      <c r="P293" s="5">
        <f>COUNTIF(V$19:V293,"&gt;="&amp;MAX($V:$V)-183)</f>
        <v>0</v>
      </c>
      <c r="Q293" s="5">
        <f>COUNTIF(V$19:V293,"&gt;="&amp;MAX($V:$V)-365)</f>
        <v>0</v>
      </c>
      <c r="R293" s="5" cm="1">
        <f t="array" ref="R293">LOOKUP(2,1/($G$46:$G$50&lt;=$V293)/($H$46:$H$50&gt;=$V293),$F$46:$F$50)</f>
        <v>0</v>
      </c>
      <c r="S293" s="5" t="str" cm="1">
        <f t="array" ref="S293">LOOKUP(2,1/($G$53:$G$56&lt;=$V293)/($H$53:$H$56&gt;=$V293),$F$53:$F$56)</f>
        <v>N2</v>
      </c>
      <c r="T293" s="5" t="e">
        <f>IFERROR(IF($R293&gt;0,$R293&amp;"-"&amp;COUNTIF($R$19:$R293,$R293),NA()),NA())</f>
        <v>#N/A</v>
      </c>
      <c r="U293" s="5" t="str">
        <f>IFERROR(IF($S293&gt;0,$S293&amp;"-"&amp;COUNTIF($S$19:$S293,$S293),NA()),NA())</f>
        <v>N2-8</v>
      </c>
      <c r="V293" s="10">
        <v>44756</v>
      </c>
      <c r="W293" s="101">
        <v>27258635.451505017</v>
      </c>
      <c r="X293" s="101">
        <v>33072902.393311039</v>
      </c>
      <c r="Y293" s="102">
        <v>8000000</v>
      </c>
      <c r="JE293" s="12"/>
      <c r="JF293" s="12"/>
      <c r="JG293" s="109"/>
      <c r="JH293" s="109"/>
      <c r="JI293" s="109"/>
      <c r="JJ293" s="109"/>
    </row>
    <row r="294" spans="13:270" x14ac:dyDescent="0.25">
      <c r="M294" s="5" t="str" cm="1">
        <f t="array" ref="M294">LOOKUP(2,1/($G$19:$G$35&lt;=$V294)/($H$19:$H$35&gt;=$V294),$F$19:$F$35)</f>
        <v>1H23</v>
      </c>
      <c r="N294" s="5" t="str" cm="1">
        <f t="array" ref="N294">LOOKUP(2,1/($G$8:$G$16&lt;=$V294)/($H$8:$H$16&gt;=$V294),$F$8:$F$16)</f>
        <v>FY23</v>
      </c>
      <c r="O294" s="5" t="str">
        <f>IFERROR(N294&amp;"-"&amp;COUNTIF($N$19:N294,N294),NA())</f>
        <v>FY23-3</v>
      </c>
      <c r="P294" s="5">
        <f>COUNTIF(V$19:V294,"&gt;="&amp;MAX($V:$V)-183)</f>
        <v>0</v>
      </c>
      <c r="Q294" s="5">
        <f>COUNTIF(V$19:V294,"&gt;="&amp;MAX($V:$V)-365)</f>
        <v>0</v>
      </c>
      <c r="R294" s="5" cm="1">
        <f t="array" ref="R294">LOOKUP(2,1/($G$46:$G$50&lt;=$V294)/($H$46:$H$50&gt;=$V294),$F$46:$F$50)</f>
        <v>0</v>
      </c>
      <c r="S294" s="5" t="str" cm="1">
        <f t="array" ref="S294">LOOKUP(2,1/($G$53:$G$56&lt;=$V294)/($H$53:$H$56&gt;=$V294),$F$53:$F$56)</f>
        <v>N2</v>
      </c>
      <c r="T294" s="5" t="e">
        <f>IFERROR(IF($R294&gt;0,$R294&amp;"-"&amp;COUNTIF($R$19:$R294,$R294),NA()),NA())</f>
        <v>#N/A</v>
      </c>
      <c r="U294" s="5" t="str">
        <f>IFERROR(IF($S294&gt;0,$S294&amp;"-"&amp;COUNTIF($S$19:$S294,$S294),NA()),NA())</f>
        <v>N2-9</v>
      </c>
      <c r="V294" s="10">
        <v>44763</v>
      </c>
      <c r="W294" s="101">
        <v>20968405.71602311</v>
      </c>
      <c r="X294" s="101">
        <v>25440966.65525084</v>
      </c>
      <c r="Y294" s="102">
        <v>4000000</v>
      </c>
      <c r="JE294" s="12"/>
      <c r="JF294" s="12"/>
      <c r="JG294" s="109"/>
      <c r="JH294" s="109"/>
      <c r="JI294" s="109"/>
      <c r="JJ294" s="109"/>
    </row>
    <row r="295" spans="13:270" x14ac:dyDescent="0.25">
      <c r="M295" s="5" t="str" cm="1">
        <f t="array" ref="M295">LOOKUP(2,1/($G$19:$G$35&lt;=$V295)/($H$19:$H$35&gt;=$V295),$F$19:$F$35)</f>
        <v>1H23</v>
      </c>
      <c r="N295" s="5" t="str" cm="1">
        <f t="array" ref="N295">LOOKUP(2,1/($G$8:$G$16&lt;=$V295)/($H$8:$H$16&gt;=$V295),$F$8:$F$16)</f>
        <v>FY23</v>
      </c>
      <c r="O295" s="5" t="str">
        <f>IFERROR(N295&amp;"-"&amp;COUNTIF($N$19:N295,N295),NA())</f>
        <v>FY23-4</v>
      </c>
      <c r="P295" s="5">
        <f>COUNTIF(V$19:V295,"&gt;="&amp;MAX($V:$V)-183)</f>
        <v>0</v>
      </c>
      <c r="Q295" s="5">
        <f>COUNTIF(V$19:V295,"&gt;="&amp;MAX($V:$V)-365)</f>
        <v>0</v>
      </c>
      <c r="R295" s="5" cm="1">
        <f t="array" ref="R295">LOOKUP(2,1/($G$46:$G$50&lt;=$V295)/($H$46:$H$50&gt;=$V295),$F$46:$F$50)</f>
        <v>0</v>
      </c>
      <c r="S295" s="5" t="str" cm="1">
        <f t="array" ref="S295">LOOKUP(2,1/($G$53:$G$56&lt;=$V295)/($H$53:$H$56&gt;=$V295),$F$53:$F$56)</f>
        <v>N2</v>
      </c>
      <c r="T295" s="5" t="e">
        <f>IFERROR(IF($R295&gt;0,$R295&amp;"-"&amp;COUNTIF($R$19:$R295,$R295),NA()),NA())</f>
        <v>#N/A</v>
      </c>
      <c r="U295" s="5" t="str">
        <f>IFERROR(IF($S295&gt;0,$S295&amp;"-"&amp;COUNTIF($S$19:$S295,$S295),NA()),NA())</f>
        <v>N2-10</v>
      </c>
      <c r="V295" s="10">
        <v>44770</v>
      </c>
      <c r="W295" s="101">
        <v>19329129.096989967</v>
      </c>
      <c r="X295" s="101">
        <v>23452032.333377928</v>
      </c>
      <c r="Y295" s="102">
        <v>4000000</v>
      </c>
      <c r="JE295" s="12"/>
      <c r="JF295" s="12"/>
      <c r="JG295" s="109"/>
      <c r="JH295" s="109"/>
      <c r="JI295" s="109"/>
      <c r="JJ295" s="109"/>
    </row>
    <row r="296" spans="13:270" x14ac:dyDescent="0.25">
      <c r="M296" s="5" t="str" cm="1">
        <f t="array" ref="M296">LOOKUP(2,1/($G$19:$G$35&lt;=$V296)/($H$19:$H$35&gt;=$V296),$F$19:$F$35)</f>
        <v>1H23</v>
      </c>
      <c r="N296" s="5" t="str" cm="1">
        <f t="array" ref="N296">LOOKUP(2,1/($G$8:$G$16&lt;=$V296)/($H$8:$H$16&gt;=$V296),$F$8:$F$16)</f>
        <v>FY23</v>
      </c>
      <c r="O296" s="5" t="str">
        <f>IFERROR(N296&amp;"-"&amp;COUNTIF($N$19:N296,N296),NA())</f>
        <v>FY23-5</v>
      </c>
      <c r="P296" s="5">
        <f>COUNTIF(V$19:V296,"&gt;="&amp;MAX($V:$V)-183)</f>
        <v>0</v>
      </c>
      <c r="Q296" s="5">
        <f>COUNTIF(V$19:V296,"&gt;="&amp;MAX($V:$V)-365)</f>
        <v>0</v>
      </c>
      <c r="R296" s="5" cm="1">
        <f t="array" ref="R296">LOOKUP(2,1/($G$46:$G$50&lt;=$V296)/($H$46:$H$50&gt;=$V296),$F$46:$F$50)</f>
        <v>0</v>
      </c>
      <c r="S296" s="5" t="str" cm="1">
        <f t="array" ref="S296">LOOKUP(2,1/($G$53:$G$56&lt;=$V296)/($H$53:$H$56&gt;=$V296),$F$53:$F$56)</f>
        <v>N2</v>
      </c>
      <c r="T296" s="5" t="e">
        <f>IFERROR(IF($R296&gt;0,$R296&amp;"-"&amp;COUNTIF($R$19:$R296,$R296),NA()),NA())</f>
        <v>#N/A</v>
      </c>
      <c r="U296" s="5" t="str">
        <f>IFERROR(IF($S296&gt;0,$S296&amp;"-"&amp;COUNTIF($S$19:$S296,$S296),NA()),NA())</f>
        <v>N2-11</v>
      </c>
      <c r="V296" s="10">
        <v>44777</v>
      </c>
      <c r="W296" s="101">
        <v>24328928.428093642</v>
      </c>
      <c r="X296" s="101">
        <v>29518288.861806016</v>
      </c>
      <c r="Y296" s="102">
        <v>8000000</v>
      </c>
      <c r="JE296" s="12"/>
      <c r="JF296" s="12"/>
      <c r="JG296" s="109"/>
      <c r="JH296" s="109"/>
      <c r="JI296" s="109"/>
      <c r="JJ296" s="109"/>
    </row>
    <row r="297" spans="13:270" x14ac:dyDescent="0.25">
      <c r="M297" s="5" t="str" cm="1">
        <f t="array" ref="M297">LOOKUP(2,1/($G$19:$G$35&lt;=$V297)/($H$19:$H$35&gt;=$V297),$F$19:$F$35)</f>
        <v>1H23</v>
      </c>
      <c r="N297" s="5" t="str" cm="1">
        <f t="array" ref="N297">LOOKUP(2,1/($G$8:$G$16&lt;=$V297)/($H$8:$H$16&gt;=$V297),$F$8:$F$16)</f>
        <v>FY23</v>
      </c>
      <c r="O297" s="5" t="str">
        <f>IFERROR(N297&amp;"-"&amp;COUNTIF($N$19:N297,N297),NA())</f>
        <v>FY23-6</v>
      </c>
      <c r="P297" s="5">
        <f>COUNTIF(V$19:V297,"&gt;="&amp;MAX($V:$V)-183)</f>
        <v>0</v>
      </c>
      <c r="Q297" s="5">
        <f>COUNTIF(V$19:V297,"&gt;="&amp;MAX($V:$V)-365)</f>
        <v>0</v>
      </c>
      <c r="R297" s="5" cm="1">
        <f t="array" ref="R297">LOOKUP(2,1/($G$46:$G$50&lt;=$V297)/($H$46:$H$50&gt;=$V297),$F$46:$F$50)</f>
        <v>0</v>
      </c>
      <c r="S297" s="5" t="str" cm="1">
        <f t="array" ref="S297">LOOKUP(2,1/($G$53:$G$56&lt;=$V297)/($H$53:$H$56&gt;=$V297),$F$53:$F$56)</f>
        <v>N2</v>
      </c>
      <c r="T297" s="5" t="e">
        <f>IFERROR(IF($R297&gt;0,$R297&amp;"-"&amp;COUNTIF($R$19:$R297,$R297),NA()),NA())</f>
        <v>#N/A</v>
      </c>
      <c r="U297" s="5" t="str">
        <f>IFERROR(IF($S297&gt;0,$S297&amp;"-"&amp;COUNTIF($S$19:$S297,$S297),NA()),NA())</f>
        <v>N2-12</v>
      </c>
      <c r="V297" s="10">
        <v>44784</v>
      </c>
      <c r="W297" s="101">
        <v>39456376.284584977</v>
      </c>
      <c r="X297" s="101">
        <v>47872421.346086957</v>
      </c>
      <c r="Y297" s="102">
        <v>20000000</v>
      </c>
      <c r="JE297" s="12"/>
      <c r="JF297" s="12"/>
      <c r="JG297" s="109"/>
      <c r="JH297" s="109"/>
      <c r="JI297" s="109"/>
      <c r="JJ297" s="109"/>
    </row>
    <row r="298" spans="13:270" x14ac:dyDescent="0.25">
      <c r="M298" s="5" t="str" cm="1">
        <f t="array" ref="M298">LOOKUP(2,1/($G$19:$G$35&lt;=$V298)/($H$19:$H$35&gt;=$V298),$F$19:$F$35)</f>
        <v>1H23</v>
      </c>
      <c r="N298" s="5" t="str" cm="1">
        <f t="array" ref="N298">LOOKUP(2,1/($G$8:$G$16&lt;=$V298)/($H$8:$H$16&gt;=$V298),$F$8:$F$16)</f>
        <v>FY23</v>
      </c>
      <c r="O298" s="5" t="str">
        <f>IFERROR(N298&amp;"-"&amp;COUNTIF($N$19:N298,N298),NA())</f>
        <v>FY23-7</v>
      </c>
      <c r="P298" s="5">
        <f>COUNTIF(V$19:V298,"&gt;="&amp;MAX($V:$V)-183)</f>
        <v>0</v>
      </c>
      <c r="Q298" s="5">
        <f>COUNTIF(V$19:V298,"&gt;="&amp;MAX($V:$V)-365)</f>
        <v>0</v>
      </c>
      <c r="R298" s="5" cm="1">
        <f t="array" ref="R298">LOOKUP(2,1/($G$46:$G$50&lt;=$V298)/($H$46:$H$50&gt;=$V298),$F$46:$F$50)</f>
        <v>0</v>
      </c>
      <c r="S298" s="5" t="str" cm="1">
        <f t="array" ref="S298">LOOKUP(2,1/($G$53:$G$56&lt;=$V298)/($H$53:$H$56&gt;=$V298),$F$53:$F$56)</f>
        <v>N2</v>
      </c>
      <c r="T298" s="5" t="e">
        <f>IFERROR(IF($R298&gt;0,$R298&amp;"-"&amp;COUNTIF($R$19:$R298,$R298),NA()),NA())</f>
        <v>#N/A</v>
      </c>
      <c r="U298" s="5" t="str">
        <f>IFERROR(IF($S298&gt;0,$S298&amp;"-"&amp;COUNTIF($S$19:$S298,$S298),NA()),NA())</f>
        <v>N2-13</v>
      </c>
      <c r="V298" s="10">
        <v>44791</v>
      </c>
      <c r="W298" s="101">
        <v>20023645.36333232</v>
      </c>
      <c r="X298" s="101">
        <v>24294688.919331104</v>
      </c>
      <c r="Y298" s="102">
        <v>4000000</v>
      </c>
      <c r="JE298" s="12"/>
      <c r="JF298" s="12"/>
      <c r="JG298" s="109"/>
      <c r="JH298" s="109"/>
      <c r="JI298" s="109"/>
      <c r="JJ298" s="109"/>
    </row>
    <row r="299" spans="13:270" x14ac:dyDescent="0.25">
      <c r="M299" s="5" t="str" cm="1">
        <f t="array" ref="M299">LOOKUP(2,1/($G$19:$G$35&lt;=$V299)/($H$19:$H$35&gt;=$V299),$F$19:$F$35)</f>
        <v>1H23</v>
      </c>
      <c r="N299" s="5" t="str" cm="1">
        <f t="array" ref="N299">LOOKUP(2,1/($G$8:$G$16&lt;=$V299)/($H$8:$H$16&gt;=$V299),$F$8:$F$16)</f>
        <v>FY23</v>
      </c>
      <c r="O299" s="5" t="str">
        <f>IFERROR(N299&amp;"-"&amp;COUNTIF($N$19:N299,N299),NA())</f>
        <v>FY23-8</v>
      </c>
      <c r="P299" s="5">
        <f>COUNTIF(V$19:V299,"&gt;="&amp;MAX($V:$V)-183)</f>
        <v>0</v>
      </c>
      <c r="Q299" s="5">
        <f>COUNTIF(V$19:V299,"&gt;="&amp;MAX($V:$V)-365)</f>
        <v>0</v>
      </c>
      <c r="R299" s="5" cm="1">
        <f t="array" ref="R299">LOOKUP(2,1/($G$46:$G$50&lt;=$V299)/($H$46:$H$50&gt;=$V299),$F$46:$F$50)</f>
        <v>0</v>
      </c>
      <c r="S299" s="5" t="str" cm="1">
        <f t="array" ref="S299">LOOKUP(2,1/($G$53:$G$56&lt;=$V299)/($H$53:$H$56&gt;=$V299),$F$53:$F$56)</f>
        <v>N2</v>
      </c>
      <c r="T299" s="5" t="e">
        <f>IFERROR(IF($R299&gt;0,$R299&amp;"-"&amp;COUNTIF($R$19:$R299,$R299),NA()),NA())</f>
        <v>#N/A</v>
      </c>
      <c r="U299" s="5" t="str">
        <f>IFERROR(IF($S299&gt;0,$S299&amp;"-"&amp;COUNTIF($S$19:$S299,$S299),NA()),NA())</f>
        <v>N2-14</v>
      </c>
      <c r="V299" s="10">
        <v>44798</v>
      </c>
      <c r="W299" s="101">
        <v>25454583.399209488</v>
      </c>
      <c r="X299" s="101">
        <v>30884046.038260873</v>
      </c>
      <c r="Y299" s="102">
        <v>8000000</v>
      </c>
      <c r="JE299" s="12"/>
      <c r="JF299" s="12"/>
      <c r="JG299" s="109"/>
      <c r="JH299" s="109"/>
      <c r="JI299" s="109"/>
      <c r="JJ299" s="109"/>
    </row>
    <row r="300" spans="13:270" x14ac:dyDescent="0.25">
      <c r="M300" s="5" t="str" cm="1">
        <f t="array" ref="M300">LOOKUP(2,1/($G$19:$G$35&lt;=$V300)/($H$19:$H$35&gt;=$V300),$F$19:$F$35)</f>
        <v>1H23</v>
      </c>
      <c r="N300" s="5" t="str" cm="1">
        <f t="array" ref="N300">LOOKUP(2,1/($G$8:$G$16&lt;=$V300)/($H$8:$H$16&gt;=$V300),$F$8:$F$16)</f>
        <v>FY23</v>
      </c>
      <c r="O300" s="5" t="str">
        <f>IFERROR(N300&amp;"-"&amp;COUNTIF($N$19:N300,N300),NA())</f>
        <v>FY23-9</v>
      </c>
      <c r="P300" s="5">
        <f>COUNTIF(V$19:V300,"&gt;="&amp;MAX($V:$V)-183)</f>
        <v>0</v>
      </c>
      <c r="Q300" s="5">
        <f>COUNTIF(V$19:V300,"&gt;="&amp;MAX($V:$V)-365)</f>
        <v>0</v>
      </c>
      <c r="R300" s="5" cm="1">
        <f t="array" ref="R300">LOOKUP(2,1/($G$46:$G$50&lt;=$V300)/($H$46:$H$50&gt;=$V300),$F$46:$F$50)</f>
        <v>0</v>
      </c>
      <c r="S300" s="5" t="str" cm="1">
        <f t="array" ref="S300">LOOKUP(2,1/($G$53:$G$56&lt;=$V300)/($H$53:$H$56&gt;=$V300),$F$53:$F$56)</f>
        <v>N2</v>
      </c>
      <c r="T300" s="5" t="e">
        <f>IFERROR(IF($R300&gt;0,$R300&amp;"-"&amp;COUNTIF($R$19:$R300,$R300),NA()),NA())</f>
        <v>#N/A</v>
      </c>
      <c r="U300" s="5" t="str">
        <f>IFERROR(IF($S300&gt;0,$S300&amp;"-"&amp;COUNTIF($S$19:$S300,$S300),NA()),NA())</f>
        <v>N2-15</v>
      </c>
      <c r="V300" s="10">
        <v>44805</v>
      </c>
      <c r="W300" s="101">
        <v>39743730.009121314</v>
      </c>
      <c r="X300" s="101">
        <v>48221067.620066889</v>
      </c>
      <c r="Y300" s="102">
        <v>20000000</v>
      </c>
      <c r="JE300" s="12"/>
      <c r="JF300" s="12"/>
      <c r="JG300" s="109"/>
      <c r="JH300" s="109"/>
      <c r="JI300" s="109"/>
      <c r="JJ300" s="109"/>
    </row>
    <row r="301" spans="13:270" x14ac:dyDescent="0.25">
      <c r="M301" s="5" t="str" cm="1">
        <f t="array" ref="M301">LOOKUP(2,1/($G$19:$G$35&lt;=$V301)/($H$19:$H$35&gt;=$V301),$F$19:$F$35)</f>
        <v>1H23</v>
      </c>
      <c r="N301" s="5" t="str" cm="1">
        <f t="array" ref="N301">LOOKUP(2,1/($G$8:$G$16&lt;=$V301)/($H$8:$H$16&gt;=$V301),$F$8:$F$16)</f>
        <v>FY23</v>
      </c>
      <c r="O301" s="5" t="str">
        <f>IFERROR(N301&amp;"-"&amp;COUNTIF($N$19:N301,N301),NA())</f>
        <v>FY23-10</v>
      </c>
      <c r="P301" s="5">
        <f>COUNTIF(V$19:V301,"&gt;="&amp;MAX($V:$V)-183)</f>
        <v>0</v>
      </c>
      <c r="Q301" s="5">
        <f>COUNTIF(V$19:V301,"&gt;="&amp;MAX($V:$V)-365)</f>
        <v>0</v>
      </c>
      <c r="R301" s="5" cm="1">
        <f t="array" ref="R301">LOOKUP(2,1/($G$46:$G$50&lt;=$V301)/($H$46:$H$50&gt;=$V301),$F$46:$F$50)</f>
        <v>0</v>
      </c>
      <c r="S301" s="5" t="str" cm="1">
        <f t="array" ref="S301">LOOKUP(2,1/($G$53:$G$56&lt;=$V301)/($H$53:$H$56&gt;=$V301),$F$53:$F$56)</f>
        <v>N2</v>
      </c>
      <c r="T301" s="5" t="e">
        <f>IFERROR(IF($R301&gt;0,$R301&amp;"-"&amp;COUNTIF($R$19:$R301,$R301),NA()),NA())</f>
        <v>#N/A</v>
      </c>
      <c r="U301" s="5" t="str">
        <f>IFERROR(IF($S301&gt;0,$S301&amp;"-"&amp;COUNTIF($S$19:$S301,$S301),NA()),NA())</f>
        <v>N2-16</v>
      </c>
      <c r="V301" s="10">
        <v>44812</v>
      </c>
      <c r="W301" s="101">
        <v>61420572.818485856</v>
      </c>
      <c r="X301" s="101">
        <v>74521581.000668898</v>
      </c>
      <c r="Y301" s="102">
        <v>40000000</v>
      </c>
      <c r="JE301" s="12"/>
      <c r="JF301" s="12"/>
      <c r="JG301" s="109"/>
      <c r="JH301" s="109"/>
      <c r="JI301" s="109"/>
      <c r="JJ301" s="109"/>
    </row>
    <row r="302" spans="13:270" x14ac:dyDescent="0.25">
      <c r="M302" s="5" t="str" cm="1">
        <f t="array" ref="M302">LOOKUP(2,1/($G$19:$G$35&lt;=$V302)/($H$19:$H$35&gt;=$V302),$F$19:$F$35)</f>
        <v>1H23</v>
      </c>
      <c r="N302" s="5" t="str" cm="1">
        <f t="array" ref="N302">LOOKUP(2,1/($G$8:$G$16&lt;=$V302)/($H$8:$H$16&gt;=$V302),$F$8:$F$16)</f>
        <v>FY23</v>
      </c>
      <c r="O302" s="5" t="str">
        <f>IFERROR(N302&amp;"-"&amp;COUNTIF($N$19:N302,N302),NA())</f>
        <v>FY23-11</v>
      </c>
      <c r="P302" s="5">
        <f>COUNTIF(V$19:V302,"&gt;="&amp;MAX($V:$V)-183)</f>
        <v>0</v>
      </c>
      <c r="Q302" s="5">
        <f>COUNTIF(V$19:V302,"&gt;="&amp;MAX($V:$V)-365)</f>
        <v>0</v>
      </c>
      <c r="R302" s="5" cm="1">
        <f t="array" ref="R302">LOOKUP(2,1/($G$46:$G$50&lt;=$V302)/($H$46:$H$50&gt;=$V302),$F$46:$F$50)</f>
        <v>0</v>
      </c>
      <c r="S302" s="5" t="str" cm="1">
        <f t="array" ref="S302">LOOKUP(2,1/($G$53:$G$56&lt;=$V302)/($H$53:$H$56&gt;=$V302),$F$53:$F$56)</f>
        <v>A2</v>
      </c>
      <c r="T302" s="5" t="e">
        <f>IFERROR(IF($R302&gt;0,$R302&amp;"-"&amp;COUNTIF($R$19:$R302,$R302),NA()),NA())</f>
        <v>#N/A</v>
      </c>
      <c r="U302" s="5" t="str">
        <f>IFERROR(IF($S302&gt;0,$S302&amp;"-"&amp;COUNTIF($S$19:$S302,$S302),NA()),NA())</f>
        <v>A2-1</v>
      </c>
      <c r="V302" s="10">
        <v>44819</v>
      </c>
      <c r="W302" s="101">
        <v>25008818.485861961</v>
      </c>
      <c r="X302" s="101">
        <v>30343199.468896318</v>
      </c>
      <c r="Y302" s="102">
        <v>8000000</v>
      </c>
      <c r="JE302" s="12"/>
      <c r="JF302" s="12"/>
      <c r="JG302" s="109"/>
      <c r="JH302" s="109"/>
      <c r="JI302" s="109"/>
      <c r="JJ302" s="109"/>
    </row>
    <row r="303" spans="13:270" x14ac:dyDescent="0.25">
      <c r="M303" s="5" t="str" cm="1">
        <f t="array" ref="M303">LOOKUP(2,1/($G$19:$G$35&lt;=$V303)/($H$19:$H$35&gt;=$V303),$F$19:$F$35)</f>
        <v>1H23</v>
      </c>
      <c r="N303" s="5" t="str" cm="1">
        <f t="array" ref="N303">LOOKUP(2,1/($G$8:$G$16&lt;=$V303)/($H$8:$H$16&gt;=$V303),$F$8:$F$16)</f>
        <v>FY23</v>
      </c>
      <c r="O303" s="5" t="str">
        <f>IFERROR(N303&amp;"-"&amp;COUNTIF($N$19:N303,N303),NA())</f>
        <v>FY23-12</v>
      </c>
      <c r="P303" s="5">
        <f>COUNTIF(V$19:V303,"&gt;="&amp;MAX($V:$V)-183)</f>
        <v>0</v>
      </c>
      <c r="Q303" s="5">
        <f>COUNTIF(V$19:V303,"&gt;="&amp;MAX($V:$V)-365)</f>
        <v>0</v>
      </c>
      <c r="R303" s="5" cm="1">
        <f t="array" ref="R303">LOOKUP(2,1/($G$46:$G$50&lt;=$V303)/($H$46:$H$50&gt;=$V303),$F$46:$F$50)</f>
        <v>0</v>
      </c>
      <c r="S303" s="5" t="str" cm="1">
        <f t="array" ref="S303">LOOKUP(2,1/($G$53:$G$56&lt;=$V303)/($H$53:$H$56&gt;=$V303),$F$53:$F$56)</f>
        <v>A2</v>
      </c>
      <c r="T303" s="5" t="e">
        <f>IFERROR(IF($R303&gt;0,$R303&amp;"-"&amp;COUNTIF($R$19:$R303,$R303),NA()),NA())</f>
        <v>#N/A</v>
      </c>
      <c r="U303" s="5" t="str">
        <f>IFERROR(IF($S303&gt;0,$S303&amp;"-"&amp;COUNTIF($S$19:$S303,$S303),NA()),NA())</f>
        <v>A2-2</v>
      </c>
      <c r="V303" s="10">
        <v>44826</v>
      </c>
      <c r="W303" s="101">
        <v>22659829.73548191</v>
      </c>
      <c r="X303" s="101">
        <v>27493171.418060202</v>
      </c>
      <c r="Y303" s="102">
        <v>8000000</v>
      </c>
      <c r="JE303" s="12"/>
      <c r="JF303" s="12"/>
      <c r="JG303" s="109"/>
      <c r="JH303" s="109"/>
      <c r="JI303" s="109"/>
      <c r="JJ303" s="109"/>
    </row>
    <row r="304" spans="13:270" x14ac:dyDescent="0.25">
      <c r="M304" s="5" t="str" cm="1">
        <f t="array" ref="M304">LOOKUP(2,1/($G$19:$G$35&lt;=$V304)/($H$19:$H$35&gt;=$V304),$F$19:$F$35)</f>
        <v>1H23</v>
      </c>
      <c r="N304" s="5" t="str" cm="1">
        <f t="array" ref="N304">LOOKUP(2,1/($G$8:$G$16&lt;=$V304)/($H$8:$H$16&gt;=$V304),$F$8:$F$16)</f>
        <v>FY23</v>
      </c>
      <c r="O304" s="5" t="str">
        <f>IFERROR(N304&amp;"-"&amp;COUNTIF($N$19:N304,N304),NA())</f>
        <v>FY23-13</v>
      </c>
      <c r="P304" s="5">
        <f>COUNTIF(V$19:V304,"&gt;="&amp;MAX($V:$V)-183)</f>
        <v>0</v>
      </c>
      <c r="Q304" s="5">
        <f>COUNTIF(V$19:V304,"&gt;="&amp;MAX($V:$V)-365)</f>
        <v>0</v>
      </c>
      <c r="R304" s="5" cm="1">
        <f t="array" ref="R304">LOOKUP(2,1/($G$46:$G$50&lt;=$V304)/($H$46:$H$50&gt;=$V304),$F$46:$F$50)</f>
        <v>0</v>
      </c>
      <c r="S304" s="5" t="str" cm="1">
        <f t="array" ref="S304">LOOKUP(2,1/($G$53:$G$56&lt;=$V304)/($H$53:$H$56&gt;=$V304),$F$53:$F$56)</f>
        <v>A2</v>
      </c>
      <c r="T304" s="5" t="e">
        <f>IFERROR(IF($R304&gt;0,$R304&amp;"-"&amp;COUNTIF($R$19:$R304,$R304),NA()),NA())</f>
        <v>#N/A</v>
      </c>
      <c r="U304" s="5" t="str">
        <f>IFERROR(IF($S304&gt;0,$S304&amp;"-"&amp;COUNTIF($S$19:$S304,$S304),NA()),NA())</f>
        <v>A2-3</v>
      </c>
      <c r="V304" s="10">
        <v>44833</v>
      </c>
      <c r="W304" s="101">
        <v>35905405.655214347</v>
      </c>
      <c r="X304" s="101">
        <v>43564028.681471571</v>
      </c>
      <c r="Y304" s="102">
        <v>20000000</v>
      </c>
      <c r="JE304" s="12"/>
      <c r="JF304" s="12"/>
      <c r="JG304" s="109"/>
      <c r="JH304" s="109"/>
      <c r="JI304" s="109"/>
      <c r="JJ304" s="109"/>
    </row>
    <row r="305" spans="13:270" x14ac:dyDescent="0.25">
      <c r="M305" s="5" t="str" cm="1">
        <f t="array" ref="M305">LOOKUP(2,1/($G$19:$G$35&lt;=$V305)/($H$19:$H$35&gt;=$V305),$F$19:$F$35)</f>
        <v>1H23</v>
      </c>
      <c r="N305" s="5" t="str" cm="1">
        <f t="array" ref="N305">LOOKUP(2,1/($G$8:$G$16&lt;=$V305)/($H$8:$H$16&gt;=$V305),$F$8:$F$16)</f>
        <v>FY23</v>
      </c>
      <c r="O305" s="5" t="str">
        <f>IFERROR(N305&amp;"-"&amp;COUNTIF($N$19:N305,N305),NA())</f>
        <v>FY23-14</v>
      </c>
      <c r="P305" s="5">
        <f>COUNTIF(V$19:V305,"&gt;="&amp;MAX($V:$V)-183)</f>
        <v>0</v>
      </c>
      <c r="Q305" s="5">
        <f>COUNTIF(V$19:V305,"&gt;="&amp;MAX($V:$V)-365)</f>
        <v>1</v>
      </c>
      <c r="R305" s="5" cm="1">
        <f t="array" ref="R305">LOOKUP(2,1/($G$46:$G$50&lt;=$V305)/($H$46:$H$50&gt;=$V305),$F$46:$F$50)</f>
        <v>0</v>
      </c>
      <c r="S305" s="5" t="str" cm="1">
        <f t="array" ref="S305">LOOKUP(2,1/($G$53:$G$56&lt;=$V305)/($H$53:$H$56&gt;=$V305),$F$53:$F$56)</f>
        <v>A2</v>
      </c>
      <c r="T305" s="5" t="e">
        <f>IFERROR(IF($R305&gt;0,$R305&amp;"-"&amp;COUNTIF($R$19:$R305,$R305),NA()),NA())</f>
        <v>#N/A</v>
      </c>
      <c r="U305" s="5" t="str">
        <f>IFERROR(IF($S305&gt;0,$S305&amp;"-"&amp;COUNTIF($S$19:$S305,$S305),NA()),NA())</f>
        <v>A2-4</v>
      </c>
      <c r="V305" s="10">
        <v>44840</v>
      </c>
      <c r="W305" s="101">
        <v>47423181.270902999</v>
      </c>
      <c r="X305" s="101">
        <v>57538545.835986614</v>
      </c>
      <c r="Y305" s="102">
        <v>30000000</v>
      </c>
      <c r="JE305" s="12"/>
      <c r="JF305" s="12"/>
      <c r="JG305" s="109"/>
      <c r="JH305" s="109"/>
      <c r="JI305" s="109"/>
      <c r="JJ305" s="109"/>
    </row>
    <row r="306" spans="13:270" x14ac:dyDescent="0.25">
      <c r="M306" s="5" t="str" cm="1">
        <f t="array" ref="M306">LOOKUP(2,1/($G$19:$G$35&lt;=$V306)/($H$19:$H$35&gt;=$V306),$F$19:$F$35)</f>
        <v>1H23</v>
      </c>
      <c r="N306" s="5" t="str" cm="1">
        <f t="array" ref="N306">LOOKUP(2,1/($G$8:$G$16&lt;=$V306)/($H$8:$H$16&gt;=$V306),$F$8:$F$16)</f>
        <v>FY23</v>
      </c>
      <c r="O306" s="5" t="str">
        <f>IFERROR(N306&amp;"-"&amp;COUNTIF($N$19:N306,N306),NA())</f>
        <v>FY23-15</v>
      </c>
      <c r="P306" s="5">
        <f>COUNTIF(V$19:V306,"&gt;="&amp;MAX($V:$V)-183)</f>
        <v>0</v>
      </c>
      <c r="Q306" s="5">
        <f>COUNTIF(V$19:V306,"&gt;="&amp;MAX($V:$V)-365)</f>
        <v>2</v>
      </c>
      <c r="R306" s="5" cm="1">
        <f t="array" ref="R306">LOOKUP(2,1/($G$46:$G$50&lt;=$V306)/($H$46:$H$50&gt;=$V306),$F$46:$F$50)</f>
        <v>0</v>
      </c>
      <c r="S306" s="5" t="str" cm="1">
        <f t="array" ref="S306">LOOKUP(2,1/($G$53:$G$56&lt;=$V306)/($H$53:$H$56&gt;=$V306),$F$53:$F$56)</f>
        <v>A2</v>
      </c>
      <c r="T306" s="5" t="e">
        <f>IFERROR(IF($R306&gt;0,$R306&amp;"-"&amp;COUNTIF($R$19:$R306,$R306),NA()),NA())</f>
        <v>#N/A</v>
      </c>
      <c r="U306" s="5" t="str">
        <f>IFERROR(IF($S306&gt;0,$S306&amp;"-"&amp;COUNTIF($S$19:$S306,$S306),NA()),NA())</f>
        <v>A2-5</v>
      </c>
      <c r="V306" s="10">
        <v>44847</v>
      </c>
      <c r="W306" s="101">
        <v>77692655.761629671</v>
      </c>
      <c r="X306" s="101">
        <v>94264499.235585287</v>
      </c>
      <c r="Y306" s="102">
        <v>50000000</v>
      </c>
      <c r="JE306" s="12"/>
      <c r="JF306" s="12"/>
      <c r="JG306" s="109"/>
      <c r="JH306" s="109"/>
      <c r="JI306" s="109"/>
      <c r="JJ306" s="109"/>
    </row>
    <row r="307" spans="13:270" x14ac:dyDescent="0.25">
      <c r="M307" s="5" t="str" cm="1">
        <f t="array" ref="M307">LOOKUP(2,1/($G$19:$G$35&lt;=$V307)/($H$19:$H$35&gt;=$V307),$F$19:$F$35)</f>
        <v>1H23</v>
      </c>
      <c r="N307" s="5" t="str" cm="1">
        <f t="array" ref="N307">LOOKUP(2,1/($G$8:$G$16&lt;=$V307)/($H$8:$H$16&gt;=$V307),$F$8:$F$16)</f>
        <v>FY23</v>
      </c>
      <c r="O307" s="5" t="str">
        <f>IFERROR(N307&amp;"-"&amp;COUNTIF($N$19:N307,N307),NA())</f>
        <v>FY23-16</v>
      </c>
      <c r="P307" s="5">
        <f>COUNTIF(V$19:V307,"&gt;="&amp;MAX($V:$V)-183)</f>
        <v>0</v>
      </c>
      <c r="Q307" s="5">
        <f>COUNTIF(V$19:V307,"&gt;="&amp;MAX($V:$V)-365)</f>
        <v>3</v>
      </c>
      <c r="R307" s="5" cm="1">
        <f t="array" ref="R307">LOOKUP(2,1/($G$46:$G$50&lt;=$V307)/($H$46:$H$50&gt;=$V307),$F$46:$F$50)</f>
        <v>0</v>
      </c>
      <c r="S307" s="5" t="str" cm="1">
        <f t="array" ref="S307">LOOKUP(2,1/($G$53:$G$56&lt;=$V307)/($H$53:$H$56&gt;=$V307),$F$53:$F$56)</f>
        <v>A2</v>
      </c>
      <c r="T307" s="5" t="e">
        <f>IFERROR(IF($R307&gt;0,$R307&amp;"-"&amp;COUNTIF($R$19:$R307,$R307),NA()),NA())</f>
        <v>#N/A</v>
      </c>
      <c r="U307" s="5" t="str">
        <f>IFERROR(IF($S307&gt;0,$S307&amp;"-"&amp;COUNTIF($S$19:$S307,$S307),NA()),NA())</f>
        <v>A2-6</v>
      </c>
      <c r="V307" s="10">
        <v>44854</v>
      </c>
      <c r="W307" s="101">
        <v>183084473.09212527</v>
      </c>
      <c r="X307" s="101">
        <v>222136391.20267558</v>
      </c>
      <c r="Y307" s="102">
        <v>100000000</v>
      </c>
      <c r="JE307" s="12"/>
      <c r="JF307" s="12"/>
      <c r="JG307" s="109"/>
      <c r="JH307" s="109"/>
      <c r="JI307" s="109"/>
      <c r="JJ307" s="109"/>
    </row>
    <row r="308" spans="13:270" x14ac:dyDescent="0.25">
      <c r="M308" s="5" t="str" cm="1">
        <f t="array" ref="M308">LOOKUP(2,1/($G$19:$G$35&lt;=$V308)/($H$19:$H$35&gt;=$V308),$F$19:$F$35)</f>
        <v>1H23</v>
      </c>
      <c r="N308" s="5" t="str" cm="1">
        <f t="array" ref="N308">LOOKUP(2,1/($G$8:$G$16&lt;=$V308)/($H$8:$H$16&gt;=$V308),$F$8:$F$16)</f>
        <v>FY23</v>
      </c>
      <c r="O308" s="5" t="str">
        <f>IFERROR(N308&amp;"-"&amp;COUNTIF($N$19:N308,N308),NA())</f>
        <v>FY23-17</v>
      </c>
      <c r="P308" s="5">
        <f>COUNTIF(V$19:V308,"&gt;="&amp;MAX($V:$V)-183)</f>
        <v>0</v>
      </c>
      <c r="Q308" s="5">
        <f>COUNTIF(V$19:V308,"&gt;="&amp;MAX($V:$V)-365)</f>
        <v>4</v>
      </c>
      <c r="R308" s="5" cm="1">
        <f t="array" ref="R308">LOOKUP(2,1/($G$46:$G$50&lt;=$V308)/($H$46:$H$50&gt;=$V308),$F$46:$F$50)</f>
        <v>0</v>
      </c>
      <c r="S308" s="5" t="str" cm="1">
        <f t="array" ref="S308">LOOKUP(2,1/($G$53:$G$56&lt;=$V308)/($H$53:$H$56&gt;=$V308),$F$53:$F$56)</f>
        <v>A2</v>
      </c>
      <c r="T308" s="5" t="e">
        <f>IFERROR(IF($R308&gt;0,$R308&amp;"-"&amp;COUNTIF($R$19:$R308,$R308),NA()),NA())</f>
        <v>#N/A</v>
      </c>
      <c r="U308" s="5" t="str">
        <f>IFERROR(IF($S308&gt;0,$S308&amp;"-"&amp;COUNTIF($S$19:$S308,$S308),NA()),NA())</f>
        <v>A2-7</v>
      </c>
      <c r="V308" s="10">
        <v>44861</v>
      </c>
      <c r="W308" s="101">
        <v>284837413.80358768</v>
      </c>
      <c r="X308" s="101">
        <v>345593234.16789293</v>
      </c>
      <c r="Y308" s="102">
        <v>160000000</v>
      </c>
      <c r="JE308" s="12"/>
      <c r="JF308" s="12"/>
      <c r="JG308" s="109"/>
      <c r="JH308" s="109"/>
      <c r="JI308" s="109"/>
      <c r="JJ308" s="109"/>
    </row>
    <row r="309" spans="13:270" x14ac:dyDescent="0.25">
      <c r="M309" s="5" t="str" cm="1">
        <f t="array" ref="M309">LOOKUP(2,1/($G$19:$G$35&lt;=$V309)/($H$19:$H$35&gt;=$V309),$F$19:$F$35)</f>
        <v>1H23</v>
      </c>
      <c r="N309" s="5" t="str" cm="1">
        <f t="array" ref="N309">LOOKUP(2,1/($G$8:$G$16&lt;=$V309)/($H$8:$H$16&gt;=$V309),$F$8:$F$16)</f>
        <v>FY23</v>
      </c>
      <c r="O309" s="5" t="str">
        <f>IFERROR(N309&amp;"-"&amp;COUNTIF($N$19:N309,N309),NA())</f>
        <v>FY23-18</v>
      </c>
      <c r="P309" s="5">
        <f>COUNTIF(V$19:V309,"&gt;="&amp;MAX($V:$V)-183)</f>
        <v>0</v>
      </c>
      <c r="Q309" s="5">
        <f>COUNTIF(V$19:V309,"&gt;="&amp;MAX($V:$V)-365)</f>
        <v>5</v>
      </c>
      <c r="R309" s="5" cm="1">
        <f t="array" ref="R309">LOOKUP(2,1/($G$46:$G$50&lt;=$V309)/($H$46:$H$50&gt;=$V309),$F$46:$F$50)</f>
        <v>0</v>
      </c>
      <c r="S309" s="5" t="str" cm="1">
        <f t="array" ref="S309">LOOKUP(2,1/($G$53:$G$56&lt;=$V309)/($H$53:$H$56&gt;=$V309),$F$53:$F$56)</f>
        <v>A2</v>
      </c>
      <c r="T309" s="5" t="e">
        <f>IFERROR(IF($R309&gt;0,$R309&amp;"-"&amp;COUNTIF($R$19:$R309,$R309),NA()),NA())</f>
        <v>#N/A</v>
      </c>
      <c r="U309" s="5" t="str">
        <f>IFERROR(IF($S309&gt;0,$S309&amp;"-"&amp;COUNTIF($S$19:$S309,$S309),NA()),NA())</f>
        <v>A2-8</v>
      </c>
      <c r="V309" s="10">
        <v>44868</v>
      </c>
      <c r="W309" s="101">
        <v>27003392.885375496</v>
      </c>
      <c r="X309" s="101">
        <v>32763216.587826092</v>
      </c>
      <c r="Y309" s="102">
        <v>8000000</v>
      </c>
      <c r="JE309" s="12"/>
      <c r="JF309" s="12"/>
      <c r="JG309" s="109"/>
      <c r="JH309" s="109"/>
      <c r="JI309" s="109"/>
      <c r="JJ309" s="109"/>
    </row>
    <row r="310" spans="13:270" x14ac:dyDescent="0.25">
      <c r="M310" s="5" t="str" cm="1">
        <f t="array" ref="M310">LOOKUP(2,1/($G$19:$G$35&lt;=$V310)/($H$19:$H$35&gt;=$V310),$F$19:$F$35)</f>
        <v>1H23</v>
      </c>
      <c r="N310" s="5" t="str" cm="1">
        <f t="array" ref="N310">LOOKUP(2,1/($G$8:$G$16&lt;=$V310)/($H$8:$H$16&gt;=$V310),$F$8:$F$16)</f>
        <v>FY23</v>
      </c>
      <c r="O310" s="5" t="str">
        <f>IFERROR(N310&amp;"-"&amp;COUNTIF($N$19:N310,N310),NA())</f>
        <v>FY23-19</v>
      </c>
      <c r="P310" s="5">
        <f>COUNTIF(V$19:V310,"&gt;="&amp;MAX($V:$V)-183)</f>
        <v>0</v>
      </c>
      <c r="Q310" s="5">
        <f>COUNTIF(V$19:V310,"&gt;="&amp;MAX($V:$V)-365)</f>
        <v>6</v>
      </c>
      <c r="R310" s="5" cm="1">
        <f t="array" ref="R310">LOOKUP(2,1/($G$46:$G$50&lt;=$V310)/($H$46:$H$50&gt;=$V310),$F$46:$F$50)</f>
        <v>0</v>
      </c>
      <c r="S310" s="5" t="str" cm="1">
        <f t="array" ref="S310">LOOKUP(2,1/($G$53:$G$56&lt;=$V310)/($H$53:$H$56&gt;=$V310),$F$53:$F$56)</f>
        <v>A2</v>
      </c>
      <c r="T310" s="5" t="e">
        <f>IFERROR(IF($R310&gt;0,$R310&amp;"-"&amp;COUNTIF($R$19:$R310,$R310),NA()),NA())</f>
        <v>#N/A</v>
      </c>
      <c r="U310" s="5" t="str">
        <f>IFERROR(IF($S310&gt;0,$S310&amp;"-"&amp;COUNTIF($S$19:$S310,$S310),NA()),NA())</f>
        <v>A2-9</v>
      </c>
      <c r="V310" s="10">
        <v>44875</v>
      </c>
      <c r="W310" s="101">
        <v>44321005.290361807</v>
      </c>
      <c r="X310" s="101">
        <v>53774675.718795985</v>
      </c>
      <c r="Y310" s="102">
        <v>20000000</v>
      </c>
      <c r="JE310" s="12"/>
      <c r="JF310" s="12"/>
      <c r="JG310" s="109"/>
      <c r="JH310" s="109"/>
      <c r="JI310" s="109"/>
      <c r="JJ310" s="109"/>
    </row>
    <row r="311" spans="13:270" x14ac:dyDescent="0.25">
      <c r="M311" s="5" t="str" cm="1">
        <f t="array" ref="M311">LOOKUP(2,1/($G$19:$G$35&lt;=$V311)/($H$19:$H$35&gt;=$V311),$F$19:$F$35)</f>
        <v>1H23</v>
      </c>
      <c r="N311" s="5" t="str" cm="1">
        <f t="array" ref="N311">LOOKUP(2,1/($G$8:$G$16&lt;=$V311)/($H$8:$H$16&gt;=$V311),$F$8:$F$16)</f>
        <v>FY23</v>
      </c>
      <c r="O311" s="5" t="str">
        <f>IFERROR(N311&amp;"-"&amp;COUNTIF($N$19:N311,N311),NA())</f>
        <v>FY23-20</v>
      </c>
      <c r="P311" s="5">
        <f>COUNTIF(V$19:V311,"&gt;="&amp;MAX($V:$V)-183)</f>
        <v>0</v>
      </c>
      <c r="Q311" s="5">
        <f>COUNTIF(V$19:V311,"&gt;="&amp;MAX($V:$V)-365)</f>
        <v>7</v>
      </c>
      <c r="R311" s="5" cm="1">
        <f t="array" ref="R311">LOOKUP(2,1/($G$46:$G$50&lt;=$V311)/($H$46:$H$50&gt;=$V311),$F$46:$F$50)</f>
        <v>0</v>
      </c>
      <c r="S311" s="5" t="str" cm="1">
        <f t="array" ref="S311">LOOKUP(2,1/($G$53:$G$56&lt;=$V311)/($H$53:$H$56&gt;=$V311),$F$53:$F$56)</f>
        <v>A2</v>
      </c>
      <c r="T311" s="5" t="e">
        <f>IFERROR(IF($R311&gt;0,$R311&amp;"-"&amp;COUNTIF($R$19:$R311,$R311),NA()),NA())</f>
        <v>#N/A</v>
      </c>
      <c r="U311" s="5" t="str">
        <f>IFERROR(IF($S311&gt;0,$S311&amp;"-"&amp;COUNTIF($S$19:$S311,$S311),NA()),NA())</f>
        <v>A2-10</v>
      </c>
      <c r="V311" s="10">
        <v>44882</v>
      </c>
      <c r="W311" s="101">
        <v>51026175.37245363</v>
      </c>
      <c r="X311" s="101">
        <v>61910058.579397991</v>
      </c>
      <c r="Y311" s="102">
        <v>30000000</v>
      </c>
      <c r="JE311" s="12"/>
      <c r="JF311" s="12"/>
      <c r="JG311" s="109"/>
      <c r="JH311" s="109"/>
      <c r="JI311" s="109"/>
      <c r="JJ311" s="109"/>
    </row>
    <row r="312" spans="13:270" x14ac:dyDescent="0.25">
      <c r="M312" s="5" t="str" cm="1">
        <f t="array" ref="M312">LOOKUP(2,1/($G$19:$G$35&lt;=$V312)/($H$19:$H$35&gt;=$V312),$F$19:$F$35)</f>
        <v>1H23</v>
      </c>
      <c r="N312" s="5" t="str" cm="1">
        <f t="array" ref="N312">LOOKUP(2,1/($G$8:$G$16&lt;=$V312)/($H$8:$H$16&gt;=$V312),$F$8:$F$16)</f>
        <v>FY23</v>
      </c>
      <c r="O312" s="5" t="str">
        <f>IFERROR(N312&amp;"-"&amp;COUNTIF($N$19:N312,N312),NA())</f>
        <v>FY23-21</v>
      </c>
      <c r="P312" s="5">
        <f>COUNTIF(V$19:V312,"&gt;="&amp;MAX($V:$V)-183)</f>
        <v>0</v>
      </c>
      <c r="Q312" s="5">
        <f>COUNTIF(V$19:V312,"&gt;="&amp;MAX($V:$V)-365)</f>
        <v>8</v>
      </c>
      <c r="R312" s="5" cm="1">
        <f t="array" ref="R312">LOOKUP(2,1/($G$46:$G$50&lt;=$V312)/($H$46:$H$50&gt;=$V312),$F$46:$F$50)</f>
        <v>0</v>
      </c>
      <c r="S312" s="5" t="str" cm="1">
        <f t="array" ref="S312">LOOKUP(2,1/($G$53:$G$56&lt;=$V312)/($H$53:$H$56&gt;=$V312),$F$53:$F$56)</f>
        <v>A2</v>
      </c>
      <c r="T312" s="5" t="e">
        <f>IFERROR(IF($R312&gt;0,$R312&amp;"-"&amp;COUNTIF($R$19:$R312,$R312),NA()),NA())</f>
        <v>#N/A</v>
      </c>
      <c r="U312" s="5" t="str">
        <f>IFERROR(IF($S312&gt;0,$S312&amp;"-"&amp;COUNTIF($S$19:$S312,$S312),NA()),NA())</f>
        <v>A2-11</v>
      </c>
      <c r="V312" s="10">
        <v>44889</v>
      </c>
      <c r="W312" s="101">
        <v>71266594.101550624</v>
      </c>
      <c r="X312" s="101">
        <v>86467758.623411372</v>
      </c>
      <c r="Y312" s="102">
        <v>50000000</v>
      </c>
      <c r="JE312" s="12"/>
      <c r="JF312" s="12"/>
      <c r="JG312" s="109"/>
      <c r="JH312" s="109"/>
      <c r="JI312" s="109"/>
      <c r="JJ312" s="109"/>
    </row>
    <row r="313" spans="13:270" x14ac:dyDescent="0.25">
      <c r="M313" s="5" t="str" cm="1">
        <f t="array" ref="M313">LOOKUP(2,1/($G$19:$G$35&lt;=$V313)/($H$19:$H$35&gt;=$V313),$F$19:$F$35)</f>
        <v>1H23</v>
      </c>
      <c r="N313" s="5" t="str" cm="1">
        <f t="array" ref="N313">LOOKUP(2,1/($G$8:$G$16&lt;=$V313)/($H$8:$H$16&gt;=$V313),$F$8:$F$16)</f>
        <v>FY23</v>
      </c>
      <c r="O313" s="5" t="str">
        <f>IFERROR(N313&amp;"-"&amp;COUNTIF($N$19:N313,N313),NA())</f>
        <v>FY23-22</v>
      </c>
      <c r="P313" s="5">
        <f>COUNTIF(V$19:V313,"&gt;="&amp;MAX($V:$V)-183)</f>
        <v>0</v>
      </c>
      <c r="Q313" s="5">
        <f>COUNTIF(V$19:V313,"&gt;="&amp;MAX($V:$V)-365)</f>
        <v>9</v>
      </c>
      <c r="R313" s="5" cm="1">
        <f t="array" ref="R313">LOOKUP(2,1/($G$46:$G$50&lt;=$V313)/($H$46:$H$50&gt;=$V313),$F$46:$F$50)</f>
        <v>0</v>
      </c>
      <c r="S313" s="5" t="str" cm="1">
        <f t="array" ref="S313">LOOKUP(2,1/($G$53:$G$56&lt;=$V313)/($H$53:$H$56&gt;=$V313),$F$53:$F$56)</f>
        <v>A2</v>
      </c>
      <c r="T313" s="5" t="e">
        <f>IFERROR(IF($R313&gt;0,$R313&amp;"-"&amp;COUNTIF($R$19:$R313,$R313),NA()),NA())</f>
        <v>#N/A</v>
      </c>
      <c r="U313" s="5" t="str">
        <f>IFERROR(IF($S313&gt;0,$S313&amp;"-"&amp;COUNTIF($S$19:$S313,$S313),NA()),NA())</f>
        <v>A2-12</v>
      </c>
      <c r="V313" s="10">
        <v>44896</v>
      </c>
      <c r="W313" s="101">
        <v>25213057.950744905</v>
      </c>
      <c r="X313" s="101">
        <v>30591003.211638793</v>
      </c>
      <c r="Y313" s="102">
        <v>8000000</v>
      </c>
      <c r="JE313" s="12"/>
      <c r="JF313" s="12"/>
      <c r="JG313" s="109"/>
      <c r="JH313" s="109"/>
      <c r="JI313" s="109"/>
      <c r="JJ313" s="109"/>
    </row>
    <row r="314" spans="13:270" x14ac:dyDescent="0.25">
      <c r="M314" s="5" t="str" cm="1">
        <f t="array" ref="M314">LOOKUP(2,1/($G$19:$G$35&lt;=$V314)/($H$19:$H$35&gt;=$V314),$F$19:$F$35)</f>
        <v>1H23</v>
      </c>
      <c r="N314" s="5" t="str" cm="1">
        <f t="array" ref="N314">LOOKUP(2,1/($G$8:$G$16&lt;=$V314)/($H$8:$H$16&gt;=$V314),$F$8:$F$16)</f>
        <v>FY23</v>
      </c>
      <c r="O314" s="5" t="str">
        <f>IFERROR(N314&amp;"-"&amp;COUNTIF($N$19:N314,N314),NA())</f>
        <v>FY23-23</v>
      </c>
      <c r="P314" s="5">
        <f>COUNTIF(V$19:V314,"&gt;="&amp;MAX($V:$V)-183)</f>
        <v>0</v>
      </c>
      <c r="Q314" s="5">
        <f>COUNTIF(V$19:V314,"&gt;="&amp;MAX($V:$V)-365)</f>
        <v>10</v>
      </c>
      <c r="R314" s="5" cm="1">
        <f t="array" ref="R314">LOOKUP(2,1/($G$46:$G$50&lt;=$V314)/($H$46:$H$50&gt;=$V314),$F$46:$F$50)</f>
        <v>0</v>
      </c>
      <c r="S314" s="5" t="str" cm="1">
        <f t="array" ref="S314">LOOKUP(2,1/($G$53:$G$56&lt;=$V314)/($H$53:$H$56&gt;=$V314),$F$53:$F$56)</f>
        <v>A2</v>
      </c>
      <c r="T314" s="5" t="e">
        <f>IFERROR(IF($R314&gt;0,$R314&amp;"-"&amp;COUNTIF($R$19:$R314,$R314),NA()),NA())</f>
        <v>#N/A</v>
      </c>
      <c r="U314" s="5" t="str">
        <f>IFERROR(IF($S314&gt;0,$S314&amp;"-"&amp;COUNTIF($S$19:$S314,$S314),NA()),NA())</f>
        <v>A2-13</v>
      </c>
      <c r="V314" s="10">
        <v>44903</v>
      </c>
      <c r="W314" s="101">
        <v>38341626.147765279</v>
      </c>
      <c r="X314" s="101">
        <v>46519895.005083613</v>
      </c>
      <c r="Y314" s="102">
        <v>20000000</v>
      </c>
      <c r="JE314" s="12"/>
      <c r="JF314" s="12"/>
      <c r="JG314" s="109"/>
      <c r="JH314" s="109"/>
      <c r="JI314" s="109"/>
      <c r="JJ314" s="109"/>
    </row>
    <row r="315" spans="13:270" x14ac:dyDescent="0.25">
      <c r="M315" s="5" t="str" cm="1">
        <f t="array" ref="M315">LOOKUP(2,1/($G$19:$G$35&lt;=$V315)/($H$19:$H$35&gt;=$V315),$F$19:$F$35)</f>
        <v>1H23</v>
      </c>
      <c r="N315" s="5" t="str" cm="1">
        <f t="array" ref="N315">LOOKUP(2,1/($G$8:$G$16&lt;=$V315)/($H$8:$H$16&gt;=$V315),$F$8:$F$16)</f>
        <v>FY23</v>
      </c>
      <c r="O315" s="5" t="str">
        <f>IFERROR(N315&amp;"-"&amp;COUNTIF($N$19:N315,N315),NA())</f>
        <v>FY23-24</v>
      </c>
      <c r="P315" s="5">
        <f>COUNTIF(V$19:V315,"&gt;="&amp;MAX($V:$V)-183)</f>
        <v>0</v>
      </c>
      <c r="Q315" s="5">
        <f>COUNTIF(V$19:V315,"&gt;="&amp;MAX($V:$V)-365)</f>
        <v>11</v>
      </c>
      <c r="R315" s="5" cm="1">
        <f t="array" ref="R315">LOOKUP(2,1/($G$46:$G$50&lt;=$V315)/($H$46:$H$50&gt;=$V315),$F$46:$F$50)</f>
        <v>0</v>
      </c>
      <c r="S315" s="5" t="str" cm="1">
        <f t="array" ref="S315">LOOKUP(2,1/($G$53:$G$56&lt;=$V315)/($H$53:$H$56&gt;=$V315),$F$53:$F$56)</f>
        <v>A2</v>
      </c>
      <c r="T315" s="5" t="e">
        <f>IFERROR(IF($R315&gt;0,$R315&amp;"-"&amp;COUNTIF($R$19:$R315,$R315),NA()),NA())</f>
        <v>#N/A</v>
      </c>
      <c r="U315" s="5" t="str">
        <f>IFERROR(IF($S315&gt;0,$S315&amp;"-"&amp;COUNTIF($S$19:$S315,$S315),NA()),NA())</f>
        <v>A2-14</v>
      </c>
      <c r="V315" s="10">
        <v>44910</v>
      </c>
      <c r="W315" s="101">
        <v>50094358.163575552</v>
      </c>
      <c r="X315" s="101">
        <v>60779484.759866223</v>
      </c>
      <c r="Y315" s="102">
        <v>30000000</v>
      </c>
      <c r="JE315" s="12"/>
      <c r="JF315" s="12"/>
      <c r="JG315" s="109"/>
      <c r="JH315" s="109"/>
      <c r="JI315" s="109"/>
      <c r="JJ315" s="109"/>
    </row>
    <row r="316" spans="13:270" x14ac:dyDescent="0.25">
      <c r="M316" s="5" t="str" cm="1">
        <f t="array" ref="M316">LOOKUP(2,1/($G$19:$G$35&lt;=$V316)/($H$19:$H$35&gt;=$V316),$F$19:$F$35)</f>
        <v>1H23</v>
      </c>
      <c r="N316" s="5" t="str" cm="1">
        <f t="array" ref="N316">LOOKUP(2,1/($G$8:$G$16&lt;=$V316)/($H$8:$H$16&gt;=$V316),$F$8:$F$16)</f>
        <v>FY23</v>
      </c>
      <c r="O316" s="5" t="str">
        <f>IFERROR(N316&amp;"-"&amp;COUNTIF($N$19:N316,N316),NA())</f>
        <v>FY23-25</v>
      </c>
      <c r="P316" s="5">
        <f>COUNTIF(V$19:V316,"&gt;="&amp;MAX($V:$V)-183)</f>
        <v>0</v>
      </c>
      <c r="Q316" s="5">
        <f>COUNTIF(V$19:V316,"&gt;="&amp;MAX($V:$V)-365)</f>
        <v>12</v>
      </c>
      <c r="R316" s="5" cm="1">
        <f t="array" ref="R316">LOOKUP(2,1/($G$46:$G$50&lt;=$V316)/($H$46:$H$50&gt;=$V316),$F$46:$F$50)</f>
        <v>0</v>
      </c>
      <c r="S316" s="5" t="str" cm="1">
        <f t="array" ref="S316">LOOKUP(2,1/($G$53:$G$56&lt;=$V316)/($H$53:$H$56&gt;=$V316),$F$53:$F$56)</f>
        <v>A2</v>
      </c>
      <c r="T316" s="5" t="e">
        <f>IFERROR(IF($R316&gt;0,$R316&amp;"-"&amp;COUNTIF($R$19:$R316,$R316),NA()),NA())</f>
        <v>#N/A</v>
      </c>
      <c r="U316" s="5" t="str">
        <f>IFERROR(IF($S316&gt;0,$S316&amp;"-"&amp;COUNTIF($S$19:$S316,$S316),NA()),NA())</f>
        <v>A2-15</v>
      </c>
      <c r="V316" s="10">
        <v>44917</v>
      </c>
      <c r="W316" s="101">
        <v>75733957.798723027</v>
      </c>
      <c r="X316" s="101">
        <v>91888010.997190654</v>
      </c>
      <c r="Y316" s="102">
        <v>50000000</v>
      </c>
      <c r="JE316" s="12"/>
      <c r="JF316" s="12"/>
      <c r="JG316" s="109"/>
      <c r="JH316" s="109"/>
      <c r="JI316" s="109"/>
      <c r="JJ316" s="109"/>
    </row>
    <row r="317" spans="13:270" x14ac:dyDescent="0.25">
      <c r="M317" s="5" t="str" cm="1">
        <f t="array" ref="M317">LOOKUP(2,1/($G$19:$G$35&lt;=$V317)/($H$19:$H$35&gt;=$V317),$F$19:$F$35)</f>
        <v>1H23</v>
      </c>
      <c r="N317" s="5" t="str" cm="1">
        <f t="array" ref="N317">LOOKUP(2,1/($G$8:$G$16&lt;=$V317)/($H$8:$H$16&gt;=$V317),$F$8:$F$16)</f>
        <v>FY23</v>
      </c>
      <c r="O317" s="5" t="str">
        <f>IFERROR(N317&amp;"-"&amp;COUNTIF($N$19:N317,N317),NA())</f>
        <v>FY23-26</v>
      </c>
      <c r="P317" s="5">
        <f>COUNTIF(V$19:V317,"&gt;="&amp;MAX($V:$V)-183)</f>
        <v>0</v>
      </c>
      <c r="Q317" s="5">
        <f>COUNTIF(V$19:V317,"&gt;="&amp;MAX($V:$V)-365)</f>
        <v>13</v>
      </c>
      <c r="R317" s="5" cm="1">
        <f t="array" ref="R317">LOOKUP(2,1/($G$46:$G$50&lt;=$V317)/($H$46:$H$50&gt;=$V317),$F$46:$F$50)</f>
        <v>0</v>
      </c>
      <c r="S317" s="5" t="str" cm="1">
        <f t="array" ref="S317">LOOKUP(2,1/($G$53:$G$56&lt;=$V317)/($H$53:$H$56&gt;=$V317),$F$53:$F$56)</f>
        <v>A2</v>
      </c>
      <c r="T317" s="5" t="e">
        <f>IFERROR(IF($R317&gt;0,$R317&amp;"-"&amp;COUNTIF($R$19:$R317,$R317),NA()),NA())</f>
        <v>#N/A</v>
      </c>
      <c r="U317" s="5" t="str">
        <f>IFERROR(IF($S317&gt;0,$S317&amp;"-"&amp;COUNTIF($S$19:$S317,$S317),NA()),NA())</f>
        <v>A2-16</v>
      </c>
      <c r="V317" s="10">
        <v>44924</v>
      </c>
      <c r="W317" s="101">
        <v>137554844.39039224</v>
      </c>
      <c r="X317" s="101">
        <v>166895292.69886291</v>
      </c>
      <c r="Y317" s="102">
        <v>100000000</v>
      </c>
      <c r="JE317" s="12"/>
      <c r="JF317" s="12"/>
      <c r="JG317" s="109"/>
      <c r="JH317" s="109"/>
      <c r="JI317" s="109"/>
      <c r="JJ317" s="109"/>
    </row>
    <row r="318" spans="13:270" x14ac:dyDescent="0.25">
      <c r="M318" s="5" t="str" cm="1">
        <f t="array" ref="M318">LOOKUP(2,1/($G$19:$G$35&lt;=$V318)/($H$19:$H$35&gt;=$V318),$F$19:$F$35)</f>
        <v>2H23</v>
      </c>
      <c r="N318" s="5" t="str" cm="1">
        <f t="array" ref="N318">LOOKUP(2,1/($G$8:$G$16&lt;=$V318)/($H$8:$H$16&gt;=$V318),$F$8:$F$16)</f>
        <v>FY23</v>
      </c>
      <c r="O318" s="5" t="str">
        <f>IFERROR(N318&amp;"-"&amp;COUNTIF($N$19:N318,N318),NA())</f>
        <v>FY23-27</v>
      </c>
      <c r="P318" s="5">
        <f>COUNTIF(V$19:V318,"&gt;="&amp;MAX($V:$V)-183)</f>
        <v>0</v>
      </c>
      <c r="Q318" s="5">
        <f>COUNTIF(V$19:V318,"&gt;="&amp;MAX($V:$V)-365)</f>
        <v>14</v>
      </c>
      <c r="R318" s="5" cm="1">
        <f t="array" ref="R318">LOOKUP(2,1/($G$46:$G$50&lt;=$V318)/($H$46:$H$50&gt;=$V318),$F$46:$F$50)</f>
        <v>0</v>
      </c>
      <c r="S318" s="5" cm="1">
        <f t="array" ref="S318">LOOKUP(2,1/($G$53:$G$56&lt;=$V318)/($H$53:$H$56&gt;=$V318),$F$53:$F$56)</f>
        <v>0</v>
      </c>
      <c r="T318" s="5" t="e">
        <f>IFERROR(IF($R318&gt;0,$R318&amp;"-"&amp;COUNTIF($R$19:$R318,$R318),NA()),NA())</f>
        <v>#N/A</v>
      </c>
      <c r="U318" s="5" t="e">
        <f>IFERROR(IF($S318&gt;0,$S318&amp;"-"&amp;COUNTIF($S$19:$S318,$S318),NA()),NA())</f>
        <v>#N/A</v>
      </c>
      <c r="V318" s="10">
        <v>44931</v>
      </c>
      <c r="W318" s="101">
        <v>20659761.872909699</v>
      </c>
      <c r="X318" s="101">
        <v>25066489.080401339</v>
      </c>
      <c r="Y318" s="102">
        <v>4000000</v>
      </c>
      <c r="JE318" s="12"/>
      <c r="JF318" s="12"/>
      <c r="JG318" s="109"/>
      <c r="JH318" s="109"/>
      <c r="JI318" s="109"/>
      <c r="JJ318" s="109"/>
    </row>
    <row r="319" spans="13:270" x14ac:dyDescent="0.25">
      <c r="M319" s="5" t="str" cm="1">
        <f t="array" ref="M319">LOOKUP(2,1/($G$19:$G$35&lt;=$V319)/($H$19:$H$35&gt;=$V319),$F$19:$F$35)</f>
        <v>2H23</v>
      </c>
      <c r="N319" s="5" t="str" cm="1">
        <f t="array" ref="N319">LOOKUP(2,1/($G$8:$G$16&lt;=$V319)/($H$8:$H$16&gt;=$V319),$F$8:$F$16)</f>
        <v>FY23</v>
      </c>
      <c r="O319" s="5" t="str">
        <f>IFERROR(N319&amp;"-"&amp;COUNTIF($N$19:N319,N319),NA())</f>
        <v>FY23-28</v>
      </c>
      <c r="P319" s="5">
        <f>COUNTIF(V$19:V319,"&gt;="&amp;MAX($V:$V)-183)</f>
        <v>0</v>
      </c>
      <c r="Q319" s="5">
        <f>COUNTIF(V$19:V319,"&gt;="&amp;MAX($V:$V)-365)</f>
        <v>15</v>
      </c>
      <c r="R319" s="5" cm="1">
        <f t="array" ref="R319">LOOKUP(2,1/($G$46:$G$50&lt;=$V319)/($H$46:$H$50&gt;=$V319),$F$46:$F$50)</f>
        <v>0</v>
      </c>
      <c r="S319" s="5" cm="1">
        <f t="array" ref="S319">LOOKUP(2,1/($G$53:$G$56&lt;=$V319)/($H$53:$H$56&gt;=$V319),$F$53:$F$56)</f>
        <v>0</v>
      </c>
      <c r="T319" s="5" t="e">
        <f>IFERROR(IF($R319&gt;0,$R319&amp;"-"&amp;COUNTIF($R$19:$R319,$R319),NA()),NA())</f>
        <v>#N/A</v>
      </c>
      <c r="U319" s="5" t="e">
        <f>IFERROR(IF($S319&gt;0,$S319&amp;"-"&amp;COUNTIF($S$19:$S319,$S319),NA()),NA())</f>
        <v>#N/A</v>
      </c>
      <c r="V319" s="10">
        <v>44938</v>
      </c>
      <c r="W319" s="101">
        <v>22177022.316813622</v>
      </c>
      <c r="X319" s="101">
        <v>26907381.176989969</v>
      </c>
      <c r="Y319" s="102">
        <v>4000000</v>
      </c>
      <c r="JE319" s="12"/>
      <c r="JF319" s="12"/>
      <c r="JG319" s="109"/>
      <c r="JH319" s="109"/>
      <c r="JI319" s="109"/>
      <c r="JJ319" s="109"/>
    </row>
    <row r="320" spans="13:270" x14ac:dyDescent="0.25">
      <c r="M320" s="5" t="str" cm="1">
        <f t="array" ref="M320">LOOKUP(2,1/($G$19:$G$35&lt;=$V320)/($H$19:$H$35&gt;=$V320),$F$19:$F$35)</f>
        <v>2H23</v>
      </c>
      <c r="N320" s="5" t="str" cm="1">
        <f t="array" ref="N320">LOOKUP(2,1/($G$8:$G$16&lt;=$V320)/($H$8:$H$16&gt;=$V320),$F$8:$F$16)</f>
        <v>FY23</v>
      </c>
      <c r="O320" s="5" t="str">
        <f>IFERROR(N320&amp;"-"&amp;COUNTIF($N$19:N320,N320),NA())</f>
        <v>FY23-29</v>
      </c>
      <c r="P320" s="5">
        <f>COUNTIF(V$19:V320,"&gt;="&amp;MAX($V:$V)-183)</f>
        <v>0</v>
      </c>
      <c r="Q320" s="5">
        <f>COUNTIF(V$19:V320,"&gt;="&amp;MAX($V:$V)-365)</f>
        <v>16</v>
      </c>
      <c r="R320" s="5" cm="1">
        <f t="array" ref="R320">LOOKUP(2,1/($G$46:$G$50&lt;=$V320)/($H$46:$H$50&gt;=$V320),$F$46:$F$50)</f>
        <v>0</v>
      </c>
      <c r="S320" s="5" cm="1">
        <f t="array" ref="S320">LOOKUP(2,1/($G$53:$G$56&lt;=$V320)/($H$53:$H$56&gt;=$V320),$F$53:$F$56)</f>
        <v>0</v>
      </c>
      <c r="T320" s="5" t="e">
        <f>IFERROR(IF($R320&gt;0,$R320&amp;"-"&amp;COUNTIF($R$19:$R320,$R320),NA()),NA())</f>
        <v>#N/A</v>
      </c>
      <c r="U320" s="5" t="e">
        <f>IFERROR(IF($S320&gt;0,$S320&amp;"-"&amp;COUNTIF($S$19:$S320,$S320),NA()),NA())</f>
        <v>#N/A</v>
      </c>
      <c r="V320" s="10">
        <v>44945</v>
      </c>
      <c r="W320" s="101">
        <v>28696273.517786555</v>
      </c>
      <c r="X320" s="101">
        <v>34817188.659130432</v>
      </c>
      <c r="Y320" s="102">
        <v>8000000</v>
      </c>
      <c r="JE320" s="12"/>
      <c r="JF320" s="12"/>
      <c r="JG320" s="109"/>
      <c r="JH320" s="109"/>
      <c r="JI320" s="109"/>
      <c r="JJ320" s="109"/>
    </row>
    <row r="321" spans="13:270" x14ac:dyDescent="0.25">
      <c r="M321" s="5" t="str" cm="1">
        <f t="array" ref="M321">LOOKUP(2,1/($G$19:$G$35&lt;=$V321)/($H$19:$H$35&gt;=$V321),$F$19:$F$35)</f>
        <v>2H23</v>
      </c>
      <c r="N321" s="5" t="str" cm="1">
        <f t="array" ref="N321">LOOKUP(2,1/($G$8:$G$16&lt;=$V321)/($H$8:$H$16&gt;=$V321),$F$8:$F$16)</f>
        <v>FY23</v>
      </c>
      <c r="O321" s="5" t="str">
        <f>IFERROR(N321&amp;"-"&amp;COUNTIF($N$19:N321,N321),NA())</f>
        <v>FY23-30</v>
      </c>
      <c r="P321" s="5">
        <f>COUNTIF(V$19:V321,"&gt;="&amp;MAX($V:$V)-183)</f>
        <v>0</v>
      </c>
      <c r="Q321" s="5">
        <f>COUNTIF(V$19:V321,"&gt;="&amp;MAX($V:$V)-365)</f>
        <v>17</v>
      </c>
      <c r="R321" s="5" cm="1">
        <f t="array" ref="R321">LOOKUP(2,1/($G$46:$G$50&lt;=$V321)/($H$46:$H$50&gt;=$V321),$F$46:$F$50)</f>
        <v>0</v>
      </c>
      <c r="S321" s="5" cm="1">
        <f t="array" ref="S321">LOOKUP(2,1/($G$53:$G$56&lt;=$V321)/($H$53:$H$56&gt;=$V321),$F$53:$F$56)</f>
        <v>0</v>
      </c>
      <c r="T321" s="5" t="e">
        <f>IFERROR(IF($R321&gt;0,$R321&amp;"-"&amp;COUNTIF($R$19:$R321,$R321),NA()),NA())</f>
        <v>#N/A</v>
      </c>
      <c r="U321" s="5" t="e">
        <f>IFERROR(IF($S321&gt;0,$S321&amp;"-"&amp;COUNTIF($S$19:$S321,$S321),NA()),NA())</f>
        <v>#N/A</v>
      </c>
      <c r="V321" s="10">
        <v>44952</v>
      </c>
      <c r="W321" s="101">
        <v>41976722.529644273</v>
      </c>
      <c r="X321" s="101">
        <v>50930357.445217401</v>
      </c>
      <c r="Y321" s="102">
        <v>20000000</v>
      </c>
      <c r="JE321" s="12"/>
      <c r="JF321" s="12"/>
      <c r="JG321" s="109"/>
      <c r="JH321" s="109"/>
      <c r="JI321" s="109"/>
      <c r="JJ321" s="109"/>
    </row>
    <row r="322" spans="13:270" x14ac:dyDescent="0.25">
      <c r="M322" s="5" t="str" cm="1">
        <f t="array" ref="M322">LOOKUP(2,1/($G$19:$G$35&lt;=$V322)/($H$19:$H$35&gt;=$V322),$F$19:$F$35)</f>
        <v>2H23</v>
      </c>
      <c r="N322" s="5" t="str" cm="1">
        <f t="array" ref="N322">LOOKUP(2,1/($G$8:$G$16&lt;=$V322)/($H$8:$H$16&gt;=$V322),$F$8:$F$16)</f>
        <v>FY23</v>
      </c>
      <c r="O322" s="5" t="str">
        <f>IFERROR(N322&amp;"-"&amp;COUNTIF($N$19:N322,N322),NA())</f>
        <v>FY23-31</v>
      </c>
      <c r="P322" s="5">
        <f>COUNTIF(V$19:V322,"&gt;="&amp;MAX($V:$V)-183)</f>
        <v>0</v>
      </c>
      <c r="Q322" s="5">
        <f>COUNTIF(V$19:V322,"&gt;="&amp;MAX($V:$V)-365)</f>
        <v>18</v>
      </c>
      <c r="R322" s="5" cm="1">
        <f t="array" ref="R322">LOOKUP(2,1/($G$46:$G$50&lt;=$V322)/($H$46:$H$50&gt;=$V322),$F$46:$F$50)</f>
        <v>0</v>
      </c>
      <c r="S322" s="5" cm="1">
        <f t="array" ref="S322">LOOKUP(2,1/($G$53:$G$56&lt;=$V322)/($H$53:$H$56&gt;=$V322),$F$53:$F$56)</f>
        <v>0</v>
      </c>
      <c r="T322" s="5" t="e">
        <f>IFERROR(IF($R322&gt;0,$R322&amp;"-"&amp;COUNTIF($R$19:$R322,$R322),NA()),NA())</f>
        <v>#N/A</v>
      </c>
      <c r="U322" s="5" t="e">
        <f>IFERROR(IF($S322&gt;0,$S322&amp;"-"&amp;COUNTIF($S$19:$S322,$S322),NA()),NA())</f>
        <v>#N/A</v>
      </c>
      <c r="V322" s="10">
        <v>44959</v>
      </c>
      <c r="W322" s="101">
        <v>59808873.700212829</v>
      </c>
      <c r="X322" s="101">
        <v>72566106.460468233</v>
      </c>
      <c r="Y322" s="102">
        <v>40000000</v>
      </c>
      <c r="JE322" s="12"/>
      <c r="JF322" s="12"/>
      <c r="JG322" s="109"/>
      <c r="JH322" s="109"/>
      <c r="JI322" s="109"/>
      <c r="JJ322" s="109"/>
    </row>
    <row r="323" spans="13:270" x14ac:dyDescent="0.25">
      <c r="M323" s="5" t="str" cm="1">
        <f t="array" ref="M323">LOOKUP(2,1/($G$19:$G$35&lt;=$V323)/($H$19:$H$35&gt;=$V323),$F$19:$F$35)</f>
        <v>2H23</v>
      </c>
      <c r="N323" s="5" t="str" cm="1">
        <f t="array" ref="N323">LOOKUP(2,1/($G$8:$G$16&lt;=$V323)/($H$8:$H$16&gt;=$V323),$F$8:$F$16)</f>
        <v>FY23</v>
      </c>
      <c r="O323" s="5" t="str">
        <f>IFERROR(N323&amp;"-"&amp;COUNTIF($N$19:N323,N323),NA())</f>
        <v>FY23-32</v>
      </c>
      <c r="P323" s="5">
        <f>COUNTIF(V$19:V323,"&gt;="&amp;MAX($V:$V)-183)</f>
        <v>0</v>
      </c>
      <c r="Q323" s="5">
        <f>COUNTIF(V$19:V323,"&gt;="&amp;MAX($V:$V)-365)</f>
        <v>19</v>
      </c>
      <c r="R323" s="5" cm="1">
        <f t="array" ref="R323">LOOKUP(2,1/($G$46:$G$50&lt;=$V323)/($H$46:$H$50&gt;=$V323),$F$46:$F$50)</f>
        <v>0</v>
      </c>
      <c r="S323" s="5" cm="1">
        <f t="array" ref="S323">LOOKUP(2,1/($G$53:$G$56&lt;=$V323)/($H$53:$H$56&gt;=$V323),$F$53:$F$56)</f>
        <v>0</v>
      </c>
      <c r="T323" s="5" t="e">
        <f>IFERROR(IF($R323&gt;0,$R323&amp;"-"&amp;COUNTIF($R$19:$R323,$R323),NA()),NA())</f>
        <v>#N/A</v>
      </c>
      <c r="U323" s="5" t="e">
        <f>IFERROR(IF($S323&gt;0,$S323&amp;"-"&amp;COUNTIF($S$19:$S323,$S323),NA()),NA())</f>
        <v>#N/A</v>
      </c>
      <c r="V323" s="10">
        <v>44966</v>
      </c>
      <c r="W323" s="101">
        <v>20069480.4499848</v>
      </c>
      <c r="X323" s="101">
        <v>24350300.629966557</v>
      </c>
      <c r="Y323" s="102">
        <v>4000000</v>
      </c>
      <c r="JE323" s="12"/>
      <c r="JF323" s="12"/>
      <c r="JG323" s="109"/>
      <c r="JH323" s="109"/>
      <c r="JI323" s="109"/>
      <c r="JJ323" s="109"/>
    </row>
    <row r="324" spans="13:270" x14ac:dyDescent="0.25">
      <c r="M324" s="5" t="str" cm="1">
        <f t="array" ref="M324">LOOKUP(2,1/($G$19:$G$35&lt;=$V324)/($H$19:$H$35&gt;=$V324),$F$19:$F$35)</f>
        <v>2H23</v>
      </c>
      <c r="N324" s="5" t="str" cm="1">
        <f t="array" ref="N324">LOOKUP(2,1/($G$8:$G$16&lt;=$V324)/($H$8:$H$16&gt;=$V324),$F$8:$F$16)</f>
        <v>FY23</v>
      </c>
      <c r="O324" s="5" t="str">
        <f>IFERROR(N324&amp;"-"&amp;COUNTIF($N$19:N324,N324),NA())</f>
        <v>FY23-33</v>
      </c>
      <c r="P324" s="5">
        <f>COUNTIF(V$19:V324,"&gt;="&amp;MAX($V:$V)-183)</f>
        <v>0</v>
      </c>
      <c r="Q324" s="5">
        <f>COUNTIF(V$19:V324,"&gt;="&amp;MAX($V:$V)-365)</f>
        <v>20</v>
      </c>
      <c r="R324" s="5" cm="1">
        <f t="array" ref="R324">LOOKUP(2,1/($G$46:$G$50&lt;=$V324)/($H$46:$H$50&gt;=$V324),$F$46:$F$50)</f>
        <v>0</v>
      </c>
      <c r="S324" s="5" cm="1">
        <f t="array" ref="S324">LOOKUP(2,1/($G$53:$G$56&lt;=$V324)/($H$53:$H$56&gt;=$V324),$F$53:$F$56)</f>
        <v>0</v>
      </c>
      <c r="T324" s="5" t="e">
        <f>IFERROR(IF($R324&gt;0,$R324&amp;"-"&amp;COUNTIF($R$19:$R324,$R324),NA()),NA())</f>
        <v>#N/A</v>
      </c>
      <c r="U324" s="5" t="e">
        <f>IFERROR(IF($S324&gt;0,$S324&amp;"-"&amp;COUNTIF($S$19:$S324,$S324),NA()),NA())</f>
        <v>#N/A</v>
      </c>
      <c r="V324" s="10">
        <v>44973</v>
      </c>
      <c r="W324" s="101">
        <v>27295176.771055035</v>
      </c>
      <c r="X324" s="101">
        <v>33117237.976321075</v>
      </c>
      <c r="Y324" s="102">
        <v>8000000</v>
      </c>
      <c r="JE324" s="12"/>
      <c r="JF324" s="12"/>
      <c r="JG324" s="109"/>
      <c r="JH324" s="109"/>
      <c r="JI324" s="109"/>
      <c r="JJ324" s="109"/>
    </row>
    <row r="325" spans="13:270" x14ac:dyDescent="0.25">
      <c r="M325" s="5" t="str" cm="1">
        <f t="array" ref="M325">LOOKUP(2,1/($G$19:$G$35&lt;=$V325)/($H$19:$H$35&gt;=$V325),$F$19:$F$35)</f>
        <v>2H23</v>
      </c>
      <c r="N325" s="5" t="str" cm="1">
        <f t="array" ref="N325">LOOKUP(2,1/($G$8:$G$16&lt;=$V325)/($H$8:$H$16&gt;=$V325),$F$8:$F$16)</f>
        <v>FY23</v>
      </c>
      <c r="O325" s="5" t="str">
        <f>IFERROR(N325&amp;"-"&amp;COUNTIF($N$19:N325,N325),NA())</f>
        <v>FY23-34</v>
      </c>
      <c r="P325" s="5">
        <f>COUNTIF(V$19:V325,"&gt;="&amp;MAX($V:$V)-183)</f>
        <v>0</v>
      </c>
      <c r="Q325" s="5">
        <f>COUNTIF(V$19:V325,"&gt;="&amp;MAX($V:$V)-365)</f>
        <v>21</v>
      </c>
      <c r="R325" s="5" cm="1">
        <f t="array" ref="R325">LOOKUP(2,1/($G$46:$G$50&lt;=$V325)/($H$46:$H$50&gt;=$V325),$F$46:$F$50)</f>
        <v>0</v>
      </c>
      <c r="S325" s="5" cm="1">
        <f t="array" ref="S325">LOOKUP(2,1/($G$53:$G$56&lt;=$V325)/($H$53:$H$56&gt;=$V325),$F$53:$F$56)</f>
        <v>0</v>
      </c>
      <c r="T325" s="5" t="e">
        <f>IFERROR(IF($R325&gt;0,$R325&amp;"-"&amp;COUNTIF($R$19:$R325,$R325),NA()),NA())</f>
        <v>#N/A</v>
      </c>
      <c r="U325" s="5" t="e">
        <f>IFERROR(IF($S325&gt;0,$S325&amp;"-"&amp;COUNTIF($S$19:$S325,$S325),NA()),NA())</f>
        <v>#N/A</v>
      </c>
      <c r="V325" s="10">
        <v>44980</v>
      </c>
      <c r="W325" s="101">
        <v>43788940.346609913</v>
      </c>
      <c r="X325" s="101">
        <v>53129121.322541811</v>
      </c>
      <c r="Y325" s="102">
        <v>20000000</v>
      </c>
      <c r="JE325" s="12"/>
      <c r="JF325" s="12"/>
      <c r="JG325" s="109"/>
      <c r="JH325" s="109"/>
      <c r="JI325" s="109"/>
      <c r="JJ325" s="109"/>
    </row>
    <row r="326" spans="13:270" x14ac:dyDescent="0.25">
      <c r="M326" s="5" t="str" cm="1">
        <f t="array" ref="M326">LOOKUP(2,1/($G$19:$G$35&lt;=$V326)/($H$19:$H$35&gt;=$V326),$F$19:$F$35)</f>
        <v>2H23</v>
      </c>
      <c r="N326" s="5" t="str" cm="1">
        <f t="array" ref="N326">LOOKUP(2,1/($G$8:$G$16&lt;=$V326)/($H$8:$H$16&gt;=$V326),$F$8:$F$16)</f>
        <v>FY23</v>
      </c>
      <c r="O326" s="5" t="str">
        <f>IFERROR(N326&amp;"-"&amp;COUNTIF($N$19:N326,N326),NA())</f>
        <v>FY23-35</v>
      </c>
      <c r="P326" s="5">
        <f>COUNTIF(V$19:V326,"&gt;="&amp;MAX($V:$V)-183)</f>
        <v>0</v>
      </c>
      <c r="Q326" s="5">
        <f>COUNTIF(V$19:V326,"&gt;="&amp;MAX($V:$V)-365)</f>
        <v>22</v>
      </c>
      <c r="R326" s="5" cm="1">
        <f t="array" ref="R326">LOOKUP(2,1/($G$46:$G$50&lt;=$V326)/($H$46:$H$50&gt;=$V326),$F$46:$F$50)</f>
        <v>0</v>
      </c>
      <c r="S326" s="5" cm="1">
        <f t="array" ref="S326">LOOKUP(2,1/($G$53:$G$56&lt;=$V326)/($H$53:$H$56&gt;=$V326),$F$53:$F$56)</f>
        <v>0</v>
      </c>
      <c r="T326" s="5" t="e">
        <f>IFERROR(IF($R326&gt;0,$R326&amp;"-"&amp;COUNTIF($R$19:$R326,$R326),NA()),NA())</f>
        <v>#N/A</v>
      </c>
      <c r="U326" s="5" t="e">
        <f>IFERROR(IF($S326&gt;0,$S326&amp;"-"&amp;COUNTIF($S$19:$S326,$S326),NA()),NA())</f>
        <v>#N/A</v>
      </c>
      <c r="V326" s="10">
        <v>44987</v>
      </c>
      <c r="W326" s="101">
        <v>60656023.107327446</v>
      </c>
      <c r="X326" s="101">
        <v>73593952.836120397</v>
      </c>
      <c r="Y326" s="102">
        <v>40000000</v>
      </c>
      <c r="JE326" s="12"/>
      <c r="JF326" s="12"/>
      <c r="JG326" s="109"/>
      <c r="JH326" s="109"/>
      <c r="JI326" s="109"/>
      <c r="JJ326" s="109"/>
    </row>
    <row r="327" spans="13:270" x14ac:dyDescent="0.25">
      <c r="M327" s="5" t="str" cm="1">
        <f t="array" ref="M327">LOOKUP(2,1/($G$19:$G$35&lt;=$V327)/($H$19:$H$35&gt;=$V327),$F$19:$F$35)</f>
        <v>2H23</v>
      </c>
      <c r="N327" s="5" t="str" cm="1">
        <f t="array" ref="N327">LOOKUP(2,1/($G$8:$G$16&lt;=$V327)/($H$8:$H$16&gt;=$V327),$F$8:$F$16)</f>
        <v>FY23</v>
      </c>
      <c r="O327" s="5" t="str">
        <f>IFERROR(N327&amp;"-"&amp;COUNTIF($N$19:N327,N327),NA())</f>
        <v>FY23-36</v>
      </c>
      <c r="P327" s="5">
        <f>COUNTIF(V$19:V327,"&gt;="&amp;MAX($V:$V)-183)</f>
        <v>0</v>
      </c>
      <c r="Q327" s="5">
        <f>COUNTIF(V$19:V327,"&gt;="&amp;MAX($V:$V)-365)</f>
        <v>23</v>
      </c>
      <c r="R327" s="5" cm="1">
        <f t="array" ref="R327">LOOKUP(2,1/($G$46:$G$50&lt;=$V327)/($H$46:$H$50&gt;=$V327),$F$46:$F$50)</f>
        <v>0</v>
      </c>
      <c r="S327" s="5" cm="1">
        <f t="array" ref="S327">LOOKUP(2,1/($G$53:$G$56&lt;=$V327)/($H$53:$H$56&gt;=$V327),$F$53:$F$56)</f>
        <v>0</v>
      </c>
      <c r="T327" s="5" t="e">
        <f>IFERROR(IF($R327&gt;0,$R327&amp;"-"&amp;COUNTIF($R$19:$R327,$R327),NA()),NA())</f>
        <v>#N/A</v>
      </c>
      <c r="U327" s="5" t="e">
        <f>IFERROR(IF($S327&gt;0,$S327&amp;"-"&amp;COUNTIF($S$19:$S327,$S327),NA()),NA())</f>
        <v>#N/A</v>
      </c>
      <c r="V327" s="10">
        <v>44994</v>
      </c>
      <c r="W327" s="101">
        <v>20922155.062328976</v>
      </c>
      <c r="X327" s="101">
        <v>25384850.737123746</v>
      </c>
      <c r="Y327" s="102">
        <v>4000000</v>
      </c>
      <c r="JE327" s="12"/>
      <c r="JF327" s="12"/>
      <c r="JG327" s="109"/>
      <c r="JH327" s="109"/>
      <c r="JI327" s="109"/>
      <c r="JJ327" s="109"/>
    </row>
    <row r="328" spans="13:270" x14ac:dyDescent="0.25">
      <c r="M328" s="5" t="str" cm="1">
        <f t="array" ref="M328">LOOKUP(2,1/($G$19:$G$35&lt;=$V328)/($H$19:$H$35&gt;=$V328),$F$19:$F$35)</f>
        <v>2H23</v>
      </c>
      <c r="N328" s="5" t="str" cm="1">
        <f t="array" ref="N328">LOOKUP(2,1/($G$8:$G$16&lt;=$V328)/($H$8:$H$16&gt;=$V328),$F$8:$F$16)</f>
        <v>FY23</v>
      </c>
      <c r="O328" s="5" t="str">
        <f>IFERROR(N328&amp;"-"&amp;COUNTIF($N$19:N328,N328),NA())</f>
        <v>FY23-37</v>
      </c>
      <c r="P328" s="5">
        <f>COUNTIF(V$19:V328,"&gt;="&amp;MAX($V:$V)-183)</f>
        <v>0</v>
      </c>
      <c r="Q328" s="5">
        <f>COUNTIF(V$19:V328,"&gt;="&amp;MAX($V:$V)-365)</f>
        <v>24</v>
      </c>
      <c r="R328" s="5" cm="1">
        <f t="array" ref="R328">LOOKUP(2,1/($G$46:$G$50&lt;=$V328)/($H$46:$H$50&gt;=$V328),$F$46:$F$50)</f>
        <v>0</v>
      </c>
      <c r="S328" s="5" cm="1">
        <f t="array" ref="S328">LOOKUP(2,1/($G$53:$G$56&lt;=$V328)/($H$53:$H$56&gt;=$V328),$F$53:$F$56)</f>
        <v>0</v>
      </c>
      <c r="T328" s="5" t="e">
        <f>IFERROR(IF($R328&gt;0,$R328&amp;"-"&amp;COUNTIF($R$19:$R328,$R328),NA()),NA())</f>
        <v>#N/A</v>
      </c>
      <c r="U328" s="5" t="e">
        <f>IFERROR(IF($S328&gt;0,$S328&amp;"-"&amp;COUNTIF($S$19:$S328,$S328),NA()),NA())</f>
        <v>#N/A</v>
      </c>
      <c r="V328" s="10">
        <v>45001</v>
      </c>
      <c r="W328" s="101">
        <v>22050697.598054122</v>
      </c>
      <c r="X328" s="101">
        <v>26754111.395719066</v>
      </c>
      <c r="Y328" s="102">
        <v>4000000</v>
      </c>
      <c r="JE328" s="12"/>
      <c r="JF328" s="12"/>
      <c r="JG328" s="109"/>
      <c r="JH328" s="109"/>
      <c r="JI328" s="109"/>
      <c r="JJ328" s="109"/>
    </row>
    <row r="329" spans="13:270" x14ac:dyDescent="0.25">
      <c r="M329" s="5" t="str" cm="1">
        <f t="array" ref="M329">LOOKUP(2,1/($G$19:$G$35&lt;=$V329)/($H$19:$H$35&gt;=$V329),$F$19:$F$35)</f>
        <v>2H23</v>
      </c>
      <c r="N329" s="5" t="str" cm="1">
        <f t="array" ref="N329">LOOKUP(2,1/($G$8:$G$16&lt;=$V329)/($H$8:$H$16&gt;=$V329),$F$8:$F$16)</f>
        <v>FY23</v>
      </c>
      <c r="O329" s="5" t="str">
        <f>IFERROR(N329&amp;"-"&amp;COUNTIF($N$19:N329,N329),NA())</f>
        <v>FY23-38</v>
      </c>
      <c r="P329" s="5">
        <f>COUNTIF(V$19:V329,"&gt;="&amp;MAX($V:$V)-183)</f>
        <v>0</v>
      </c>
      <c r="Q329" s="5">
        <f>COUNTIF(V$19:V329,"&gt;="&amp;MAX($V:$V)-365)</f>
        <v>25</v>
      </c>
      <c r="R329" s="5" cm="1">
        <f t="array" ref="R329">LOOKUP(2,1/($G$46:$G$50&lt;=$V329)/($H$46:$H$50&gt;=$V329),$F$46:$F$50)</f>
        <v>0</v>
      </c>
      <c r="S329" s="5" cm="1">
        <f t="array" ref="S329">LOOKUP(2,1/($G$53:$G$56&lt;=$V329)/($H$53:$H$56&gt;=$V329),$F$53:$F$56)</f>
        <v>0</v>
      </c>
      <c r="T329" s="5" t="e">
        <f>IFERROR(IF($R329&gt;0,$R329&amp;"-"&amp;COUNTIF($R$19:$R329,$R329),NA()),NA())</f>
        <v>#N/A</v>
      </c>
      <c r="U329" s="5" t="e">
        <f>IFERROR(IF($S329&gt;0,$S329&amp;"-"&amp;COUNTIF($S$19:$S329,$S329),NA()),NA())</f>
        <v>#N/A</v>
      </c>
      <c r="V329" s="10">
        <v>45008</v>
      </c>
      <c r="W329" s="101">
        <v>25902576.588628761</v>
      </c>
      <c r="X329" s="101">
        <v>31427596.174983278</v>
      </c>
      <c r="Y329" s="102">
        <v>8000000</v>
      </c>
      <c r="JE329" s="12"/>
      <c r="JF329" s="12"/>
      <c r="JG329" s="109"/>
      <c r="JH329" s="109"/>
      <c r="JI329" s="109"/>
      <c r="JJ329" s="109"/>
    </row>
    <row r="330" spans="13:270" x14ac:dyDescent="0.25">
      <c r="M330" s="5" t="str" cm="1">
        <f t="array" ref="M330">LOOKUP(2,1/($G$19:$G$35&lt;=$V330)/($H$19:$H$35&gt;=$V330),$F$19:$F$35)</f>
        <v>2H23</v>
      </c>
      <c r="N330" s="5" t="str" cm="1">
        <f t="array" ref="N330">LOOKUP(2,1/($G$8:$G$16&lt;=$V330)/($H$8:$H$16&gt;=$V330),$F$8:$F$16)</f>
        <v>FY23</v>
      </c>
      <c r="O330" s="5" t="str">
        <f>IFERROR(N330&amp;"-"&amp;COUNTIF($N$19:N330,N330),NA())</f>
        <v>FY23-39</v>
      </c>
      <c r="P330" s="5">
        <f>COUNTIF(V$19:V330,"&gt;="&amp;MAX($V:$V)-183)</f>
        <v>0</v>
      </c>
      <c r="Q330" s="5">
        <f>COUNTIF(V$19:V330,"&gt;="&amp;MAX($V:$V)-365)</f>
        <v>26</v>
      </c>
      <c r="R330" s="5" cm="1">
        <f t="array" ref="R330">LOOKUP(2,1/($G$46:$G$50&lt;=$V330)/($H$46:$H$50&gt;=$V330),$F$46:$F$50)</f>
        <v>0</v>
      </c>
      <c r="S330" s="5" cm="1">
        <f t="array" ref="S330">LOOKUP(2,1/($G$53:$G$56&lt;=$V330)/($H$53:$H$56&gt;=$V330),$F$53:$F$56)</f>
        <v>0</v>
      </c>
      <c r="T330" s="5" t="e">
        <f>IFERROR(IF($R330&gt;0,$R330&amp;"-"&amp;COUNTIF($R$19:$R330,$R330),NA()),NA())</f>
        <v>#N/A</v>
      </c>
      <c r="U330" s="5" t="e">
        <f>IFERROR(IF($S330&gt;0,$S330&amp;"-"&amp;COUNTIF($S$19:$S330,$S330),NA()),NA())</f>
        <v>#N/A</v>
      </c>
      <c r="V330" s="10">
        <v>45015</v>
      </c>
      <c r="W330" s="101">
        <v>25590152.994831257</v>
      </c>
      <c r="X330" s="101">
        <v>31048532.628628764</v>
      </c>
      <c r="Y330" s="102">
        <v>8000000</v>
      </c>
      <c r="JE330" s="12"/>
      <c r="JF330" s="12"/>
      <c r="JG330" s="109"/>
      <c r="JH330" s="109"/>
      <c r="JI330" s="109"/>
      <c r="JJ330" s="109"/>
    </row>
    <row r="331" spans="13:270" x14ac:dyDescent="0.25">
      <c r="M331" s="5" t="str" cm="1">
        <f t="array" ref="M331">LOOKUP(2,1/($G$19:$G$35&lt;=$V331)/($H$19:$H$35&gt;=$V331),$F$19:$F$35)</f>
        <v>2H23</v>
      </c>
      <c r="N331" s="5" t="str" cm="1">
        <f t="array" ref="N331">LOOKUP(2,1/($G$8:$G$16&lt;=$V331)/($H$8:$H$16&gt;=$V331),$F$8:$F$16)</f>
        <v>FY23</v>
      </c>
      <c r="O331" s="5" t="str">
        <f>IFERROR(N331&amp;"-"&amp;COUNTIF($N$19:N331,N331),NA())</f>
        <v>FY23-40</v>
      </c>
      <c r="P331" s="5">
        <f>COUNTIF(V$19:V331,"&gt;="&amp;MAX($V:$V)-183)</f>
        <v>1</v>
      </c>
      <c r="Q331" s="5">
        <f>COUNTIF(V$19:V331,"&gt;="&amp;MAX($V:$V)-365)</f>
        <v>27</v>
      </c>
      <c r="R331" s="5" cm="1">
        <f t="array" ref="R331">LOOKUP(2,1/($G$46:$G$50&lt;=$V331)/($H$46:$H$50&gt;=$V331),$F$46:$F$50)</f>
        <v>0</v>
      </c>
      <c r="S331" s="5" cm="1">
        <f t="array" ref="S331">LOOKUP(2,1/($G$53:$G$56&lt;=$V331)/($H$53:$H$56&gt;=$V331),$F$53:$F$56)</f>
        <v>0</v>
      </c>
      <c r="T331" s="5" t="e">
        <f>IFERROR(IF($R331&gt;0,$R331&amp;"-"&amp;COUNTIF($R$19:$R331,$R331),NA()),NA())</f>
        <v>#N/A</v>
      </c>
      <c r="U331" s="5" t="e">
        <f>IFERROR(IF($S331&gt;0,$S331&amp;"-"&amp;COUNTIF($S$19:$S331,$S331),NA()),NA())</f>
        <v>#N/A</v>
      </c>
      <c r="V331" s="10">
        <v>45022</v>
      </c>
      <c r="W331" s="101">
        <v>41047026.208574027</v>
      </c>
      <c r="X331" s="101">
        <v>49802356.898862869</v>
      </c>
      <c r="Y331" s="102">
        <v>20000000</v>
      </c>
      <c r="JE331" s="12"/>
      <c r="JF331" s="12"/>
      <c r="JG331" s="109"/>
      <c r="JH331" s="109"/>
      <c r="JI331" s="109"/>
      <c r="JJ331" s="109"/>
    </row>
    <row r="332" spans="13:270" x14ac:dyDescent="0.25">
      <c r="M332" s="5" t="str" cm="1">
        <f t="array" ref="M332">LOOKUP(2,1/($G$19:$G$35&lt;=$V332)/($H$19:$H$35&gt;=$V332),$F$19:$F$35)</f>
        <v>2H23</v>
      </c>
      <c r="N332" s="5" t="str" cm="1">
        <f t="array" ref="N332">LOOKUP(2,1/($G$8:$G$16&lt;=$V332)/($H$8:$H$16&gt;=$V332),$F$8:$F$16)</f>
        <v>FY23</v>
      </c>
      <c r="O332" s="5" t="str">
        <f>IFERROR(N332&amp;"-"&amp;COUNTIF($N$19:N332,N332),NA())</f>
        <v>FY23-41</v>
      </c>
      <c r="P332" s="5">
        <f>COUNTIF(V$19:V332,"&gt;="&amp;MAX($V:$V)-183)</f>
        <v>2</v>
      </c>
      <c r="Q332" s="5">
        <f>COUNTIF(V$19:V332,"&gt;="&amp;MAX($V:$V)-365)</f>
        <v>28</v>
      </c>
      <c r="R332" s="5" cm="1">
        <f t="array" ref="R332">LOOKUP(2,1/($G$46:$G$50&lt;=$V332)/($H$46:$H$50&gt;=$V332),$F$46:$F$50)</f>
        <v>0</v>
      </c>
      <c r="S332" s="5" cm="1">
        <f t="array" ref="S332">LOOKUP(2,1/($G$53:$G$56&lt;=$V332)/($H$53:$H$56&gt;=$V332),$F$53:$F$56)</f>
        <v>0</v>
      </c>
      <c r="T332" s="5" t="e">
        <f>IFERROR(IF($R332&gt;0,$R332&amp;"-"&amp;COUNTIF($R$19:$R332,$R332),NA()),NA())</f>
        <v>#N/A</v>
      </c>
      <c r="U332" s="5" t="e">
        <f>IFERROR(IF($S332&gt;0,$S332&amp;"-"&amp;COUNTIF($S$19:$S332,$S332),NA()),NA())</f>
        <v>#N/A</v>
      </c>
      <c r="V332" s="10">
        <v>45029</v>
      </c>
      <c r="W332" s="101">
        <v>49471698.145332925</v>
      </c>
      <c r="X332" s="101">
        <v>60024011.359732442</v>
      </c>
      <c r="Y332" s="102">
        <v>30000000</v>
      </c>
      <c r="JE332" s="12"/>
      <c r="JF332" s="12"/>
      <c r="JG332" s="109"/>
      <c r="JH332" s="109"/>
      <c r="JI332" s="109"/>
      <c r="JJ332" s="109"/>
    </row>
    <row r="333" spans="13:270" x14ac:dyDescent="0.25">
      <c r="M333" s="5" t="str" cm="1">
        <f t="array" ref="M333">LOOKUP(2,1/($G$19:$G$35&lt;=$V333)/($H$19:$H$35&gt;=$V333),$F$19:$F$35)</f>
        <v>2H23</v>
      </c>
      <c r="N333" s="5" t="str" cm="1">
        <f t="array" ref="N333">LOOKUP(2,1/($G$8:$G$16&lt;=$V333)/($H$8:$H$16&gt;=$V333),$F$8:$F$16)</f>
        <v>FY23</v>
      </c>
      <c r="O333" s="5" t="str">
        <f>IFERROR(N333&amp;"-"&amp;COUNTIF($N$19:N333,N333),NA())</f>
        <v>FY23-42</v>
      </c>
      <c r="P333" s="5">
        <f>COUNTIF(V$19:V333,"&gt;="&amp;MAX($V:$V)-183)</f>
        <v>3</v>
      </c>
      <c r="Q333" s="5">
        <f>COUNTIF(V$19:V333,"&gt;="&amp;MAX($V:$V)-365)</f>
        <v>29</v>
      </c>
      <c r="R333" s="5" cm="1">
        <f t="array" ref="R333">LOOKUP(2,1/($G$46:$G$50&lt;=$V333)/($H$46:$H$50&gt;=$V333),$F$46:$F$50)</f>
        <v>0</v>
      </c>
      <c r="S333" s="5" cm="1">
        <f t="array" ref="S333">LOOKUP(2,1/($G$53:$G$56&lt;=$V333)/($H$53:$H$56&gt;=$V333),$F$53:$F$56)</f>
        <v>0</v>
      </c>
      <c r="T333" s="5" t="e">
        <f>IFERROR(IF($R333&gt;0,$R333&amp;"-"&amp;COUNTIF($R$19:$R333,$R333),NA()),NA())</f>
        <v>#N/A</v>
      </c>
      <c r="U333" s="5" t="e">
        <f>IFERROR(IF($S333&gt;0,$S333&amp;"-"&amp;COUNTIF($S$19:$S333,$S333),NA()),NA())</f>
        <v>#N/A</v>
      </c>
      <c r="V333" s="10">
        <v>45036</v>
      </c>
      <c r="W333" s="101">
        <v>21741040.681058068</v>
      </c>
      <c r="X333" s="101">
        <v>26378404.658327755</v>
      </c>
      <c r="Y333" s="102">
        <v>4000000</v>
      </c>
    </row>
    <row r="334" spans="13:270" x14ac:dyDescent="0.25">
      <c r="M334" s="5" t="str" cm="1">
        <f t="array" ref="M334">LOOKUP(2,1/($G$19:$G$35&lt;=$V334)/($H$19:$H$35&gt;=$V334),$F$19:$F$35)</f>
        <v>2H23</v>
      </c>
      <c r="N334" s="5" t="str" cm="1">
        <f t="array" ref="N334">LOOKUP(2,1/($G$8:$G$16&lt;=$V334)/($H$8:$H$16&gt;=$V334),$F$8:$F$16)</f>
        <v>FY23</v>
      </c>
      <c r="O334" s="5" t="str">
        <f>IFERROR(N334&amp;"-"&amp;COUNTIF($N$19:N334,N334),NA())</f>
        <v>FY23-43</v>
      </c>
      <c r="P334" s="5">
        <f>COUNTIF(V$19:V334,"&gt;="&amp;MAX($V:$V)-183)</f>
        <v>4</v>
      </c>
      <c r="Q334" s="5">
        <f>COUNTIF(V$19:V334,"&gt;="&amp;MAX($V:$V)-365)</f>
        <v>30</v>
      </c>
      <c r="R334" s="5" cm="1">
        <f t="array" ref="R334">LOOKUP(2,1/($G$46:$G$50&lt;=$V334)/($H$46:$H$50&gt;=$V334),$F$46:$F$50)</f>
        <v>0</v>
      </c>
      <c r="S334" s="5" cm="1">
        <f t="array" ref="S334">LOOKUP(2,1/($G$53:$G$56&lt;=$V334)/($H$53:$H$56&gt;=$V334),$F$53:$F$56)</f>
        <v>0</v>
      </c>
      <c r="T334" s="5" t="e">
        <f>IFERROR(IF($R334&gt;0,$R334&amp;"-"&amp;COUNTIF($R$19:$R334,$R334),NA()),NA())</f>
        <v>#N/A</v>
      </c>
      <c r="U334" s="5" t="e">
        <f>IFERROR(IF($S334&gt;0,$S334&amp;"-"&amp;COUNTIF($S$19:$S334,$S334),NA()),NA())</f>
        <v>#N/A</v>
      </c>
      <c r="V334" s="10">
        <v>45043</v>
      </c>
      <c r="W334" s="101">
        <v>27045895.28732137</v>
      </c>
      <c r="X334" s="101">
        <v>32814784.75210702</v>
      </c>
      <c r="Y334" s="102">
        <v>8000000</v>
      </c>
    </row>
    <row r="335" spans="13:270" x14ac:dyDescent="0.25">
      <c r="M335" s="5" t="str" cm="1">
        <f t="array" ref="M335">LOOKUP(2,1/($G$19:$G$35&lt;=$V335)/($H$19:$H$35&gt;=$V335),$F$19:$F$35)</f>
        <v>2H23</v>
      </c>
      <c r="N335" s="5" t="str" cm="1">
        <f t="array" ref="N335">LOOKUP(2,1/($G$8:$G$16&lt;=$V335)/($H$8:$H$16&gt;=$V335),$F$8:$F$16)</f>
        <v>FY23</v>
      </c>
      <c r="O335" s="5" t="str">
        <f>IFERROR(N335&amp;"-"&amp;COUNTIF($N$19:N335,N335),NA())</f>
        <v>FY23-44</v>
      </c>
      <c r="P335" s="5">
        <f>COUNTIF(V$19:V335,"&gt;="&amp;MAX($V:$V)-183)</f>
        <v>5</v>
      </c>
      <c r="Q335" s="5">
        <f>COUNTIF(V$19:V335,"&gt;="&amp;MAX($V:$V)-365)</f>
        <v>31</v>
      </c>
      <c r="R335" s="5" cm="1">
        <f t="array" ref="R335">LOOKUP(2,1/($G$46:$G$50&lt;=$V335)/($H$46:$H$50&gt;=$V335),$F$46:$F$50)</f>
        <v>0</v>
      </c>
      <c r="S335" s="5" cm="1">
        <f t="array" ref="S335">LOOKUP(2,1/($G$53:$G$56&lt;=$V335)/($H$53:$H$56&gt;=$V335),$F$53:$F$56)</f>
        <v>0</v>
      </c>
      <c r="T335" s="5" t="e">
        <f>IFERROR(IF($R335&gt;0,$R335&amp;"-"&amp;COUNTIF($R$19:$R335,$R335),NA()),NA())</f>
        <v>#N/A</v>
      </c>
      <c r="U335" s="5" t="e">
        <f>IFERROR(IF($S335&gt;0,$S335&amp;"-"&amp;COUNTIF($S$19:$S335,$S335),NA()),NA())</f>
        <v>#N/A</v>
      </c>
      <c r="V335" s="10">
        <v>45050</v>
      </c>
      <c r="W335" s="101">
        <v>41813564.487686224</v>
      </c>
      <c r="X335" s="101">
        <v>50732397.792909697</v>
      </c>
      <c r="Y335" s="102">
        <v>20000000</v>
      </c>
    </row>
    <row r="336" spans="13:270" x14ac:dyDescent="0.25">
      <c r="M336" s="5" t="str" cm="1">
        <f t="array" ref="M336">LOOKUP(2,1/($G$19:$G$35&lt;=$V336)/($H$19:$H$35&gt;=$V336),$F$19:$F$35)</f>
        <v>2H23</v>
      </c>
      <c r="N336" s="5" t="str" cm="1">
        <f t="array" ref="N336">LOOKUP(2,1/($G$8:$G$16&lt;=$V336)/($H$8:$H$16&gt;=$V336),$F$8:$F$16)</f>
        <v>FY23</v>
      </c>
      <c r="O336" s="5" t="str">
        <f>IFERROR(N336&amp;"-"&amp;COUNTIF($N$19:N336,N336),NA())</f>
        <v>FY23-45</v>
      </c>
      <c r="P336" s="5">
        <f>COUNTIF(V$19:V336,"&gt;="&amp;MAX($V:$V)-183)</f>
        <v>6</v>
      </c>
      <c r="Q336" s="5">
        <f>COUNTIF(V$19:V336,"&gt;="&amp;MAX($V:$V)-365)</f>
        <v>32</v>
      </c>
      <c r="R336" s="5" cm="1">
        <f t="array" ref="R336">LOOKUP(2,1/($G$46:$G$50&lt;=$V336)/($H$46:$H$50&gt;=$V336),$F$46:$F$50)</f>
        <v>0</v>
      </c>
      <c r="S336" s="5" cm="1">
        <f t="array" ref="S336">LOOKUP(2,1/($G$53:$G$56&lt;=$V336)/($H$53:$H$56&gt;=$V336),$F$53:$F$56)</f>
        <v>0</v>
      </c>
      <c r="T336" s="5" t="e">
        <f>IFERROR(IF($R336&gt;0,$R336&amp;"-"&amp;COUNTIF($R$19:$R336,$R336),NA()),NA())</f>
        <v>#N/A</v>
      </c>
      <c r="U336" s="5" t="e">
        <f>IFERROR(IF($S336&gt;0,$S336&amp;"-"&amp;COUNTIF($S$19:$S336,$S336),NA()),NA())</f>
        <v>#N/A</v>
      </c>
      <c r="V336" s="10">
        <v>45057</v>
      </c>
      <c r="W336" s="101">
        <v>19348700.760109454</v>
      </c>
      <c r="X336" s="101">
        <v>23475778.632240802</v>
      </c>
      <c r="Y336" s="102">
        <v>4000000</v>
      </c>
    </row>
    <row r="337" spans="13:25" x14ac:dyDescent="0.25">
      <c r="M337" s="5" t="str" cm="1">
        <f t="array" ref="M337">LOOKUP(2,1/($G$19:$G$35&lt;=$V337)/($H$19:$H$35&gt;=$V337),$F$19:$F$35)</f>
        <v>2H23</v>
      </c>
      <c r="N337" s="5" t="str" cm="1">
        <f t="array" ref="N337">LOOKUP(2,1/($G$8:$G$16&lt;=$V337)/($H$8:$H$16&gt;=$V337),$F$8:$F$16)</f>
        <v>FY23</v>
      </c>
      <c r="O337" s="5" t="str">
        <f>IFERROR(N337&amp;"-"&amp;COUNTIF($N$19:N337,N337),NA())</f>
        <v>FY23-46</v>
      </c>
      <c r="P337" s="5">
        <f>COUNTIF(V$19:V337,"&gt;="&amp;MAX($V:$V)-183)</f>
        <v>7</v>
      </c>
      <c r="Q337" s="5">
        <f>COUNTIF(V$19:V337,"&gt;="&amp;MAX($V:$V)-365)</f>
        <v>33</v>
      </c>
      <c r="R337" s="5" cm="1">
        <f t="array" ref="R337">LOOKUP(2,1/($G$46:$G$50&lt;=$V337)/($H$46:$H$50&gt;=$V337),$F$46:$F$50)</f>
        <v>0</v>
      </c>
      <c r="S337" s="5" cm="1">
        <f t="array" ref="S337">LOOKUP(2,1/($G$53:$G$56&lt;=$V337)/($H$53:$H$56&gt;=$V337),$F$53:$F$56)</f>
        <v>0</v>
      </c>
      <c r="T337" s="5" t="e">
        <f>IFERROR(IF($R337&gt;0,$R337&amp;"-"&amp;COUNTIF($R$19:$R337,$R337),NA()),NA())</f>
        <v>#N/A</v>
      </c>
      <c r="U337" s="5" t="e">
        <f>IFERROR(IF($S337&gt;0,$S337&amp;"-"&amp;COUNTIF($S$19:$S337,$S337),NA()),NA())</f>
        <v>#N/A</v>
      </c>
      <c r="V337" s="10">
        <v>45064</v>
      </c>
      <c r="W337" s="101">
        <v>19409982.487078138</v>
      </c>
      <c r="X337" s="101">
        <v>23550131.751571905</v>
      </c>
      <c r="Y337" s="102">
        <v>4000000</v>
      </c>
    </row>
    <row r="338" spans="13:25" x14ac:dyDescent="0.25">
      <c r="M338" s="5" t="str" cm="1">
        <f t="array" ref="M338">LOOKUP(2,1/($G$19:$G$35&lt;=$V338)/($H$19:$H$35&gt;=$V338),$F$19:$F$35)</f>
        <v>2H23</v>
      </c>
      <c r="N338" s="5" t="str" cm="1">
        <f t="array" ref="N338">LOOKUP(2,1/($G$8:$G$16&lt;=$V338)/($H$8:$H$16&gt;=$V338),$F$8:$F$16)</f>
        <v>FY23</v>
      </c>
      <c r="O338" s="5" t="str">
        <f>IFERROR(N338&amp;"-"&amp;COUNTIF($N$19:N338,N338),NA())</f>
        <v>FY23-47</v>
      </c>
      <c r="P338" s="5">
        <f>COUNTIF(V$19:V338,"&gt;="&amp;MAX($V:$V)-183)</f>
        <v>8</v>
      </c>
      <c r="Q338" s="5">
        <f>COUNTIF(V$19:V338,"&gt;="&amp;MAX($V:$V)-365)</f>
        <v>34</v>
      </c>
      <c r="R338" s="5" cm="1">
        <f t="array" ref="R338">LOOKUP(2,1/($G$46:$G$50&lt;=$V338)/($H$46:$H$50&gt;=$V338),$F$46:$F$50)</f>
        <v>0</v>
      </c>
      <c r="S338" s="5" cm="1">
        <f t="array" ref="S338">LOOKUP(2,1/($G$53:$G$56&lt;=$V338)/($H$53:$H$56&gt;=$V338),$F$53:$F$56)</f>
        <v>0</v>
      </c>
      <c r="T338" s="5" t="e">
        <f>IFERROR(IF($R338&gt;0,$R338&amp;"-"&amp;COUNTIF($R$19:$R338,$R338),NA()),NA())</f>
        <v>#N/A</v>
      </c>
      <c r="U338" s="5" t="e">
        <f>IFERROR(IF($S338&gt;0,$S338&amp;"-"&amp;COUNTIF($S$19:$S338,$S338),NA()),NA())</f>
        <v>#N/A</v>
      </c>
      <c r="V338" s="10">
        <v>45071</v>
      </c>
      <c r="W338" s="101">
        <v>30887849.079219788</v>
      </c>
      <c r="X338" s="101">
        <v>41624465.419156581</v>
      </c>
      <c r="Y338" s="102">
        <v>12000000</v>
      </c>
    </row>
    <row r="339" spans="13:25" x14ac:dyDescent="0.25">
      <c r="M339" s="5" t="str" cm="1">
        <f t="array" ref="M339">LOOKUP(2,1/($G$19:$G$35&lt;=$V339)/($H$19:$H$35&gt;=$V339),$F$19:$F$35)</f>
        <v>2H23</v>
      </c>
      <c r="N339" s="5" t="str" cm="1">
        <f t="array" ref="N339">LOOKUP(2,1/($G$8:$G$16&lt;=$V339)/($H$8:$H$16&gt;=$V339),$F$8:$F$16)</f>
        <v>FY23</v>
      </c>
      <c r="O339" s="5" t="str">
        <f>IFERROR(N339&amp;"-"&amp;COUNTIF($N$19:N339,N339),NA())</f>
        <v>FY23-48</v>
      </c>
      <c r="P339" s="5">
        <f>COUNTIF(V$19:V339,"&gt;="&amp;MAX($V:$V)-183)</f>
        <v>9</v>
      </c>
      <c r="Q339" s="5">
        <f>COUNTIF(V$19:V339,"&gt;="&amp;MAX($V:$V)-365)</f>
        <v>35</v>
      </c>
      <c r="R339" s="5" cm="1">
        <f t="array" ref="R339">LOOKUP(2,1/($G$46:$G$50&lt;=$V339)/($H$46:$H$50&gt;=$V339),$F$46:$F$50)</f>
        <v>0</v>
      </c>
      <c r="S339" s="5" cm="1">
        <f t="array" ref="S339">LOOKUP(2,1/($G$53:$G$56&lt;=$V339)/($H$53:$H$56&gt;=$V339),$F$53:$F$56)</f>
        <v>0</v>
      </c>
      <c r="T339" s="5" t="e">
        <f>IFERROR(IF($R339&gt;0,$R339&amp;"-"&amp;COUNTIF($R$19:$R339,$R339),NA()),NA())</f>
        <v>#N/A</v>
      </c>
      <c r="U339" s="5" t="e">
        <f>IFERROR(IF($S339&gt;0,$S339&amp;"-"&amp;COUNTIF($S$19:$S339,$S339),NA()),NA())</f>
        <v>#N/A</v>
      </c>
      <c r="V339" s="10">
        <v>45078</v>
      </c>
      <c r="W339" s="101">
        <v>40719506.810504526</v>
      </c>
      <c r="X339" s="101">
        <v>54873607.377835892</v>
      </c>
      <c r="Y339" s="102">
        <v>20000000</v>
      </c>
    </row>
    <row r="340" spans="13:25" x14ac:dyDescent="0.25">
      <c r="M340" s="5" t="str" cm="1">
        <f t="array" ref="M340">LOOKUP(2,1/($G$19:$G$35&lt;=$V340)/($H$19:$H$35&gt;=$V340),$F$19:$F$35)</f>
        <v>2H23</v>
      </c>
      <c r="N340" s="5" t="str" cm="1">
        <f t="array" ref="N340">LOOKUP(2,1/($G$8:$G$16&lt;=$V340)/($H$8:$H$16&gt;=$V340),$F$8:$F$16)</f>
        <v>FY23</v>
      </c>
      <c r="O340" s="5" t="str">
        <f>IFERROR(N340&amp;"-"&amp;COUNTIF($N$19:N340,N340),NA())</f>
        <v>FY23-49</v>
      </c>
      <c r="P340" s="5">
        <f>COUNTIF(V$19:V340,"&gt;="&amp;MAX($V:$V)-183)</f>
        <v>10</v>
      </c>
      <c r="Q340" s="5">
        <f>COUNTIF(V$19:V340,"&gt;="&amp;MAX($V:$V)-365)</f>
        <v>36</v>
      </c>
      <c r="R340" s="5" cm="1">
        <f t="array" ref="R340">LOOKUP(2,1/($G$46:$G$50&lt;=$V340)/($H$46:$H$50&gt;=$V340),$F$46:$F$50)</f>
        <v>0</v>
      </c>
      <c r="S340" s="5" cm="1">
        <f t="array" ref="S340">LOOKUP(2,1/($G$53:$G$56&lt;=$V340)/($H$53:$H$56&gt;=$V340),$F$53:$F$56)</f>
        <v>0</v>
      </c>
      <c r="T340" s="5" t="e">
        <f>IFERROR(IF($R340&gt;0,$R340&amp;"-"&amp;COUNTIF($R$19:$R340,$R340),NA()),NA())</f>
        <v>#N/A</v>
      </c>
      <c r="U340" s="5" t="e">
        <f>IFERROR(IF($S340&gt;0,$S340&amp;"-"&amp;COUNTIF($S$19:$S340,$S340),NA()),NA())</f>
        <v>#N/A</v>
      </c>
      <c r="V340" s="10">
        <v>45085</v>
      </c>
      <c r="W340" s="101">
        <v>56400732.701318517</v>
      </c>
      <c r="X340" s="101">
        <v>76005627.388296828</v>
      </c>
      <c r="Y340" s="102">
        <v>40000000</v>
      </c>
    </row>
    <row r="341" spans="13:25" x14ac:dyDescent="0.25">
      <c r="M341" s="5" t="str" cm="1">
        <f t="array" ref="M341">LOOKUP(2,1/($G$19:$G$35&lt;=$V341)/($H$19:$H$35&gt;=$V341),$F$19:$F$35)</f>
        <v>2H23</v>
      </c>
      <c r="N341" s="5" t="str" cm="1">
        <f t="array" ref="N341">LOOKUP(2,1/($G$8:$G$16&lt;=$V341)/($H$8:$H$16&gt;=$V341),$F$8:$F$16)</f>
        <v>FY23</v>
      </c>
      <c r="O341" s="5" t="str">
        <f>IFERROR(N341&amp;"-"&amp;COUNTIF($N$19:N341,N341),NA())</f>
        <v>FY23-50</v>
      </c>
      <c r="P341" s="5">
        <f>COUNTIF(V$19:V341,"&gt;="&amp;MAX($V:$V)-183)</f>
        <v>11</v>
      </c>
      <c r="Q341" s="5">
        <f>COUNTIF(V$19:V341,"&gt;="&amp;MAX($V:$V)-365)</f>
        <v>37</v>
      </c>
      <c r="R341" s="5" cm="1">
        <f t="array" ref="R341">LOOKUP(2,1/($G$46:$G$50&lt;=$V341)/($H$46:$H$50&gt;=$V341),$F$46:$F$50)</f>
        <v>0</v>
      </c>
      <c r="S341" s="5" cm="1">
        <f t="array" ref="S341">LOOKUP(2,1/($G$53:$G$56&lt;=$V341)/($H$53:$H$56&gt;=$V341),$F$53:$F$56)</f>
        <v>0</v>
      </c>
      <c r="T341" s="5" t="e">
        <f>IFERROR(IF($R341&gt;0,$R341&amp;"-"&amp;COUNTIF($R$19:$R341,$R341),NA()),NA())</f>
        <v>#N/A</v>
      </c>
      <c r="U341" s="5" t="e">
        <f>IFERROR(IF($S341&gt;0,$S341&amp;"-"&amp;COUNTIF($S$19:$S341,$S341),NA()),NA())</f>
        <v>#N/A</v>
      </c>
      <c r="V341" s="10">
        <v>45092</v>
      </c>
      <c r="W341" s="101">
        <v>87731429.334205076</v>
      </c>
      <c r="X341" s="101">
        <v>118226874.17077476</v>
      </c>
      <c r="Y341" s="102">
        <v>60000000</v>
      </c>
    </row>
    <row r="342" spans="13:25" x14ac:dyDescent="0.25">
      <c r="M342" s="5" t="str" cm="1">
        <f t="array" ref="M342">LOOKUP(2,1/($G$19:$G$35&lt;=$V342)/($H$19:$H$35&gt;=$V342),$F$19:$F$35)</f>
        <v>2H23</v>
      </c>
      <c r="N342" s="5" t="str" cm="1">
        <f t="array" ref="N342">LOOKUP(2,1/($G$8:$G$16&lt;=$V342)/($H$8:$H$16&gt;=$V342),$F$8:$F$16)</f>
        <v>FY23</v>
      </c>
      <c r="O342" s="5" t="str">
        <f>IFERROR(N342&amp;"-"&amp;COUNTIF($N$19:N342,N342),NA())</f>
        <v>FY23-51</v>
      </c>
      <c r="P342" s="5">
        <f>COUNTIF(V$19:V342,"&gt;="&amp;MAX($V:$V)-183)</f>
        <v>12</v>
      </c>
      <c r="Q342" s="5">
        <f>COUNTIF(V$19:V342,"&gt;="&amp;MAX($V:$V)-365)</f>
        <v>38</v>
      </c>
      <c r="R342" s="5" cm="1">
        <f t="array" ref="R342">LOOKUP(2,1/($G$46:$G$50&lt;=$V342)/($H$46:$H$50&gt;=$V342),$F$46:$F$50)</f>
        <v>0</v>
      </c>
      <c r="S342" s="5" cm="1">
        <f t="array" ref="S342">LOOKUP(2,1/($G$53:$G$56&lt;=$V342)/($H$53:$H$56&gt;=$V342),$F$53:$F$56)</f>
        <v>0</v>
      </c>
      <c r="T342" s="5" t="e">
        <f>IFERROR(IF($R342&gt;0,$R342&amp;"-"&amp;COUNTIF($R$19:$R342,$R342),NA()),NA())</f>
        <v>#N/A</v>
      </c>
      <c r="U342" s="5" t="e">
        <f>IFERROR(IF($S342&gt;0,$S342&amp;"-"&amp;COUNTIF($S$19:$S342,$S342),NA()),NA())</f>
        <v>#N/A</v>
      </c>
      <c r="V342" s="10">
        <v>45099</v>
      </c>
      <c r="W342" s="101">
        <v>169147583.30609131</v>
      </c>
      <c r="X342" s="101">
        <v>227943283.26328865</v>
      </c>
      <c r="Y342" s="102">
        <v>100000000</v>
      </c>
    </row>
    <row r="343" spans="13:25" x14ac:dyDescent="0.25">
      <c r="M343" s="5" t="str" cm="1">
        <f t="array" ref="M343">LOOKUP(2,1/($G$19:$G$35&lt;=$V343)/($H$19:$H$35&gt;=$V343),$F$19:$F$35)</f>
        <v>2H23</v>
      </c>
      <c r="N343" s="5" t="str" cm="1">
        <f t="array" ref="N343">LOOKUP(2,1/($G$8:$G$16&lt;=$V343)/($H$8:$H$16&gt;=$V343),$F$8:$F$16)</f>
        <v>FY23</v>
      </c>
      <c r="O343" s="5" t="str">
        <f>IFERROR(N343&amp;"-"&amp;COUNTIF($N$19:N343,N343),NA())</f>
        <v>FY23-52</v>
      </c>
      <c r="P343" s="5">
        <f>COUNTIF(V$19:V343,"&gt;="&amp;MAX($V:$V)-183)</f>
        <v>13</v>
      </c>
      <c r="Q343" s="5">
        <f>COUNTIF(V$19:V343,"&gt;="&amp;MAX($V:$V)-365)</f>
        <v>39</v>
      </c>
      <c r="R343" s="5" cm="1">
        <f t="array" ref="R343">LOOKUP(2,1/($G$46:$G$50&lt;=$V343)/($H$46:$H$50&gt;=$V343),$F$46:$F$50)</f>
        <v>0</v>
      </c>
      <c r="S343" s="5" cm="1">
        <f t="array" ref="S343">LOOKUP(2,1/($G$53:$G$56&lt;=$V343)/($H$53:$H$56&gt;=$V343),$F$53:$F$56)</f>
        <v>0</v>
      </c>
      <c r="T343" s="5" t="e">
        <f>IFERROR(IF($R343&gt;0,$R343&amp;"-"&amp;COUNTIF($R$19:$R343,$R343),NA()),NA())</f>
        <v>#N/A</v>
      </c>
      <c r="U343" s="5" t="e">
        <f>IFERROR(IF($S343&gt;0,$S343&amp;"-"&amp;COUNTIF($S$19:$S343,$S343),NA()),NA())</f>
        <v>#N/A</v>
      </c>
      <c r="V343" s="10">
        <v>45106</v>
      </c>
      <c r="W343" s="101">
        <v>19524423.123024959</v>
      </c>
      <c r="X343" s="101">
        <v>26311112.600588433</v>
      </c>
      <c r="Y343" s="102">
        <v>4000000</v>
      </c>
    </row>
    <row r="344" spans="13:25" x14ac:dyDescent="0.25">
      <c r="M344" s="5" t="str" cm="1">
        <f t="array" ref="M344">LOOKUP(2,1/($G$19:$G$35&lt;=$V344)/($H$19:$H$35&gt;=$V344),$F$19:$F$35)</f>
        <v>1H24</v>
      </c>
      <c r="N344" s="5" t="str" cm="1">
        <f t="array" ref="N344">LOOKUP(2,1/($G$8:$G$16&lt;=$V344)/($H$8:$H$16&gt;=$V344),$F$8:$F$16)</f>
        <v>FY24</v>
      </c>
      <c r="O344" s="5" t="str">
        <f>IFERROR(N344&amp;"-"&amp;COUNTIF($N19:N$344,N344),NA())</f>
        <v>FY24-1</v>
      </c>
      <c r="P344" s="5">
        <f>COUNTIF(V19:V$344,"&gt;="&amp;MAX($V:$V)-183)</f>
        <v>14</v>
      </c>
      <c r="Q344" s="5">
        <f>COUNTIF(V19:V$344,"&gt;="&amp;MAX($V:$V)-365)</f>
        <v>40</v>
      </c>
      <c r="R344" s="5" cm="1">
        <f t="array" ref="R344">LOOKUP(2,1/($G$46:$G$50&lt;=$V344)/($H$46:$H$50&gt;=$V344),$F$46:$F$50)</f>
        <v>0</v>
      </c>
      <c r="S344" s="5" cm="1">
        <f t="array" ref="S344">LOOKUP(2,1/($G$53:$G$56&lt;=$V344)/($H$53:$H$56&gt;=$V344),$F$53:$F$56)</f>
        <v>0</v>
      </c>
      <c r="T344" s="5" t="e">
        <f>IFERROR(IF($R344&gt;0,$R344&amp;"-"&amp;COUNTIF($R19:$R$344,$R344),NA()),NA())</f>
        <v>#N/A</v>
      </c>
      <c r="U344" s="5" t="e">
        <f>IFERROR(IF($S344&gt;0,$S344&amp;"-"&amp;COUNTIF($S19:$S$344,$S344),NA()),NA())</f>
        <v>#N/A</v>
      </c>
      <c r="V344" s="10">
        <v>45113</v>
      </c>
      <c r="W344" s="101">
        <v>31154789.255748071</v>
      </c>
      <c r="X344" s="101">
        <v>41984194.001046099</v>
      </c>
      <c r="Y344" s="102">
        <v>12000000</v>
      </c>
    </row>
    <row r="345" spans="13:25" x14ac:dyDescent="0.25">
      <c r="M345" s="5" t="str" cm="1">
        <f t="array" ref="M345">LOOKUP(2,1/($G$19:$G$35&lt;=$V345)/($H$19:$H$35&gt;=$V345),$F$19:$F$35)</f>
        <v>1H24</v>
      </c>
      <c r="N345" s="5" t="str" cm="1">
        <f t="array" ref="N345">LOOKUP(2,1/($G$8:$G$16&lt;=$V345)/($H$8:$H$16&gt;=$V345),$F$8:$F$16)</f>
        <v>FY24</v>
      </c>
      <c r="O345" s="5" t="str">
        <f>IFERROR(N345&amp;"-"&amp;COUNTIF($N19:N$345,N345),NA())</f>
        <v>FY24-2</v>
      </c>
      <c r="P345" s="5">
        <f>COUNTIF(V19:V$345,"&gt;="&amp;MAX($V:$V)-183)</f>
        <v>15</v>
      </c>
      <c r="Q345" s="5">
        <f>COUNTIF(V19:V$345,"&gt;="&amp;MAX($V:$V)-365)</f>
        <v>41</v>
      </c>
      <c r="R345" s="5" cm="1">
        <f t="array" ref="R345">LOOKUP(2,1/($G$46:$G$50&lt;=$V345)/($H$46:$H$50&gt;=$V345),$F$46:$F$50)</f>
        <v>0</v>
      </c>
      <c r="S345" s="5" cm="1">
        <f t="array" ref="S345">LOOKUP(2,1/($G$53:$G$56&lt;=$V345)/($H$53:$H$56&gt;=$V345),$F$53:$F$56)</f>
        <v>0</v>
      </c>
      <c r="T345" s="5" t="e">
        <f>IFERROR(IF($R345&gt;0,$R345&amp;"-"&amp;COUNTIF($R19:$R$345,$R345),NA()),NA())</f>
        <v>#N/A</v>
      </c>
      <c r="U345" s="5" t="e">
        <f>IFERROR(IF($S345&gt;0,$S345&amp;"-"&amp;COUNTIF($S19:$S$345,$S345),NA()),NA())</f>
        <v>#N/A</v>
      </c>
      <c r="V345" s="10">
        <v>45120</v>
      </c>
      <c r="W345" s="101">
        <v>40570238.531110391</v>
      </c>
      <c r="X345" s="101">
        <v>54672453.444524363</v>
      </c>
      <c r="Y345" s="102">
        <v>20000000</v>
      </c>
    </row>
    <row r="346" spans="13:25" x14ac:dyDescent="0.25">
      <c r="M346" s="5" t="str" cm="1">
        <f t="array" ref="M346">LOOKUP(2,1/($G$19:$G$35&lt;=$V346)/($H$19:$H$35&gt;=$V346),$F$19:$F$35)</f>
        <v>1H24</v>
      </c>
      <c r="N346" s="5" t="str" cm="1">
        <f t="array" ref="N346">LOOKUP(2,1/($G$8:$G$16&lt;=$V346)/($H$8:$H$16&gt;=$V346),$F$8:$F$16)</f>
        <v>FY24</v>
      </c>
      <c r="O346" s="5" t="str">
        <f>IFERROR(N346&amp;"-"&amp;COUNTIF($N19:N$346,N346),NA())</f>
        <v>FY24-3</v>
      </c>
      <c r="P346" s="5">
        <f>COUNTIF(V19:V$346,"&gt;="&amp;MAX($V:$V)-183)</f>
        <v>16</v>
      </c>
      <c r="Q346" s="5">
        <f>COUNTIF(V19:V$346,"&gt;="&amp;MAX($V:$V)-365)</f>
        <v>42</v>
      </c>
      <c r="R346" s="5" cm="1">
        <f t="array" ref="R346">LOOKUP(2,1/($G$46:$G$50&lt;=$V346)/($H$46:$H$50&gt;=$V346),$F$46:$F$50)</f>
        <v>0</v>
      </c>
      <c r="S346" s="5" cm="1">
        <f t="array" ref="S346">LOOKUP(2,1/($G$53:$G$56&lt;=$V346)/($H$53:$H$56&gt;=$V346),$F$53:$F$56)</f>
        <v>0</v>
      </c>
      <c r="T346" s="5" t="e">
        <f>IFERROR(IF($R346&gt;0,$R346&amp;"-"&amp;COUNTIF($R19:$R$346,$R346),NA()),NA())</f>
        <v>#N/A</v>
      </c>
      <c r="U346" s="5" t="e">
        <f>IFERROR(IF($S346&gt;0,$S346&amp;"-"&amp;COUNTIF($S19:$S$346,$S346),NA()),NA())</f>
        <v>#N/A</v>
      </c>
      <c r="V346" s="10">
        <v>45127</v>
      </c>
      <c r="W346" s="101">
        <v>60836962.188078903</v>
      </c>
      <c r="X346" s="101">
        <v>81983890.244655117</v>
      </c>
      <c r="Y346" s="102">
        <v>40000000</v>
      </c>
    </row>
    <row r="347" spans="13:25" x14ac:dyDescent="0.25">
      <c r="M347" s="5" t="str" cm="1">
        <f t="array" ref="M347">LOOKUP(2,1/($G$19:$G$35&lt;=$V347)/($H$19:$H$35&gt;=$V347),$F$19:$F$35)</f>
        <v>1H24</v>
      </c>
      <c r="N347" s="5" t="str" cm="1">
        <f t="array" ref="N347">LOOKUP(2,1/($G$8:$G$16&lt;=$V347)/($H$8:$H$16&gt;=$V347),$F$8:$F$16)</f>
        <v>FY24</v>
      </c>
      <c r="O347" s="5" t="str">
        <f>IFERROR(N347&amp;"-"&amp;COUNTIF($N19:N$347,N347),NA())</f>
        <v>FY24-4</v>
      </c>
      <c r="P347" s="5">
        <f>COUNTIF(V19:V$347,"&gt;="&amp;MAX($V:$V)-183)</f>
        <v>17</v>
      </c>
      <c r="Q347" s="5">
        <f>COUNTIF(V19:V$347,"&gt;="&amp;MAX($V:$V)-365)</f>
        <v>43</v>
      </c>
      <c r="R347" s="5" cm="1">
        <f t="array" ref="R347">LOOKUP(2,1/($G$46:$G$50&lt;=$V347)/($H$46:$H$50&gt;=$V347),$F$46:$F$50)</f>
        <v>0</v>
      </c>
      <c r="S347" s="5" cm="1">
        <f t="array" ref="S347">LOOKUP(2,1/($G$53:$G$56&lt;=$V347)/($H$53:$H$56&gt;=$V347),$F$53:$F$56)</f>
        <v>0</v>
      </c>
      <c r="T347" s="5" t="e">
        <f>IFERROR(IF($R347&gt;0,$R347&amp;"-"&amp;COUNTIF($R19:$R$347,$R347),NA()),NA())</f>
        <v>#N/A</v>
      </c>
      <c r="U347" s="5" t="e">
        <f>IFERROR(IF($S347&gt;0,$S347&amp;"-"&amp;COUNTIF($S19:$S$347,$S347),NA()),NA())</f>
        <v>#N/A</v>
      </c>
      <c r="V347" s="10">
        <v>45134</v>
      </c>
      <c r="W347" s="101">
        <v>84639629.07268171</v>
      </c>
      <c r="X347" s="101">
        <v>114060364.13834587</v>
      </c>
      <c r="Y347" s="102">
        <v>60000000</v>
      </c>
    </row>
    <row r="348" spans="13:25" x14ac:dyDescent="0.25">
      <c r="M348" s="5" t="str" cm="1">
        <f t="array" ref="M348">LOOKUP(2,1/($G$19:$G$35&lt;=$V348)/($H$19:$H$35&gt;=$V348),$F$19:$F$35)</f>
        <v>1H24</v>
      </c>
      <c r="N348" s="5" t="str" cm="1">
        <f t="array" ref="N348">LOOKUP(2,1/($G$8:$G$16&lt;=$V348)/($H$8:$H$16&gt;=$V348),$F$8:$F$16)</f>
        <v>FY24</v>
      </c>
      <c r="O348" s="5" t="str">
        <f>IFERROR(N348&amp;"-"&amp;COUNTIF($N19:N$348,N348),NA())</f>
        <v>FY24-5</v>
      </c>
      <c r="P348" s="5">
        <f>COUNTIF(V19:V$348,"&gt;="&amp;MAX($V:$V)-183)</f>
        <v>18</v>
      </c>
      <c r="Q348" s="5">
        <f>COUNTIF(V19:V$348,"&gt;="&amp;MAX($V:$V)-365)</f>
        <v>44</v>
      </c>
      <c r="R348" s="5" cm="1">
        <f t="array" ref="R348">LOOKUP(2,1/($G$46:$G$50&lt;=$V348)/($H$46:$H$50&gt;=$V348),$F$46:$F$50)</f>
        <v>0</v>
      </c>
      <c r="S348" s="5" cm="1">
        <f t="array" ref="S348">LOOKUP(2,1/($G$53:$G$56&lt;=$V348)/($H$53:$H$56&gt;=$V348),$F$53:$F$56)</f>
        <v>0</v>
      </c>
      <c r="T348" s="5" t="e">
        <f>IFERROR(IF($R348&gt;0,$R348&amp;"-"&amp;COUNTIF($R19:$R$348,$R348),NA()),NA())</f>
        <v>#N/A</v>
      </c>
      <c r="U348" s="5" t="e">
        <f>IFERROR(IF($S348&gt;0,$S348&amp;"-"&amp;COUNTIF($S19:$S$348,$S348),NA()),NA())</f>
        <v>#N/A</v>
      </c>
      <c r="V348" s="10">
        <v>45141</v>
      </c>
      <c r="W348" s="101">
        <v>156823488.17696416</v>
      </c>
      <c r="X348" s="101">
        <v>211335332.66727689</v>
      </c>
      <c r="Y348" s="102">
        <v>100000000</v>
      </c>
    </row>
    <row r="349" spans="13:25" x14ac:dyDescent="0.25">
      <c r="M349" s="5" t="str" cm="1">
        <f t="array" ref="M349">LOOKUP(2,1/($G$19:$G$35&lt;=$V349)/($H$19:$H$35&gt;=$V349),$F$19:$F$35)</f>
        <v>1H24</v>
      </c>
      <c r="N349" s="5" t="str" cm="1">
        <f t="array" ref="N349">LOOKUP(2,1/($G$8:$G$16&lt;=$V349)/($H$8:$H$16&gt;=$V349),$F$8:$F$16)</f>
        <v>FY24</v>
      </c>
      <c r="O349" s="5" t="str">
        <f>IFERROR(N349&amp;"-"&amp;COUNTIF($N19:N$349,N349),NA())</f>
        <v>FY24-6</v>
      </c>
      <c r="P349" s="5">
        <f>COUNTIF(V19:V$349,"&gt;="&amp;MAX($V:$V)-183)</f>
        <v>19</v>
      </c>
      <c r="Q349" s="5">
        <f>COUNTIF(V19:V$349,"&gt;="&amp;MAX($V:$V)-365)</f>
        <v>45</v>
      </c>
      <c r="R349" s="5" cm="1">
        <f t="array" ref="R349">LOOKUP(2,1/($G$46:$G$50&lt;=$V349)/($H$46:$H$50&gt;=$V349),$F$46:$F$50)</f>
        <v>0</v>
      </c>
      <c r="S349" s="5" cm="1">
        <f t="array" ref="S349">LOOKUP(2,1/($G$53:$G$56&lt;=$V349)/($H$53:$H$56&gt;=$V349),$F$53:$F$56)</f>
        <v>0</v>
      </c>
      <c r="T349" s="5" t="e">
        <f>IFERROR(IF($R349&gt;0,$R349&amp;"-"&amp;COUNTIF($R19:$R$349,$R349),NA()),NA())</f>
        <v>#N/A</v>
      </c>
      <c r="U349" s="5" t="e">
        <f>IFERROR(IF($S349&gt;0,$S349&amp;"-"&amp;COUNTIF($S19:$S$349,$S349),NA()),NA())</f>
        <v>#N/A</v>
      </c>
      <c r="V349" s="10">
        <v>45148</v>
      </c>
      <c r="W349" s="101">
        <v>20677774.436090227</v>
      </c>
      <c r="X349" s="101">
        <v>27865368.830075189</v>
      </c>
      <c r="Y349" s="102">
        <v>4000000</v>
      </c>
    </row>
    <row r="350" spans="13:25" x14ac:dyDescent="0.25">
      <c r="M350" s="5" t="str" cm="1">
        <f t="array" ref="M350">LOOKUP(2,1/($G$19:$G$35&lt;=$V350)/($H$19:$H$35&gt;=$V350),$F$19:$F$35)</f>
        <v>1H24</v>
      </c>
      <c r="N350" s="5" t="str" cm="1">
        <f t="array" ref="N350">LOOKUP(2,1/($G$8:$G$16&lt;=$V350)/($H$8:$H$16&gt;=$V350),$F$8:$F$16)</f>
        <v>FY24</v>
      </c>
      <c r="O350" s="5" t="str">
        <f>IFERROR(N350&amp;"-"&amp;COUNTIF($N19:N$350,N350),NA())</f>
        <v>FY24-7</v>
      </c>
      <c r="P350" s="5">
        <f>COUNTIF(V19:V$350,"&gt;="&amp;MAX($V:$V)-183)</f>
        <v>20</v>
      </c>
      <c r="Q350" s="5">
        <f>COUNTIF(V19:V$350,"&gt;="&amp;MAX($V:$V)-365)</f>
        <v>46</v>
      </c>
      <c r="R350" s="5" cm="1">
        <f t="array" ref="R350">LOOKUP(2,1/($G$46:$G$50&lt;=$V350)/($H$46:$H$50&gt;=$V350),$F$46:$F$50)</f>
        <v>0</v>
      </c>
      <c r="S350" s="5" cm="1">
        <f t="array" ref="S350">LOOKUP(2,1/($G$53:$G$56&lt;=$V350)/($H$53:$H$56&gt;=$V350),$F$53:$F$56)</f>
        <v>0</v>
      </c>
      <c r="T350" s="5" t="e">
        <f>IFERROR(IF($R350&gt;0,$R350&amp;"-"&amp;COUNTIF($R19:$R$350,$R350),NA()),NA())</f>
        <v>#N/A</v>
      </c>
      <c r="U350" s="5" t="e">
        <f>IFERROR(IF($S350&gt;0,$S350&amp;"-"&amp;COUNTIF($S19:$S$350,$S350),NA()),NA())</f>
        <v>#N/A</v>
      </c>
      <c r="V350" s="10">
        <v>45155</v>
      </c>
      <c r="W350" s="101">
        <v>30840203.334423013</v>
      </c>
      <c r="X350" s="101">
        <v>41560258.013468452</v>
      </c>
      <c r="Y350" s="102">
        <v>12000000</v>
      </c>
    </row>
    <row r="351" spans="13:25" x14ac:dyDescent="0.25">
      <c r="M351" s="5" t="str" cm="1">
        <f t="array" ref="M351">LOOKUP(2,1/($G$19:$G$35&lt;=$V351)/($H$19:$H$35&gt;=$V351),$F$19:$F$35)</f>
        <v>1H24</v>
      </c>
      <c r="N351" s="5" t="str" cm="1">
        <f t="array" ref="N351">LOOKUP(2,1/($G$8:$G$16&lt;=$V351)/($H$8:$H$16&gt;=$V351),$F$8:$F$16)</f>
        <v>FY24</v>
      </c>
      <c r="O351" s="5" t="str">
        <f>IFERROR(N351&amp;"-"&amp;COUNTIF($N19:N$351,N351),NA())</f>
        <v>FY24-8</v>
      </c>
      <c r="P351" s="5">
        <f>COUNTIF(V19:V$351,"&gt;="&amp;MAX($V:$V)-183)</f>
        <v>21</v>
      </c>
      <c r="Q351" s="5">
        <f>COUNTIF(V19:V$351,"&gt;="&amp;MAX($V:$V)-365)</f>
        <v>47</v>
      </c>
      <c r="R351" s="5" cm="1">
        <f t="array" ref="R351">LOOKUP(2,1/($G$46:$G$50&lt;=$V351)/($H$46:$H$50&gt;=$V351),$F$46:$F$50)</f>
        <v>0</v>
      </c>
      <c r="S351" s="5" cm="1">
        <f t="array" ref="S351">LOOKUP(2,1/($G$53:$G$56&lt;=$V351)/($H$53:$H$56&gt;=$V351),$F$53:$F$56)</f>
        <v>0</v>
      </c>
      <c r="T351" s="5" t="e">
        <f>IFERROR(IF($R351&gt;0,$R351&amp;"-"&amp;COUNTIF($R19:$R$351,$R351),NA()),NA())</f>
        <v>#N/A</v>
      </c>
      <c r="U351" s="5" t="e">
        <f>IFERROR(IF($S351&gt;0,$S351&amp;"-"&amp;COUNTIF($S19:$S$351,$S351),NA()),NA())</f>
        <v>#N/A</v>
      </c>
      <c r="V351" s="10">
        <v>45162</v>
      </c>
      <c r="W351" s="101">
        <v>42995307.072027899</v>
      </c>
      <c r="X351" s="101">
        <v>57940475.810264796</v>
      </c>
      <c r="Y351" s="102">
        <v>20000000</v>
      </c>
    </row>
    <row r="352" spans="13:25" x14ac:dyDescent="0.25">
      <c r="M352" s="5" t="str" cm="1">
        <f t="array" ref="M352">LOOKUP(2,1/($G$19:$G$35&lt;=$V352)/($H$19:$H$35&gt;=$V352),$F$19:$F$35)</f>
        <v>1H24</v>
      </c>
      <c r="N352" s="5" t="str" cm="1">
        <f t="array" ref="N352">LOOKUP(2,1/($G$8:$G$16&lt;=$V352)/($H$8:$H$16&gt;=$V352),$F$8:$F$16)</f>
        <v>FY24</v>
      </c>
      <c r="O352" s="5" t="str">
        <f>IFERROR(N352&amp;"-"&amp;COUNTIF($N19:N$352,N352),NA())</f>
        <v>FY24-9</v>
      </c>
      <c r="P352" s="5">
        <f>COUNTIF(V19:V$352,"&gt;="&amp;MAX($V:$V)-183)</f>
        <v>22</v>
      </c>
      <c r="Q352" s="5">
        <f>COUNTIF(V19:V$352,"&gt;="&amp;MAX($V:$V)-365)</f>
        <v>48</v>
      </c>
      <c r="R352" s="5" cm="1">
        <f t="array" ref="R352">LOOKUP(2,1/($G$46:$G$50&lt;=$V352)/($H$46:$H$50&gt;=$V352),$F$46:$F$50)</f>
        <v>0</v>
      </c>
      <c r="S352" s="5" cm="1">
        <f t="array" ref="S352">LOOKUP(2,1/($G$53:$G$56&lt;=$V352)/($H$53:$H$56&gt;=$V352),$F$53:$F$56)</f>
        <v>0</v>
      </c>
      <c r="T352" s="5" t="e">
        <f>IFERROR(IF($R352&gt;0,$R352&amp;"-"&amp;COUNTIF($R19:$R$352,$R352),NA()),NA())</f>
        <v>#N/A</v>
      </c>
      <c r="U352" s="5" t="e">
        <f>IFERROR(IF($S352&gt;0,$S352&amp;"-"&amp;COUNTIF($S19:$S$352,$S352),NA()),NA())</f>
        <v>#N/A</v>
      </c>
      <c r="V352" s="10">
        <v>45169</v>
      </c>
      <c r="W352" s="101">
        <v>59703342.595619485</v>
      </c>
      <c r="X352" s="101">
        <v>80456224.481856808</v>
      </c>
      <c r="Y352" s="102">
        <v>40000000</v>
      </c>
    </row>
    <row r="353" spans="13:25" x14ac:dyDescent="0.25">
      <c r="M353" s="5" t="str" cm="1">
        <f t="array" ref="M353">LOOKUP(2,1/($G$19:$G$35&lt;=$V353)/($H$19:$H$35&gt;=$V353),$F$19:$F$35)</f>
        <v>1H24</v>
      </c>
      <c r="N353" s="5" t="str" cm="1">
        <f t="array" ref="N353">LOOKUP(2,1/($G$8:$G$16&lt;=$V353)/($H$8:$H$16&gt;=$V353),$F$8:$F$16)</f>
        <v>FY24</v>
      </c>
      <c r="O353" s="5" t="str">
        <f>IFERROR(N353&amp;"-"&amp;COUNTIF($N19:N$353,N353),NA())</f>
        <v>FY24-10</v>
      </c>
      <c r="P353" s="5">
        <f>COUNTIF(V19:V$353,"&gt;="&amp;MAX($V:$V)-183)</f>
        <v>23</v>
      </c>
      <c r="Q353" s="5">
        <f>COUNTIF(V19:V$353,"&gt;="&amp;MAX($V:$V)-365)</f>
        <v>49</v>
      </c>
      <c r="R353" s="5" cm="1">
        <f t="array" ref="R353">LOOKUP(2,1/($G$46:$G$50&lt;=$V353)/($H$46:$H$50&gt;=$V353),$F$46:$F$50)</f>
        <v>0</v>
      </c>
      <c r="S353" s="5" cm="1">
        <f t="array" ref="S353">LOOKUP(2,1/($G$53:$G$56&lt;=$V353)/($H$53:$H$56&gt;=$V353),$F$53:$F$56)</f>
        <v>0</v>
      </c>
      <c r="T353" s="5" t="e">
        <f>IFERROR(IF($R353&gt;0,$R353&amp;"-"&amp;COUNTIF($R19:$R$353,$R353),NA()),NA())</f>
        <v>#N/A</v>
      </c>
      <c r="U353" s="5" t="e">
        <f>IFERROR(IF($S353&gt;0,$S353&amp;"-"&amp;COUNTIF($S19:$S$353,$S353),NA()),NA())</f>
        <v>#N/A</v>
      </c>
      <c r="V353" s="10">
        <v>45176</v>
      </c>
      <c r="W353" s="101">
        <v>20222166.06734227</v>
      </c>
      <c r="X353" s="101">
        <v>27251390.99235044</v>
      </c>
      <c r="Y353" s="102">
        <v>4000000</v>
      </c>
    </row>
    <row r="354" spans="13:25" x14ac:dyDescent="0.25">
      <c r="M354" s="5" t="str" cm="1">
        <f t="array" ref="M354">LOOKUP(2,1/($G$19:$G$35&lt;=$V354)/($H$19:$H$35&gt;=$V354),$F$19:$F$35)</f>
        <v>1H24</v>
      </c>
      <c r="N354" s="5" t="str" cm="1">
        <f t="array" ref="N354">LOOKUP(2,1/($G$8:$G$16&lt;=$V354)/($H$8:$H$16&gt;=$V354),$F$8:$F$16)</f>
        <v>FY24</v>
      </c>
      <c r="O354" s="5" t="str">
        <f>IFERROR(N354&amp;"-"&amp;COUNTIF($N19:N$354,N354),NA())</f>
        <v>FY24-11</v>
      </c>
      <c r="P354" s="5">
        <f>COUNTIF(V19:V$354,"&gt;="&amp;MAX($V:$V)-183)</f>
        <v>24</v>
      </c>
      <c r="Q354" s="5">
        <f>COUNTIF(V19:V$354,"&gt;="&amp;MAX($V:$V)-365)</f>
        <v>50</v>
      </c>
      <c r="R354" s="5" cm="1">
        <f t="array" ref="R354">LOOKUP(2,1/($G$46:$G$50&lt;=$V354)/($H$46:$H$50&gt;=$V354),$F$46:$F$50)</f>
        <v>0</v>
      </c>
      <c r="S354" s="5" cm="1">
        <f t="array" ref="S354">LOOKUP(2,1/($G$53:$G$56&lt;=$V354)/($H$53:$H$56&gt;=$V354),$F$53:$F$56)</f>
        <v>0</v>
      </c>
      <c r="T354" s="5" t="e">
        <f>IFERROR(IF($R354&gt;0,$R354&amp;"-"&amp;COUNTIF($R19:$R$354,$R354),NA()),NA())</f>
        <v>#N/A</v>
      </c>
      <c r="U354" s="5" t="e">
        <f>IFERROR(IF($S354&gt;0,$S354&amp;"-"&amp;COUNTIF($S19:$S$354,$S354),NA()),NA())</f>
        <v>#N/A</v>
      </c>
      <c r="V354" s="10">
        <v>45183</v>
      </c>
      <c r="W354" s="101">
        <v>32237415.277323749</v>
      </c>
      <c r="X354" s="101">
        <v>43443140.827721484</v>
      </c>
      <c r="Y354" s="102">
        <v>12000000</v>
      </c>
    </row>
    <row r="355" spans="13:25" x14ac:dyDescent="0.25">
      <c r="M355" s="5" t="str" cm="1">
        <f t="array" ref="M355">LOOKUP(2,1/($G$19:$G$35&lt;=$V355)/($H$19:$H$35&gt;=$V355),$F$19:$F$35)</f>
        <v>1H24</v>
      </c>
      <c r="N355" s="5" t="str" cm="1">
        <f t="array" ref="N355">LOOKUP(2,1/($G$8:$G$16&lt;=$V355)/($H$8:$H$16&gt;=$V355),$F$8:$F$16)</f>
        <v>FY24</v>
      </c>
      <c r="O355" s="5" t="str">
        <f>IFERROR(N355&amp;"-"&amp;COUNTIF($N19:N$355,N355),NA())</f>
        <v>FY24-12</v>
      </c>
      <c r="P355" s="5">
        <f>COUNTIF(V19:V$355,"&gt;="&amp;MAX($V:$V)-183)</f>
        <v>25</v>
      </c>
      <c r="Q355" s="5">
        <f>COUNTIF(V19:V$355,"&gt;="&amp;MAX($V:$V)-365)</f>
        <v>51</v>
      </c>
      <c r="R355" s="5" cm="1">
        <f t="array" ref="R355">LOOKUP(2,1/($G$46:$G$50&lt;=$V355)/($H$46:$H$50&gt;=$V355),$F$46:$F$50)</f>
        <v>0</v>
      </c>
      <c r="S355" s="5" cm="1">
        <f t="array" ref="S355">LOOKUP(2,1/($G$53:$G$56&lt;=$V355)/($H$53:$H$56&gt;=$V355),$F$53:$F$56)</f>
        <v>0</v>
      </c>
      <c r="T355" s="5" t="e">
        <f>IFERROR(IF($R355&gt;0,$R355&amp;"-"&amp;COUNTIF($R19:$R$355,$R355),NA()),NA())</f>
        <v>#N/A</v>
      </c>
      <c r="U355" s="5" t="e">
        <f>IFERROR(IF($S355&gt;0,$S355&amp;"-"&amp;COUNTIF($S19:$S$355,$S355),NA()),NA())</f>
        <v>#N/A</v>
      </c>
      <c r="V355" s="10">
        <v>45190</v>
      </c>
      <c r="W355" s="101">
        <v>41746812.901819773</v>
      </c>
      <c r="X355" s="101">
        <v>56258005.066492319</v>
      </c>
      <c r="Y355" s="102">
        <v>20000000</v>
      </c>
    </row>
    <row r="356" spans="13:25" x14ac:dyDescent="0.25">
      <c r="M356" s="5" t="str" cm="1">
        <f t="array" ref="M356">LOOKUP(2,1/($G$19:$G$35&lt;=$V356)/($H$19:$H$35&gt;=$V356),$F$19:$F$35)</f>
        <v>1H24</v>
      </c>
      <c r="N356" s="5" t="str" cm="1">
        <f t="array" ref="N356">LOOKUP(2,1/($G$8:$G$16&lt;=$V356)/($H$8:$H$16&gt;=$V356),$F$8:$F$16)</f>
        <v>FY24</v>
      </c>
      <c r="O356" s="5" t="str">
        <f>IFERROR(N356&amp;"-"&amp;COUNTIF($N19:N$356,N356),NA())</f>
        <v>FY24-13</v>
      </c>
      <c r="P356" s="5">
        <f>COUNTIF(V19:V$356,"&gt;="&amp;MAX($V:$V)-183)</f>
        <v>26</v>
      </c>
      <c r="Q356" s="5">
        <f>COUNTIF(V19:V$356,"&gt;="&amp;MAX($V:$V)-365)</f>
        <v>52</v>
      </c>
      <c r="R356" s="5" cm="1">
        <f t="array" ref="R356">LOOKUP(2,1/($G$46:$G$50&lt;=$V356)/($H$46:$H$50&gt;=$V356),$F$46:$F$50)</f>
        <v>0</v>
      </c>
      <c r="S356" s="5" cm="1">
        <f t="array" ref="S356">LOOKUP(2,1/($G$53:$G$56&lt;=$V356)/($H$53:$H$56&gt;=$V356),$F$53:$F$56)</f>
        <v>0</v>
      </c>
      <c r="T356" s="5" t="e">
        <f>IFERROR(IF($R356&gt;0,$R356&amp;"-"&amp;COUNTIF($R19:$R$356,$R356),NA()),NA())</f>
        <v>#N/A</v>
      </c>
      <c r="U356" s="5" t="e">
        <f>IFERROR(IF($S356&gt;0,$S356&amp;"-"&amp;COUNTIF($S19:$S$356,$S356),NA()),NA())</f>
        <v>#N/A</v>
      </c>
      <c r="V356" s="10">
        <v>45197</v>
      </c>
      <c r="W356" s="101">
        <v>56641298.899422474</v>
      </c>
      <c r="X356" s="101">
        <v>76329814.396861717</v>
      </c>
      <c r="Y356" s="102">
        <v>40000000</v>
      </c>
    </row>
    <row r="357" spans="13:25" x14ac:dyDescent="0.25">
      <c r="M357" s="5" t="str" cm="1">
        <f t="array" ref="M357">LOOKUP(2,1/($G$19:$G$35&lt;=$V357)/($H$19:$H$35&gt;=$V357),$F$19:$F$35)</f>
        <v>1H24</v>
      </c>
      <c r="N357" s="5" t="str" cm="1">
        <f t="array" ref="N357">LOOKUP(2,1/($G$8:$G$16&lt;=$V357)/($H$8:$H$16&gt;=$V357),$F$8:$F$16)</f>
        <v>FY24</v>
      </c>
      <c r="O357" s="5" t="str">
        <f>IFERROR(N357&amp;"-"&amp;COUNTIF($N19:N$357,N357),NA())</f>
        <v>FY24-14</v>
      </c>
      <c r="P357" s="5">
        <f>COUNTIF(V19:V$357,"&gt;="&amp;MAX($V:$V)-183)</f>
        <v>27</v>
      </c>
      <c r="Q357" s="5">
        <f>COUNTIF(V19:V$357,"&gt;="&amp;MAX($V:$V)-365)</f>
        <v>53</v>
      </c>
      <c r="R357" s="5" cm="1">
        <f t="array" ref="R357">LOOKUP(2,1/($G$46:$G$50&lt;=$V357)/($H$46:$H$50&gt;=$V357),$F$46:$F$50)</f>
        <v>0</v>
      </c>
      <c r="S357" s="5" cm="1">
        <f t="array" ref="S357">LOOKUP(2,1/($G$53:$G$56&lt;=$V357)/($H$53:$H$56&gt;=$V357),$F$53:$F$56)</f>
        <v>0</v>
      </c>
      <c r="T357" s="5" t="e">
        <f>IFERROR(IF($R357&gt;0,$R357&amp;"-"&amp;COUNTIF($R19:$R$357,$R357),NA()),NA())</f>
        <v>#N/A</v>
      </c>
      <c r="U357" s="5" t="e">
        <f>IFERROR(IF($S357&gt;0,$S357&amp;"-"&amp;COUNTIF($S19:$S$357,$S357),NA()),NA())</f>
        <v>#N/A</v>
      </c>
      <c r="V357" s="10">
        <v>45204</v>
      </c>
      <c r="W357" s="101">
        <v>85385106.4618067</v>
      </c>
      <c r="X357" s="101">
        <v>115064969.4679307</v>
      </c>
      <c r="Y357" s="102">
        <v>60000000</v>
      </c>
    </row>
  </sheetData>
  <autoFilter ref="M4:Y4" xr:uid="{D9091A40-4835-4263-B6DA-E713F5B8018A}">
    <sortState xmlns:xlrd2="http://schemas.microsoft.com/office/spreadsheetml/2017/richdata2" ref="M5:Y357">
      <sortCondition ref="V4"/>
    </sortState>
  </autoFilter>
  <pageMargins left="0.7" right="0.7" top="0.75" bottom="0.75" header="0.3" footer="0.3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Powerball Regression</vt:lpstr>
      <vt:lpstr>Powerball Regression (2)</vt:lpstr>
      <vt:lpstr>Oz Lotto Regression</vt:lpstr>
      <vt:lpstr>Backtesting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Bradshaw</dc:creator>
  <cp:lastModifiedBy>Sam Bradshaw</cp:lastModifiedBy>
  <dcterms:created xsi:type="dcterms:W3CDTF">2023-09-21T04:12:12Z</dcterms:created>
  <dcterms:modified xsi:type="dcterms:W3CDTF">2025-10-02T10:25:50Z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d4959-a4d7-4a60-89ba-8fd96e834276_Enabled">
    <vt:lpwstr>true</vt:lpwstr>
  </property>
  <property fmtid="{D5CDD505-2E9C-101B-9397-08002B2CF9AE}" pid="3" name="MSIP_Label_faad4959-a4d7-4a60-89ba-8fd96e834276_SetDate">
    <vt:lpwstr>2024-02-01T11:34:16Z</vt:lpwstr>
  </property>
  <property fmtid="{D5CDD505-2E9C-101B-9397-08002B2CF9AE}" pid="4" name="MSIP_Label_faad4959-a4d7-4a60-89ba-8fd96e834276_Method">
    <vt:lpwstr>Standard</vt:lpwstr>
  </property>
  <property fmtid="{D5CDD505-2E9C-101B-9397-08002B2CF9AE}" pid="5" name="MSIP_Label_faad4959-a4d7-4a60-89ba-8fd96e834276_Name">
    <vt:lpwstr>Restricted - General</vt:lpwstr>
  </property>
  <property fmtid="{D5CDD505-2E9C-101B-9397-08002B2CF9AE}" pid="6" name="MSIP_Label_faad4959-a4d7-4a60-89ba-8fd96e834276_SiteId">
    <vt:lpwstr>6d13d3d5-8b13-4ab4-a345-350f909f5f65</vt:lpwstr>
  </property>
  <property fmtid="{D5CDD505-2E9C-101B-9397-08002B2CF9AE}" pid="7" name="MSIP_Label_faad4959-a4d7-4a60-89ba-8fd96e834276_ActionId">
    <vt:lpwstr>29d7a709-e22a-456c-9487-129748755722</vt:lpwstr>
  </property>
  <property fmtid="{D5CDD505-2E9C-101B-9397-08002B2CF9AE}" pid="8" name="MSIP_Label_faad4959-a4d7-4a60-89ba-8fd96e834276_ContentBits">
    <vt:lpwstr>0</vt:lpwstr>
  </property>
</Properties>
</file>